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80" windowWidth="17310" windowHeight="8595" tabRatio="929"/>
  </bookViews>
  <sheets>
    <sheet name="ГПЗ 2014 общий " sheetId="15" r:id="rId1"/>
    <sheet name="Приложение № 1" sheetId="22" r:id="rId2"/>
    <sheet name="Лист1" sheetId="18" r:id="rId3"/>
  </sheets>
  <definedNames>
    <definedName name="_xlnm._FilterDatabase" localSheetId="0" hidden="1">'ГПЗ 2014 общий '!$P$1:$R$4192</definedName>
    <definedName name="_xlnm._FilterDatabase" localSheetId="1" hidden="1">'Приложение № 1'!$P$1:$R$62</definedName>
    <definedName name="_xlnm.Print_Area" localSheetId="0">'ГПЗ 2014 общий '!$A$1:$S$4167</definedName>
    <definedName name="_xlnm.Print_Area" localSheetId="1">'Приложение № 1'!$A$1:$S$37</definedName>
  </definedNames>
  <calcPr calcId="125725"/>
</workbook>
</file>

<file path=xl/calcChain.xml><?xml version="1.0" encoding="utf-8"?>
<calcChain xmlns="http://schemas.openxmlformats.org/spreadsheetml/2006/main">
  <c r="N7" i="18"/>
  <c r="O6"/>
  <c r="N6"/>
  <c r="N33" i="22"/>
  <c r="N32"/>
  <c r="N31"/>
  <c r="N30"/>
  <c r="N29"/>
  <c r="O28"/>
  <c r="N28" s="1"/>
  <c r="O27"/>
  <c r="N27" s="1"/>
  <c r="O26"/>
  <c r="N26" s="1"/>
  <c r="M26"/>
  <c r="O25"/>
  <c r="N25" s="1"/>
  <c r="O24"/>
  <c r="N24" s="1"/>
  <c r="O23"/>
  <c r="N23" s="1"/>
  <c r="O22"/>
  <c r="N22" s="1"/>
  <c r="O21"/>
  <c r="N21" s="1"/>
  <c r="O20"/>
  <c r="N20" s="1"/>
  <c r="O19"/>
  <c r="N19" s="1"/>
  <c r="O18"/>
  <c r="N18" s="1"/>
  <c r="O17"/>
  <c r="N17"/>
  <c r="M17"/>
  <c r="O16"/>
  <c r="N16" s="1"/>
  <c r="O1344" i="15"/>
  <c r="N1344" s="1"/>
  <c r="M1894" l="1"/>
  <c r="O1894"/>
  <c r="O900"/>
  <c r="N900"/>
  <c r="N4162"/>
  <c r="O4068"/>
  <c r="N4158"/>
  <c r="O32"/>
  <c r="N4161"/>
  <c r="O1361"/>
  <c r="N1361" s="1"/>
  <c r="O909"/>
  <c r="N909"/>
  <c r="M413"/>
  <c r="O413"/>
  <c r="N413" s="1"/>
  <c r="O986"/>
  <c r="N986" s="1"/>
  <c r="O1195"/>
  <c r="N1195"/>
  <c r="O1865"/>
  <c r="N1865"/>
  <c r="N4160"/>
  <c r="N4159"/>
  <c r="O4085"/>
  <c r="O1146"/>
  <c r="N1146"/>
  <c r="O1142"/>
  <c r="N4149" l="1"/>
  <c r="N4150"/>
  <c r="N4151"/>
  <c r="N4152"/>
  <c r="N4153"/>
  <c r="N4154"/>
  <c r="N4155"/>
  <c r="N4156"/>
  <c r="N4157"/>
  <c r="N4148"/>
  <c r="N4147"/>
  <c r="N4146"/>
  <c r="N4145"/>
  <c r="N4144"/>
  <c r="N4143"/>
  <c r="N4142"/>
  <c r="N4141"/>
  <c r="N4140"/>
  <c r="O2016"/>
  <c r="O1286"/>
  <c r="N1286"/>
  <c r="O1204"/>
  <c r="N1204"/>
  <c r="O1351"/>
  <c r="O47"/>
  <c r="O38"/>
  <c r="O20"/>
  <c r="O1186"/>
  <c r="N1186"/>
  <c r="N1351"/>
  <c r="O3935"/>
  <c r="N4139"/>
  <c r="N4138" l="1"/>
  <c r="N4136"/>
  <c r="N4137" l="1"/>
  <c r="N4134" l="1"/>
  <c r="N4135"/>
  <c r="N4132" l="1"/>
  <c r="O18" l="1"/>
  <c r="N4133"/>
  <c r="N4131"/>
  <c r="N4130"/>
  <c r="N4129"/>
  <c r="N4128"/>
  <c r="N4127"/>
  <c r="O1276"/>
  <c r="N1276" s="1"/>
  <c r="O4007" l="1"/>
  <c r="O1402"/>
  <c r="O1154"/>
  <c r="N1154"/>
  <c r="N4126"/>
  <c r="N4125"/>
  <c r="O935"/>
  <c r="N935"/>
  <c r="O919"/>
  <c r="N919"/>
  <c r="O1130"/>
  <c r="N1130"/>
  <c r="O1000"/>
  <c r="N1000"/>
  <c r="O1692"/>
  <c r="N4123"/>
  <c r="N4124"/>
  <c r="N4122" l="1"/>
  <c r="O3934"/>
  <c r="N4121" l="1"/>
  <c r="N4120"/>
  <c r="O4119" l="1"/>
  <c r="O4118"/>
  <c r="O4117"/>
  <c r="O4116"/>
  <c r="O4115"/>
  <c r="O4114"/>
  <c r="O4113"/>
  <c r="O4112"/>
  <c r="O4111"/>
  <c r="O4110"/>
  <c r="O4109"/>
  <c r="O4108"/>
  <c r="O4107"/>
  <c r="O4106"/>
  <c r="O4105"/>
  <c r="O4104"/>
  <c r="O4103"/>
  <c r="O4102"/>
  <c r="O4101"/>
  <c r="O4100"/>
  <c r="O4099"/>
  <c r="O4098"/>
  <c r="O4097"/>
  <c r="O4096"/>
  <c r="O4095"/>
  <c r="O4094"/>
  <c r="O4093"/>
  <c r="O4092"/>
  <c r="O4091"/>
  <c r="O4090"/>
  <c r="O4089"/>
  <c r="O4088"/>
  <c r="O4087"/>
  <c r="N4086"/>
  <c r="N4085"/>
  <c r="N4084"/>
  <c r="N4083"/>
  <c r="N4082"/>
  <c r="N4081"/>
  <c r="N4080"/>
  <c r="N4079"/>
  <c r="N4078"/>
  <c r="N4077"/>
  <c r="N4076"/>
  <c r="N4075"/>
  <c r="N4074"/>
  <c r="N4073"/>
  <c r="N4072"/>
  <c r="N4071"/>
  <c r="N4070"/>
  <c r="N4069"/>
  <c r="N4068"/>
  <c r="N4067"/>
  <c r="N4066"/>
  <c r="N4065"/>
  <c r="N4064"/>
  <c r="N4063"/>
  <c r="N4062"/>
  <c r="N4061"/>
  <c r="N4060"/>
  <c r="N4059"/>
  <c r="N4058"/>
  <c r="N4057"/>
  <c r="N4056"/>
  <c r="N4055"/>
  <c r="N4054"/>
  <c r="N4053"/>
  <c r="N4052"/>
  <c r="N4051"/>
  <c r="N4050"/>
  <c r="N4049"/>
  <c r="N4048"/>
  <c r="N4047"/>
  <c r="N4046"/>
  <c r="N4045"/>
  <c r="N4044"/>
  <c r="N4043"/>
  <c r="N4042"/>
  <c r="N4041"/>
  <c r="N4040"/>
  <c r="N4039"/>
  <c r="N4038"/>
  <c r="N4037"/>
  <c r="N4036"/>
  <c r="N4035"/>
  <c r="N4034"/>
  <c r="N4033"/>
  <c r="N4032"/>
  <c r="N4031"/>
  <c r="N4030"/>
  <c r="N4029"/>
  <c r="N4028"/>
  <c r="N4027"/>
  <c r="N4026"/>
  <c r="N4025"/>
  <c r="N4024"/>
  <c r="N4023"/>
  <c r="N4022"/>
  <c r="N4021"/>
  <c r="N4020"/>
  <c r="N4019"/>
  <c r="N4018"/>
  <c r="N4017"/>
  <c r="N4016"/>
  <c r="N4015"/>
  <c r="N4014"/>
  <c r="N4013"/>
  <c r="N4012"/>
  <c r="N4011"/>
  <c r="N4010"/>
  <c r="N4009"/>
  <c r="N4008"/>
  <c r="N4007"/>
  <c r="N4006"/>
  <c r="N4005"/>
  <c r="N4004"/>
  <c r="N4003"/>
  <c r="N4002"/>
  <c r="N4001"/>
  <c r="N4000"/>
  <c r="N3999"/>
  <c r="N3998"/>
  <c r="N3997"/>
  <c r="N3996"/>
  <c r="N3995"/>
  <c r="N3994"/>
  <c r="N3993"/>
  <c r="N3992"/>
  <c r="N3991"/>
  <c r="N3990"/>
  <c r="N3989"/>
  <c r="N3988"/>
  <c r="N3987"/>
  <c r="N3986"/>
  <c r="N3985"/>
  <c r="N3984"/>
  <c r="N3983"/>
  <c r="N3982"/>
  <c r="N3981"/>
  <c r="N3980"/>
  <c r="N3979"/>
  <c r="N3978"/>
  <c r="N3977"/>
  <c r="N3976"/>
  <c r="N3975"/>
  <c r="N3974"/>
  <c r="N3973"/>
  <c r="N3972"/>
  <c r="N3971"/>
  <c r="N3970"/>
  <c r="N3969"/>
  <c r="N3968"/>
  <c r="N3967"/>
  <c r="N3966"/>
  <c r="N3965"/>
  <c r="N3964"/>
  <c r="N3963"/>
  <c r="N3962"/>
  <c r="N3961"/>
  <c r="N3960"/>
  <c r="N3959"/>
  <c r="N3958"/>
  <c r="N3957"/>
  <c r="N3956"/>
  <c r="N3955"/>
  <c r="N3954"/>
  <c r="N3953"/>
  <c r="N3952"/>
  <c r="N3951"/>
  <c r="N3950"/>
  <c r="N3949"/>
  <c r="O3948"/>
  <c r="N3948" s="1"/>
  <c r="M3948"/>
  <c r="N3947"/>
  <c r="N3946"/>
  <c r="N3945"/>
  <c r="N3944"/>
  <c r="N3943"/>
  <c r="N3942"/>
  <c r="N3941"/>
  <c r="N3940"/>
  <c r="N3939"/>
  <c r="N3938"/>
  <c r="N3937"/>
  <c r="N3936"/>
  <c r="N3935"/>
  <c r="N3934"/>
  <c r="O3933"/>
  <c r="N3933" s="1"/>
  <c r="N3932"/>
  <c r="N3931"/>
  <c r="N3930"/>
  <c r="N3929"/>
  <c r="N3928"/>
  <c r="N3927"/>
  <c r="N3926"/>
  <c r="N3925"/>
  <c r="N3924"/>
  <c r="N3923"/>
  <c r="N3922"/>
  <c r="N3921"/>
  <c r="N3920"/>
  <c r="N3919"/>
  <c r="N3918"/>
  <c r="N3917"/>
  <c r="N3916"/>
  <c r="N3915"/>
  <c r="N3914"/>
  <c r="N3913"/>
  <c r="O3912"/>
  <c r="O3911"/>
  <c r="O3910"/>
  <c r="O3909"/>
  <c r="O3908"/>
  <c r="O3907"/>
  <c r="O3906"/>
  <c r="O3905"/>
  <c r="O3904"/>
  <c r="O3903"/>
  <c r="O3902"/>
  <c r="O3901"/>
  <c r="N3900"/>
  <c r="N3899"/>
  <c r="N3898"/>
  <c r="N3897"/>
  <c r="N3896"/>
  <c r="N3895"/>
  <c r="N3894"/>
  <c r="N3893"/>
  <c r="O3892"/>
  <c r="N3892" s="1"/>
  <c r="O3891"/>
  <c r="O3890"/>
  <c r="O3887"/>
  <c r="O3886"/>
  <c r="O3883"/>
  <c r="O3882"/>
  <c r="O3879"/>
  <c r="O3878"/>
  <c r="O3875"/>
  <c r="O3874"/>
  <c r="O3871"/>
  <c r="O3870"/>
  <c r="O3867"/>
  <c r="O3866"/>
  <c r="O3863"/>
  <c r="O3862"/>
  <c r="O3859"/>
  <c r="O3858"/>
  <c r="O3855"/>
  <c r="O3854"/>
  <c r="O3851"/>
  <c r="O3850"/>
  <c r="O3847"/>
  <c r="O3846"/>
  <c r="O3843"/>
  <c r="O3842"/>
  <c r="O3839"/>
  <c r="N3839" s="1"/>
  <c r="O3838"/>
  <c r="N3838" s="1"/>
  <c r="O3837"/>
  <c r="N3837" s="1"/>
  <c r="O3836"/>
  <c r="N3836" s="1"/>
  <c r="O3835"/>
  <c r="N3835" s="1"/>
  <c r="O3834"/>
  <c r="N3834" s="1"/>
  <c r="O3833"/>
  <c r="N3833" s="1"/>
  <c r="O3832"/>
  <c r="N3832" s="1"/>
  <c r="O3831"/>
  <c r="N3831" s="1"/>
  <c r="O3830"/>
  <c r="N3830" s="1"/>
  <c r="O3829"/>
  <c r="N3829" s="1"/>
  <c r="O3828"/>
  <c r="N3828" s="1"/>
  <c r="O3827"/>
  <c r="N3827" s="1"/>
  <c r="O3826"/>
  <c r="N3826" s="1"/>
  <c r="O3825"/>
  <c r="N3825" s="1"/>
  <c r="O3824"/>
  <c r="N3824" s="1"/>
  <c r="O3823"/>
  <c r="N3823" s="1"/>
  <c r="O3822"/>
  <c r="N3822" s="1"/>
  <c r="O3821"/>
  <c r="N3821" s="1"/>
  <c r="O3820"/>
  <c r="N3820" s="1"/>
  <c r="O3819"/>
  <c r="N3819" s="1"/>
  <c r="O3818"/>
  <c r="N3818" s="1"/>
  <c r="O3817"/>
  <c r="N3817" s="1"/>
  <c r="O3816"/>
  <c r="N3816" s="1"/>
  <c r="O3815"/>
  <c r="N3815" s="1"/>
  <c r="O3814"/>
  <c r="N3814" s="1"/>
  <c r="O3813"/>
  <c r="N3813" s="1"/>
  <c r="O3812"/>
  <c r="N3812" s="1"/>
  <c r="O3811"/>
  <c r="N3811" s="1"/>
  <c r="O3810"/>
  <c r="N3810" s="1"/>
  <c r="O3809"/>
  <c r="N3809" s="1"/>
  <c r="O3808"/>
  <c r="N3808" s="1"/>
  <c r="O3807"/>
  <c r="N3807" s="1"/>
  <c r="O3806"/>
  <c r="N3806" s="1"/>
  <c r="O3805"/>
  <c r="N3805" s="1"/>
  <c r="O3804"/>
  <c r="N3804" s="1"/>
  <c r="O3803"/>
  <c r="N3803" s="1"/>
  <c r="O3802"/>
  <c r="N3802" s="1"/>
  <c r="O3801"/>
  <c r="N3801" s="1"/>
  <c r="O3800"/>
  <c r="N3800" s="1"/>
  <c r="O3799"/>
  <c r="N3799" s="1"/>
  <c r="O3798"/>
  <c r="N3798" s="1"/>
  <c r="O3797"/>
  <c r="N3797" s="1"/>
  <c r="O3796"/>
  <c r="N3796" s="1"/>
  <c r="O3795"/>
  <c r="N3795" s="1"/>
  <c r="O3794"/>
  <c r="N3794" s="1"/>
  <c r="O3793"/>
  <c r="N3793" s="1"/>
  <c r="O3792"/>
  <c r="N3792" s="1"/>
  <c r="O3791"/>
  <c r="N3791" s="1"/>
  <c r="O3790"/>
  <c r="N3790" s="1"/>
  <c r="O3789"/>
  <c r="N3789" s="1"/>
  <c r="O3788"/>
  <c r="N3788"/>
  <c r="O3787"/>
  <c r="N3787"/>
  <c r="O3786"/>
  <c r="N3786"/>
  <c r="O3785"/>
  <c r="N3785"/>
  <c r="O3784"/>
  <c r="N3784"/>
  <c r="O3783"/>
  <c r="N3783"/>
  <c r="O3782"/>
  <c r="N3782"/>
  <c r="O3781"/>
  <c r="N3781"/>
  <c r="O3780"/>
  <c r="N3780"/>
  <c r="O3779"/>
  <c r="N3779"/>
  <c r="O3778"/>
  <c r="N3778"/>
  <c r="O3777"/>
  <c r="N3777"/>
  <c r="O3776"/>
  <c r="N3776"/>
  <c r="O3775"/>
  <c r="N3775"/>
  <c r="O3774"/>
  <c r="N3774"/>
  <c r="O3773"/>
  <c r="N3773"/>
  <c r="O3772"/>
  <c r="N3772"/>
  <c r="O3771"/>
  <c r="N3771"/>
  <c r="O3770"/>
  <c r="N3770"/>
  <c r="O3769"/>
  <c r="N3769"/>
  <c r="O3768"/>
  <c r="N3768"/>
  <c r="O3767"/>
  <c r="N3767"/>
  <c r="O3766"/>
  <c r="N3766"/>
  <c r="O3765"/>
  <c r="N3765"/>
  <c r="O3764"/>
  <c r="N3764"/>
  <c r="O3763"/>
  <c r="N3763"/>
  <c r="O3762"/>
  <c r="N3762"/>
  <c r="O3761"/>
  <c r="N3761"/>
  <c r="O3760"/>
  <c r="N3760"/>
  <c r="O3759"/>
  <c r="N3759"/>
  <c r="O3758"/>
  <c r="N3758"/>
  <c r="O3757"/>
  <c r="N3757"/>
  <c r="O3756"/>
  <c r="N3756"/>
  <c r="O3755"/>
  <c r="N3755"/>
  <c r="O3754"/>
  <c r="N3754"/>
  <c r="O3753"/>
  <c r="N3753"/>
  <c r="O3752"/>
  <c r="N3752"/>
  <c r="O3751"/>
  <c r="N3751"/>
  <c r="O3750"/>
  <c r="N3750"/>
  <c r="O3749"/>
  <c r="N3749"/>
  <c r="O3748"/>
  <c r="N3748"/>
  <c r="O3747"/>
  <c r="N3747"/>
  <c r="O3746"/>
  <c r="N3746"/>
  <c r="O3745"/>
  <c r="N3745"/>
  <c r="O3744"/>
  <c r="N3744"/>
  <c r="O3743"/>
  <c r="N3743"/>
  <c r="O3742"/>
  <c r="N3742"/>
  <c r="O3741"/>
  <c r="N3741"/>
  <c r="O3740"/>
  <c r="N3740"/>
  <c r="O3739"/>
  <c r="N3739"/>
  <c r="O3738"/>
  <c r="N3738"/>
  <c r="O3737"/>
  <c r="N3737"/>
  <c r="O3736"/>
  <c r="N3736"/>
  <c r="O3735"/>
  <c r="N3735"/>
  <c r="O3734"/>
  <c r="N3734"/>
  <c r="O3733"/>
  <c r="N3733"/>
  <c r="O3732"/>
  <c r="N3732"/>
  <c r="O3731"/>
  <c r="N3731"/>
  <c r="O3730"/>
  <c r="N3730"/>
  <c r="O3729"/>
  <c r="N3729"/>
  <c r="O3728"/>
  <c r="N3728"/>
  <c r="O3727"/>
  <c r="N3727"/>
  <c r="O3726"/>
  <c r="N3726"/>
  <c r="O3725"/>
  <c r="N3725"/>
  <c r="O3724"/>
  <c r="N3724"/>
  <c r="O3723"/>
  <c r="N3723"/>
  <c r="O3722"/>
  <c r="N3722"/>
  <c r="O3721"/>
  <c r="N3721"/>
  <c r="O3720"/>
  <c r="N3720"/>
  <c r="O3719"/>
  <c r="N3719"/>
  <c r="O3718"/>
  <c r="N3718"/>
  <c r="O3717"/>
  <c r="N3717"/>
  <c r="O3716"/>
  <c r="N3716"/>
  <c r="O3715"/>
  <c r="N3715"/>
  <c r="O3714"/>
  <c r="N3714"/>
  <c r="O3713"/>
  <c r="N3713"/>
  <c r="O3712"/>
  <c r="N3712"/>
  <c r="O3711"/>
  <c r="N3711"/>
  <c r="O3710"/>
  <c r="N3710"/>
  <c r="O3709"/>
  <c r="N3709"/>
  <c r="O3708"/>
  <c r="N3708"/>
  <c r="O3707"/>
  <c r="N3707"/>
  <c r="O3706"/>
  <c r="N3706"/>
  <c r="O3705"/>
  <c r="N3705"/>
  <c r="O3704"/>
  <c r="N3704"/>
  <c r="O3703"/>
  <c r="N3703"/>
  <c r="O3702"/>
  <c r="N3702"/>
  <c r="O3701"/>
  <c r="N3701"/>
  <c r="O3700"/>
  <c r="N3700"/>
  <c r="O3699"/>
  <c r="N3699"/>
  <c r="O3698"/>
  <c r="N3698"/>
  <c r="O3697"/>
  <c r="N3697"/>
  <c r="O3696"/>
  <c r="N3696"/>
  <c r="O3695"/>
  <c r="N3695"/>
  <c r="O3694"/>
  <c r="N3694"/>
  <c r="O3693"/>
  <c r="N3693"/>
  <c r="O3690"/>
  <c r="N3690"/>
  <c r="N3689"/>
  <c r="O3688"/>
  <c r="N3688" s="1"/>
  <c r="O3687"/>
  <c r="N3687" s="1"/>
  <c r="O3686"/>
  <c r="N3686" s="1"/>
  <c r="O3678"/>
  <c r="N3678" s="1"/>
  <c r="O3677"/>
  <c r="N3677" s="1"/>
  <c r="N3674"/>
  <c r="O3671"/>
  <c r="N3671" s="1"/>
  <c r="O3670"/>
  <c r="N3670" s="1"/>
  <c r="O3669"/>
  <c r="O3668"/>
  <c r="O3667"/>
  <c r="O3666"/>
  <c r="N3665"/>
  <c r="O3665" s="1"/>
  <c r="N3664"/>
  <c r="O3664" s="1"/>
  <c r="O3663"/>
  <c r="N3663" s="1"/>
  <c r="O3661"/>
  <c r="O3660"/>
  <c r="O3659"/>
  <c r="O3658"/>
  <c r="N3657"/>
  <c r="O3657" s="1"/>
  <c r="N3656"/>
  <c r="O3656" s="1"/>
  <c r="O3655"/>
  <c r="N3655" s="1"/>
  <c r="O3653"/>
  <c r="O3652"/>
  <c r="O3651"/>
  <c r="O3650"/>
  <c r="N3649"/>
  <c r="O3649" s="1"/>
  <c r="N3648"/>
  <c r="O3648" s="1"/>
  <c r="O3645"/>
  <c r="O3644"/>
  <c r="O3643"/>
  <c r="O3642"/>
  <c r="N3641"/>
  <c r="O3641" s="1"/>
  <c r="N3640"/>
  <c r="O3640" s="1"/>
  <c r="O3639"/>
  <c r="N3639" s="1"/>
  <c r="O3637"/>
  <c r="O3636"/>
  <c r="O3635"/>
  <c r="O3634"/>
  <c r="N3633"/>
  <c r="O3633" s="1"/>
  <c r="N3632"/>
  <c r="O3632" s="1"/>
  <c r="O3629"/>
  <c r="O3628"/>
  <c r="O3627"/>
  <c r="O3626"/>
  <c r="N3625"/>
  <c r="O3625" s="1"/>
  <c r="N3624"/>
  <c r="O3624" s="1"/>
  <c r="O3621"/>
  <c r="O3620"/>
  <c r="O3619"/>
  <c r="O3618"/>
  <c r="N3617"/>
  <c r="O3617" s="1"/>
  <c r="N3616"/>
  <c r="O3616" s="1"/>
  <c r="O3615"/>
  <c r="N3615" s="1"/>
  <c r="O3613"/>
  <c r="O3612"/>
  <c r="O3611"/>
  <c r="O3610"/>
  <c r="N3609"/>
  <c r="O3609" s="1"/>
  <c r="N3608"/>
  <c r="O3608" s="1"/>
  <c r="O3606"/>
  <c r="N3606" s="1"/>
  <c r="O3605"/>
  <c r="O3604"/>
  <c r="O3603"/>
  <c r="O3602"/>
  <c r="N3601"/>
  <c r="O3601" s="1"/>
  <c r="N3600"/>
  <c r="O3600" s="1"/>
  <c r="O3597"/>
  <c r="O3596"/>
  <c r="O3595"/>
  <c r="O3594"/>
  <c r="N3593"/>
  <c r="O3593" s="1"/>
  <c r="N3592"/>
  <c r="O3592" s="1"/>
  <c r="O3589"/>
  <c r="O3588"/>
  <c r="O3587"/>
  <c r="O3586"/>
  <c r="N3585"/>
  <c r="O3585" s="1"/>
  <c r="N3584"/>
  <c r="O3584" s="1"/>
  <c r="O3583"/>
  <c r="N3583" s="1"/>
  <c r="M3581"/>
  <c r="O3581" s="1"/>
  <c r="M3580"/>
  <c r="O3580" s="1"/>
  <c r="M3579"/>
  <c r="O3579" s="1"/>
  <c r="M3578"/>
  <c r="O3578" s="1"/>
  <c r="M3577"/>
  <c r="O3577" s="1"/>
  <c r="M3576"/>
  <c r="O3576" s="1"/>
  <c r="M3575"/>
  <c r="O3575" s="1"/>
  <c r="M3574"/>
  <c r="O3574" s="1"/>
  <c r="M3573"/>
  <c r="O3573" s="1"/>
  <c r="M3572"/>
  <c r="O3572" s="1"/>
  <c r="M3571"/>
  <c r="O3571" s="1"/>
  <c r="M3570"/>
  <c r="O3570" s="1"/>
  <c r="M3569"/>
  <c r="O3569" s="1"/>
  <c r="M3568"/>
  <c r="O3568" s="1"/>
  <c r="M3567"/>
  <c r="O3567" s="1"/>
  <c r="M3566"/>
  <c r="O3566" s="1"/>
  <c r="M3565"/>
  <c r="O3565" s="1"/>
  <c r="M3564"/>
  <c r="O3564" s="1"/>
  <c r="M3563"/>
  <c r="O3563" s="1"/>
  <c r="N3562"/>
  <c r="O3562" s="1"/>
  <c r="N3561"/>
  <c r="O3561" s="1"/>
  <c r="O3560"/>
  <c r="O3559"/>
  <c r="O3558"/>
  <c r="N3558"/>
  <c r="M3558"/>
  <c r="O3557"/>
  <c r="N3557" s="1"/>
  <c r="N3556"/>
  <c r="O3556" s="1"/>
  <c r="N3555"/>
  <c r="O3555" s="1"/>
  <c r="O3552"/>
  <c r="O3551"/>
  <c r="O3550"/>
  <c r="M3550"/>
  <c r="O3549"/>
  <c r="O3548"/>
  <c r="N3548"/>
  <c r="O3547"/>
  <c r="N3547"/>
  <c r="O3544"/>
  <c r="O3543"/>
  <c r="O3542"/>
  <c r="N3542" s="1"/>
  <c r="M3542"/>
  <c r="O3541"/>
  <c r="N3541" s="1"/>
  <c r="N3540"/>
  <c r="O3540" s="1"/>
  <c r="N3539"/>
  <c r="O3539" s="1"/>
  <c r="O3536"/>
  <c r="O3535"/>
  <c r="O3534"/>
  <c r="M3534"/>
  <c r="O3533"/>
  <c r="N3533" s="1"/>
  <c r="O3532"/>
  <c r="N3532"/>
  <c r="O3531"/>
  <c r="N3531"/>
  <c r="O3528"/>
  <c r="O3527"/>
  <c r="O3526"/>
  <c r="M3526"/>
  <c r="O3525"/>
  <c r="N3525" s="1"/>
  <c r="N3524"/>
  <c r="O3524" s="1"/>
  <c r="N3523"/>
  <c r="O3523" s="1"/>
  <c r="O3520"/>
  <c r="O3519"/>
  <c r="O3518"/>
  <c r="M3518"/>
  <c r="O3517"/>
  <c r="N3517" s="1"/>
  <c r="O3516"/>
  <c r="N3516"/>
  <c r="O3515"/>
  <c r="N3515"/>
  <c r="O3512"/>
  <c r="O3511"/>
  <c r="O3510"/>
  <c r="N3510" s="1"/>
  <c r="M3510"/>
  <c r="O3509"/>
  <c r="N3509" s="1"/>
  <c r="N3508"/>
  <c r="O3508" s="1"/>
  <c r="N3507"/>
  <c r="O3507" s="1"/>
  <c r="O3504"/>
  <c r="N3504" s="1"/>
  <c r="O3503"/>
  <c r="O3502"/>
  <c r="M3502"/>
  <c r="O3501"/>
  <c r="N3501"/>
  <c r="N3500"/>
  <c r="O3500" s="1"/>
  <c r="N3499"/>
  <c r="O3499" s="1"/>
  <c r="O3496"/>
  <c r="O3495"/>
  <c r="O3494"/>
  <c r="N3494"/>
  <c r="M3494"/>
  <c r="O3493"/>
  <c r="N3492"/>
  <c r="O3492" s="1"/>
  <c r="N3491"/>
  <c r="O3491" s="1"/>
  <c r="O3488"/>
  <c r="O3487"/>
  <c r="O3486"/>
  <c r="N3486"/>
  <c r="M3486"/>
  <c r="O3485"/>
  <c r="N3484"/>
  <c r="O3484" s="1"/>
  <c r="N3483"/>
  <c r="O3483" s="1"/>
  <c r="O3480"/>
  <c r="O3479"/>
  <c r="O3478"/>
  <c r="N3478"/>
  <c r="M3478"/>
  <c r="O3477"/>
  <c r="N3477" s="1"/>
  <c r="N3476"/>
  <c r="O3476" s="1"/>
  <c r="N3475"/>
  <c r="O3475" s="1"/>
  <c r="O3472"/>
  <c r="O3471"/>
  <c r="O3470"/>
  <c r="M3470"/>
  <c r="O3469"/>
  <c r="N3469"/>
  <c r="N3468"/>
  <c r="O3468" s="1"/>
  <c r="N3467"/>
  <c r="O3467" s="1"/>
  <c r="O3464"/>
  <c r="N3464"/>
  <c r="O3463"/>
  <c r="O3462"/>
  <c r="N3462" s="1"/>
  <c r="M3462"/>
  <c r="O3461"/>
  <c r="N3461" s="1"/>
  <c r="N3460"/>
  <c r="O3460" s="1"/>
  <c r="N3459"/>
  <c r="O3459" s="1"/>
  <c r="M3456"/>
  <c r="O3456" s="1"/>
  <c r="M3455"/>
  <c r="O3455" s="1"/>
  <c r="M3454"/>
  <c r="O3454" s="1"/>
  <c r="M3453"/>
  <c r="O3453" s="1"/>
  <c r="M3452"/>
  <c r="O3452" s="1"/>
  <c r="M3451"/>
  <c r="O3451" s="1"/>
  <c r="M3450"/>
  <c r="O3450" s="1"/>
  <c r="M3449"/>
  <c r="O3449" s="1"/>
  <c r="M3448"/>
  <c r="O3448" s="1"/>
  <c r="M3447"/>
  <c r="O3447" s="1"/>
  <c r="M3446"/>
  <c r="O3446" s="1"/>
  <c r="M3445"/>
  <c r="O3445" s="1"/>
  <c r="M3444"/>
  <c r="O3444" s="1"/>
  <c r="M3443"/>
  <c r="O3443" s="1"/>
  <c r="M3442"/>
  <c r="O3442" s="1"/>
  <c r="M3441"/>
  <c r="O3441" s="1"/>
  <c r="M3440"/>
  <c r="O3440" s="1"/>
  <c r="M3439"/>
  <c r="O3439" s="1"/>
  <c r="M3438"/>
  <c r="O3438" s="1"/>
  <c r="N3437"/>
  <c r="O3437" s="1"/>
  <c r="N3436"/>
  <c r="O3436" s="1"/>
  <c r="O3435"/>
  <c r="O3434"/>
  <c r="O3433"/>
  <c r="O3432"/>
  <c r="N3431"/>
  <c r="O3431" s="1"/>
  <c r="N3430"/>
  <c r="O3430" s="1"/>
  <c r="O3427"/>
  <c r="O3426"/>
  <c r="O3425"/>
  <c r="O3424"/>
  <c r="N3423"/>
  <c r="O3423" s="1"/>
  <c r="N3422"/>
  <c r="O3422" s="1"/>
  <c r="O3419"/>
  <c r="O3418"/>
  <c r="O3417"/>
  <c r="O3416"/>
  <c r="N3415"/>
  <c r="O3415" s="1"/>
  <c r="N3414"/>
  <c r="O3414" s="1"/>
  <c r="O3411"/>
  <c r="O3410"/>
  <c r="O3409"/>
  <c r="O3408"/>
  <c r="N3407"/>
  <c r="O3407" s="1"/>
  <c r="N3406"/>
  <c r="O3406" s="1"/>
  <c r="O3403"/>
  <c r="O3402"/>
  <c r="O3401"/>
  <c r="O3400"/>
  <c r="N3399"/>
  <c r="O3399" s="1"/>
  <c r="N3398"/>
  <c r="O3398" s="1"/>
  <c r="O3397"/>
  <c r="N3397" s="1"/>
  <c r="O3396"/>
  <c r="N3396" s="1"/>
  <c r="O3395"/>
  <c r="O3394"/>
  <c r="O3393"/>
  <c r="O3392"/>
  <c r="N3391"/>
  <c r="O3391" s="1"/>
  <c r="N3390"/>
  <c r="O3390" s="1"/>
  <c r="O3387"/>
  <c r="O3386"/>
  <c r="O3385"/>
  <c r="O3384"/>
  <c r="N3383"/>
  <c r="O3383" s="1"/>
  <c r="N3382"/>
  <c r="O3382" s="1"/>
  <c r="O3379"/>
  <c r="O3378"/>
  <c r="O3377"/>
  <c r="O3376"/>
  <c r="N3375"/>
  <c r="O3375" s="1"/>
  <c r="N3374"/>
  <c r="O3374" s="1"/>
  <c r="O3371"/>
  <c r="O3370"/>
  <c r="O3369"/>
  <c r="O3368"/>
  <c r="N3367"/>
  <c r="O3367" s="1"/>
  <c r="N3366"/>
  <c r="O3366" s="1"/>
  <c r="O3363"/>
  <c r="O3362"/>
  <c r="O3361"/>
  <c r="O3360"/>
  <c r="N3359"/>
  <c r="O3359" s="1"/>
  <c r="N3358"/>
  <c r="O3358" s="1"/>
  <c r="O3355"/>
  <c r="O3354"/>
  <c r="O3353"/>
  <c r="O3352"/>
  <c r="N3351"/>
  <c r="O3351" s="1"/>
  <c r="N3350"/>
  <c r="O3350" s="1"/>
  <c r="O3347"/>
  <c r="O3346"/>
  <c r="O3345"/>
  <c r="O3344"/>
  <c r="N3343"/>
  <c r="O3343" s="1"/>
  <c r="N3342"/>
  <c r="O3342" s="1"/>
  <c r="O3340"/>
  <c r="N3340" s="1"/>
  <c r="O3339"/>
  <c r="O3338"/>
  <c r="O3337"/>
  <c r="O3336"/>
  <c r="N3335"/>
  <c r="O3335" s="1"/>
  <c r="N3334"/>
  <c r="O3334" s="1"/>
  <c r="O3331"/>
  <c r="O3330"/>
  <c r="O3329"/>
  <c r="O3328"/>
  <c r="N3327"/>
  <c r="O3327" s="1"/>
  <c r="N3326"/>
  <c r="O3326" s="1"/>
  <c r="O3323"/>
  <c r="O3322"/>
  <c r="O3321"/>
  <c r="O3320"/>
  <c r="N3319"/>
  <c r="O3319" s="1"/>
  <c r="N3318"/>
  <c r="O3318" s="1"/>
  <c r="M3315"/>
  <c r="O3315" s="1"/>
  <c r="M3314"/>
  <c r="O3314" s="1"/>
  <c r="M3313"/>
  <c r="O3313" s="1"/>
  <c r="M3312"/>
  <c r="O3312" s="1"/>
  <c r="M3311"/>
  <c r="O3311" s="1"/>
  <c r="M3310"/>
  <c r="O3310" s="1"/>
  <c r="M3309"/>
  <c r="O3309" s="1"/>
  <c r="M3308"/>
  <c r="O3308" s="1"/>
  <c r="M3307"/>
  <c r="O3307" s="1"/>
  <c r="M3306"/>
  <c r="O3306" s="1"/>
  <c r="M3305"/>
  <c r="O3305" s="1"/>
  <c r="M3304"/>
  <c r="O3304" s="1"/>
  <c r="M3303"/>
  <c r="O3303" s="1"/>
  <c r="M3302"/>
  <c r="O3302" s="1"/>
  <c r="M3301"/>
  <c r="O3301" s="1"/>
  <c r="M3300"/>
  <c r="O3300" s="1"/>
  <c r="M3299"/>
  <c r="O3299" s="1"/>
  <c r="M3298"/>
  <c r="O3298" s="1"/>
  <c r="M3297"/>
  <c r="O3297" s="1"/>
  <c r="N3296"/>
  <c r="O3296" s="1"/>
  <c r="N3295"/>
  <c r="O3295" s="1"/>
  <c r="O3294"/>
  <c r="O3293"/>
  <c r="O3292"/>
  <c r="O3291"/>
  <c r="N3290"/>
  <c r="O3290" s="1"/>
  <c r="N3289"/>
  <c r="O3289" s="1"/>
  <c r="O3286"/>
  <c r="O3285"/>
  <c r="O3284"/>
  <c r="O3283"/>
  <c r="N3282"/>
  <c r="O3282" s="1"/>
  <c r="N3281"/>
  <c r="O3281" s="1"/>
  <c r="O3278"/>
  <c r="O3277"/>
  <c r="O3276"/>
  <c r="O3275"/>
  <c r="N3274"/>
  <c r="O3274" s="1"/>
  <c r="N3273"/>
  <c r="O3273" s="1"/>
  <c r="O3270"/>
  <c r="O3269"/>
  <c r="O3268"/>
  <c r="O3267"/>
  <c r="N3266"/>
  <c r="O3266" s="1"/>
  <c r="N3265"/>
  <c r="O3265" s="1"/>
  <c r="O3262"/>
  <c r="O3261"/>
  <c r="O3260"/>
  <c r="O3259"/>
  <c r="N3258"/>
  <c r="O3258" s="1"/>
  <c r="O3257"/>
  <c r="N3257"/>
  <c r="O3254"/>
  <c r="O3253"/>
  <c r="O3252"/>
  <c r="O3251"/>
  <c r="N3250"/>
  <c r="O3250" s="1"/>
  <c r="N3249"/>
  <c r="O3249" s="1"/>
  <c r="O3246"/>
  <c r="O3245"/>
  <c r="O3244"/>
  <c r="O3243"/>
  <c r="N3242"/>
  <c r="O3242" s="1"/>
  <c r="N3241"/>
  <c r="O3241" s="1"/>
  <c r="O3238"/>
  <c r="O3237"/>
  <c r="O3236"/>
  <c r="O3235"/>
  <c r="N3234"/>
  <c r="O3234" s="1"/>
  <c r="N3233"/>
  <c r="O3233" s="1"/>
  <c r="O3230"/>
  <c r="O3229"/>
  <c r="O3228"/>
  <c r="O3227"/>
  <c r="N3226"/>
  <c r="O3226" s="1"/>
  <c r="N3225"/>
  <c r="O3225" s="1"/>
  <c r="M3222"/>
  <c r="O3222" s="1"/>
  <c r="M3221"/>
  <c r="O3221" s="1"/>
  <c r="M3220"/>
  <c r="O3220" s="1"/>
  <c r="M3219"/>
  <c r="O3219" s="1"/>
  <c r="M3218"/>
  <c r="O3218" s="1"/>
  <c r="M3217"/>
  <c r="O3217" s="1"/>
  <c r="M3216"/>
  <c r="O3216" s="1"/>
  <c r="O3215"/>
  <c r="M3215"/>
  <c r="M3214"/>
  <c r="O3214" s="1"/>
  <c r="M3213"/>
  <c r="O3213" s="1"/>
  <c r="M3212"/>
  <c r="O3212" s="1"/>
  <c r="M3211"/>
  <c r="O3211" s="1"/>
  <c r="O3210"/>
  <c r="M3209"/>
  <c r="O3209" s="1"/>
  <c r="M3208"/>
  <c r="O3208" s="1"/>
  <c r="M3207"/>
  <c r="O3207" s="1"/>
  <c r="M3206"/>
  <c r="O3206" s="1"/>
  <c r="M3205"/>
  <c r="O3205" s="1"/>
  <c r="M3204"/>
  <c r="O3204" s="1"/>
  <c r="N3203"/>
  <c r="O3203" s="1"/>
  <c r="N3202"/>
  <c r="O3202" s="1"/>
  <c r="O3201"/>
  <c r="O3200"/>
  <c r="O3199"/>
  <c r="O3198"/>
  <c r="N3197"/>
  <c r="O3197" s="1"/>
  <c r="N3196"/>
  <c r="O3196" s="1"/>
  <c r="O3193"/>
  <c r="O3192"/>
  <c r="O3191"/>
  <c r="O3190"/>
  <c r="N3189"/>
  <c r="O3189" s="1"/>
  <c r="N3188"/>
  <c r="O3188" s="1"/>
  <c r="O3185"/>
  <c r="O3184"/>
  <c r="O3183"/>
  <c r="O3182"/>
  <c r="N3181"/>
  <c r="O3181" s="1"/>
  <c r="N3180"/>
  <c r="O3180" s="1"/>
  <c r="O3177"/>
  <c r="O3176"/>
  <c r="O3175"/>
  <c r="O3174"/>
  <c r="N3173"/>
  <c r="O3173" s="1"/>
  <c r="N3172"/>
  <c r="O3172" s="1"/>
  <c r="O3169"/>
  <c r="O3168"/>
  <c r="O3167"/>
  <c r="O3166"/>
  <c r="N3165"/>
  <c r="O3165" s="1"/>
  <c r="N3164"/>
  <c r="O3164" s="1"/>
  <c r="O3161"/>
  <c r="O3160"/>
  <c r="O3159"/>
  <c r="O3158"/>
  <c r="N3157"/>
  <c r="O3157" s="1"/>
  <c r="N3156"/>
  <c r="O3156" s="1"/>
  <c r="O3153"/>
  <c r="O3152"/>
  <c r="O3151"/>
  <c r="O3150"/>
  <c r="N3149"/>
  <c r="O3149" s="1"/>
  <c r="N3148"/>
  <c r="O3148" s="1"/>
  <c r="O3145"/>
  <c r="O3144"/>
  <c r="O3143"/>
  <c r="O3142"/>
  <c r="N3141"/>
  <c r="O3141" s="1"/>
  <c r="N3140"/>
  <c r="O3140" s="1"/>
  <c r="O3137"/>
  <c r="O3136"/>
  <c r="O3135"/>
  <c r="O3134"/>
  <c r="N3133"/>
  <c r="O3133" s="1"/>
  <c r="N3132"/>
  <c r="O3132" s="1"/>
  <c r="O3129"/>
  <c r="O3128"/>
  <c r="O3127"/>
  <c r="O3126"/>
  <c r="N3125"/>
  <c r="O3125" s="1"/>
  <c r="N3124"/>
  <c r="O3124" s="1"/>
  <c r="O3121"/>
  <c r="O3120"/>
  <c r="O3119"/>
  <c r="O3118"/>
  <c r="N3117"/>
  <c r="O3117" s="1"/>
  <c r="N3116"/>
  <c r="O3116" s="1"/>
  <c r="O3113"/>
  <c r="O3112"/>
  <c r="O3111"/>
  <c r="O3110"/>
  <c r="N3109"/>
  <c r="O3109" s="1"/>
  <c r="N3108"/>
  <c r="O3108" s="1"/>
  <c r="O3105"/>
  <c r="O3104"/>
  <c r="O3103"/>
  <c r="O3102"/>
  <c r="N3101"/>
  <c r="O3101" s="1"/>
  <c r="N3100"/>
  <c r="O3100" s="1"/>
  <c r="O3097"/>
  <c r="O3096"/>
  <c r="O3095"/>
  <c r="O3094"/>
  <c r="N3093"/>
  <c r="O3093" s="1"/>
  <c r="N3092"/>
  <c r="O3092" s="1"/>
  <c r="O3089"/>
  <c r="O3088"/>
  <c r="O3087"/>
  <c r="O3086"/>
  <c r="N3085"/>
  <c r="O3085" s="1"/>
  <c r="N3084"/>
  <c r="O3084" s="1"/>
  <c r="M3081"/>
  <c r="O3081" s="1"/>
  <c r="M3080"/>
  <c r="O3080" s="1"/>
  <c r="M3079"/>
  <c r="O3079" s="1"/>
  <c r="M3078"/>
  <c r="O3078" s="1"/>
  <c r="M3077"/>
  <c r="O3077" s="1"/>
  <c r="M3076"/>
  <c r="O3076" s="1"/>
  <c r="M3075"/>
  <c r="O3075" s="1"/>
  <c r="M3074"/>
  <c r="O3074" s="1"/>
  <c r="M3073"/>
  <c r="O3073" s="1"/>
  <c r="M3072"/>
  <c r="O3072" s="1"/>
  <c r="M3071"/>
  <c r="O3071" s="1"/>
  <c r="M3070"/>
  <c r="O3070" s="1"/>
  <c r="M3069"/>
  <c r="O3069" s="1"/>
  <c r="M3068"/>
  <c r="O3068" s="1"/>
  <c r="M3067"/>
  <c r="O3067" s="1"/>
  <c r="M3066"/>
  <c r="O3066" s="1"/>
  <c r="M3065"/>
  <c r="O3065" s="1"/>
  <c r="M3064"/>
  <c r="O3064" s="1"/>
  <c r="M3063"/>
  <c r="O3063" s="1"/>
  <c r="N3062"/>
  <c r="O3062" s="1"/>
  <c r="N3061"/>
  <c r="O3061" s="1"/>
  <c r="O3060"/>
  <c r="O3059"/>
  <c r="O3058"/>
  <c r="O3057"/>
  <c r="N3056"/>
  <c r="O3056" s="1"/>
  <c r="N3055"/>
  <c r="O3055" s="1"/>
  <c r="O3052"/>
  <c r="O3051"/>
  <c r="O3050"/>
  <c r="O3049"/>
  <c r="N3048"/>
  <c r="O3048" s="1"/>
  <c r="N3047"/>
  <c r="O3047" s="1"/>
  <c r="O3044"/>
  <c r="O3043"/>
  <c r="O3042"/>
  <c r="O3041"/>
  <c r="N3040"/>
  <c r="O3040" s="1"/>
  <c r="N3039"/>
  <c r="O3039" s="1"/>
  <c r="O3036"/>
  <c r="O3035"/>
  <c r="O3034"/>
  <c r="O3033"/>
  <c r="N3032"/>
  <c r="O3032" s="1"/>
  <c r="N3031"/>
  <c r="O3031" s="1"/>
  <c r="O3028"/>
  <c r="O3027"/>
  <c r="O3026"/>
  <c r="O3025"/>
  <c r="N3024"/>
  <c r="O3024" s="1"/>
  <c r="N3023"/>
  <c r="O3023" s="1"/>
  <c r="O3020"/>
  <c r="O3019"/>
  <c r="O3018"/>
  <c r="O3017"/>
  <c r="N3016"/>
  <c r="O3016" s="1"/>
  <c r="N3015"/>
  <c r="O3015" s="1"/>
  <c r="M3012"/>
  <c r="O3012" s="1"/>
  <c r="M3011"/>
  <c r="O3011" s="1"/>
  <c r="M3010"/>
  <c r="O3010" s="1"/>
  <c r="M3009"/>
  <c r="O3009" s="1"/>
  <c r="M3008"/>
  <c r="O3008" s="1"/>
  <c r="M3007"/>
  <c r="O3007" s="1"/>
  <c r="M3006"/>
  <c r="O3006" s="1"/>
  <c r="M3005"/>
  <c r="O3005" s="1"/>
  <c r="M3004"/>
  <c r="O3004" s="1"/>
  <c r="M3003"/>
  <c r="O3003" s="1"/>
  <c r="M3002"/>
  <c r="O3002" s="1"/>
  <c r="M3001"/>
  <c r="O3001" s="1"/>
  <c r="M3000"/>
  <c r="O3000" s="1"/>
  <c r="M2999"/>
  <c r="O2999" s="1"/>
  <c r="M2998"/>
  <c r="O2998" s="1"/>
  <c r="M2997"/>
  <c r="O2997" s="1"/>
  <c r="M2996"/>
  <c r="O2996" s="1"/>
  <c r="M2995"/>
  <c r="O2995" s="1"/>
  <c r="M2994"/>
  <c r="O2994" s="1"/>
  <c r="N2993"/>
  <c r="O2993" s="1"/>
  <c r="N2992"/>
  <c r="O2992" s="1"/>
  <c r="O2991"/>
  <c r="O2990"/>
  <c r="O2989"/>
  <c r="O2988"/>
  <c r="N2987"/>
  <c r="O2987" s="1"/>
  <c r="N2986"/>
  <c r="O2986" s="1"/>
  <c r="O2983"/>
  <c r="O2982"/>
  <c r="O2981"/>
  <c r="O2980"/>
  <c r="N2979"/>
  <c r="O2979" s="1"/>
  <c r="N2978"/>
  <c r="O2978" s="1"/>
  <c r="O2975"/>
  <c r="O2974"/>
  <c r="O2973"/>
  <c r="O2972"/>
  <c r="N2972" s="1"/>
  <c r="N2971"/>
  <c r="O2971" s="1"/>
  <c r="N2970"/>
  <c r="O2970" s="1"/>
  <c r="O2967"/>
  <c r="M2967"/>
  <c r="O2966"/>
  <c r="O2965"/>
  <c r="O2964"/>
  <c r="N2963"/>
  <c r="O2963" s="1"/>
  <c r="N2962"/>
  <c r="O2962" s="1"/>
  <c r="O2959"/>
  <c r="N2959" s="1"/>
  <c r="O2958"/>
  <c r="O2957"/>
  <c r="O2956"/>
  <c r="N2956" s="1"/>
  <c r="N2955"/>
  <c r="O2955" s="1"/>
  <c r="N2954"/>
  <c r="O2954" s="1"/>
  <c r="O2951"/>
  <c r="O2950"/>
  <c r="O2949"/>
  <c r="O2948"/>
  <c r="M2948"/>
  <c r="N2947"/>
  <c r="O2947" s="1"/>
  <c r="N2946"/>
  <c r="O2946" s="1"/>
  <c r="O2943"/>
  <c r="M2943"/>
  <c r="O2942"/>
  <c r="O2941"/>
  <c r="O2940"/>
  <c r="O2939"/>
  <c r="N2939"/>
  <c r="O2938"/>
  <c r="N2938"/>
  <c r="O2935"/>
  <c r="O2934"/>
  <c r="O2933"/>
  <c r="O2932"/>
  <c r="O2931"/>
  <c r="N2931"/>
  <c r="O2930"/>
  <c r="N2930"/>
  <c r="O2927"/>
  <c r="O2926"/>
  <c r="O2925"/>
  <c r="O2924"/>
  <c r="N2924"/>
  <c r="M2924"/>
  <c r="O2923"/>
  <c r="N2923"/>
  <c r="O2922"/>
  <c r="N2922"/>
  <c r="O2919"/>
  <c r="O2918"/>
  <c r="O2917"/>
  <c r="O2916"/>
  <c r="O2915"/>
  <c r="N2915"/>
  <c r="O2914"/>
  <c r="N2914"/>
  <c r="O2911"/>
  <c r="N2911" s="1"/>
  <c r="O2910"/>
  <c r="O2909"/>
  <c r="O2908"/>
  <c r="N2908" s="1"/>
  <c r="O2907"/>
  <c r="N2907"/>
  <c r="O2906"/>
  <c r="N2906"/>
  <c r="O2903"/>
  <c r="O2902"/>
  <c r="O2901"/>
  <c r="O2900"/>
  <c r="O2899"/>
  <c r="N2899"/>
  <c r="O2898"/>
  <c r="N2898"/>
  <c r="O2895"/>
  <c r="O2894"/>
  <c r="O2893"/>
  <c r="O2892"/>
  <c r="O2891"/>
  <c r="N2891"/>
  <c r="O2890"/>
  <c r="N2890"/>
  <c r="O2887"/>
  <c r="O2886"/>
  <c r="O2885"/>
  <c r="O2884"/>
  <c r="O2883"/>
  <c r="N2883"/>
  <c r="O2882"/>
  <c r="N2882"/>
  <c r="O2879"/>
  <c r="M2879"/>
  <c r="O2878"/>
  <c r="O2877"/>
  <c r="O2876"/>
  <c r="N2875"/>
  <c r="O2875" s="1"/>
  <c r="N2874"/>
  <c r="O2874" s="1"/>
  <c r="O2871"/>
  <c r="O2870"/>
  <c r="O2869"/>
  <c r="O2868"/>
  <c r="N2868" s="1"/>
  <c r="N2867"/>
  <c r="O2867" s="1"/>
  <c r="N2866"/>
  <c r="O2866" s="1"/>
  <c r="O2863"/>
  <c r="O2862"/>
  <c r="O2861"/>
  <c r="O2860"/>
  <c r="M2860"/>
  <c r="N2859"/>
  <c r="O2859" s="1"/>
  <c r="N2858"/>
  <c r="O2858" s="1"/>
  <c r="M2855"/>
  <c r="O2855" s="1"/>
  <c r="M2854"/>
  <c r="O2854" s="1"/>
  <c r="M2853"/>
  <c r="O2853" s="1"/>
  <c r="M2852"/>
  <c r="O2852" s="1"/>
  <c r="M2851"/>
  <c r="O2851" s="1"/>
  <c r="M2850"/>
  <c r="O2850" s="1"/>
  <c r="M2849"/>
  <c r="O2849" s="1"/>
  <c r="M2848"/>
  <c r="O2848" s="1"/>
  <c r="M2847"/>
  <c r="O2847" s="1"/>
  <c r="M2846"/>
  <c r="O2846" s="1"/>
  <c r="M2845"/>
  <c r="O2845" s="1"/>
  <c r="M2844"/>
  <c r="O2844" s="1"/>
  <c r="M2843"/>
  <c r="O2843" s="1"/>
  <c r="M2842"/>
  <c r="O2842" s="1"/>
  <c r="M2841"/>
  <c r="O2841" s="1"/>
  <c r="M2840"/>
  <c r="O2840" s="1"/>
  <c r="M2839"/>
  <c r="O2839" s="1"/>
  <c r="M2838"/>
  <c r="O2838" s="1"/>
  <c r="M2837"/>
  <c r="O2837" s="1"/>
  <c r="N2836"/>
  <c r="O2836" s="1"/>
  <c r="N2835"/>
  <c r="O2835" s="1"/>
  <c r="O2834"/>
  <c r="O2833"/>
  <c r="O2832"/>
  <c r="O2831"/>
  <c r="N2830"/>
  <c r="O2830" s="1"/>
  <c r="N2829"/>
  <c r="O2829" s="1"/>
  <c r="O2826"/>
  <c r="O2825"/>
  <c r="O2824"/>
  <c r="O2823"/>
  <c r="N2822"/>
  <c r="O2822" s="1"/>
  <c r="N2821"/>
  <c r="O2821" s="1"/>
  <c r="O2818"/>
  <c r="O2817"/>
  <c r="O2816"/>
  <c r="O2815"/>
  <c r="N2814"/>
  <c r="O2814" s="1"/>
  <c r="N2813"/>
  <c r="O2813" s="1"/>
  <c r="O2810"/>
  <c r="O2809"/>
  <c r="O2808"/>
  <c r="O2807"/>
  <c r="N2806"/>
  <c r="O2806" s="1"/>
  <c r="N2805"/>
  <c r="O2805" s="1"/>
  <c r="O2802"/>
  <c r="O2801"/>
  <c r="O2800"/>
  <c r="O2799"/>
  <c r="N2798"/>
  <c r="O2798" s="1"/>
  <c r="N2797"/>
  <c r="O2797" s="1"/>
  <c r="O2794"/>
  <c r="O2793"/>
  <c r="O2792"/>
  <c r="O2791"/>
  <c r="N2790"/>
  <c r="O2790" s="1"/>
  <c r="N2789"/>
  <c r="O2789" s="1"/>
  <c r="O2786"/>
  <c r="O2785"/>
  <c r="O2784"/>
  <c r="O2783"/>
  <c r="N2782"/>
  <c r="O2782" s="1"/>
  <c r="N2781"/>
  <c r="O2781" s="1"/>
  <c r="O2778"/>
  <c r="O2777"/>
  <c r="O2776"/>
  <c r="O2775"/>
  <c r="N2774"/>
  <c r="O2774" s="1"/>
  <c r="N2773"/>
  <c r="O2773" s="1"/>
  <c r="O2770"/>
  <c r="O2769"/>
  <c r="O2768"/>
  <c r="O2767"/>
  <c r="N2766"/>
  <c r="O2766" s="1"/>
  <c r="N2765"/>
  <c r="O2765" s="1"/>
  <c r="O2762"/>
  <c r="O2761"/>
  <c r="O2760"/>
  <c r="O2759"/>
  <c r="N2758"/>
  <c r="O2758" s="1"/>
  <c r="N2757"/>
  <c r="O2757" s="1"/>
  <c r="M2754"/>
  <c r="O2754" s="1"/>
  <c r="M2753"/>
  <c r="O2753" s="1"/>
  <c r="M2752"/>
  <c r="O2752" s="1"/>
  <c r="M2751"/>
  <c r="O2751" s="1"/>
  <c r="M2750"/>
  <c r="O2750" s="1"/>
  <c r="M2749"/>
  <c r="O2749" s="1"/>
  <c r="M2748"/>
  <c r="O2748" s="1"/>
  <c r="M2747"/>
  <c r="O2747" s="1"/>
  <c r="M2746"/>
  <c r="O2746" s="1"/>
  <c r="M2745"/>
  <c r="O2745" s="1"/>
  <c r="M2744"/>
  <c r="O2744" s="1"/>
  <c r="O2743"/>
  <c r="O2742"/>
  <c r="M2741"/>
  <c r="O2741" s="1"/>
  <c r="M2740"/>
  <c r="O2740" s="1"/>
  <c r="M2739"/>
  <c r="O2739" s="1"/>
  <c r="M2738"/>
  <c r="O2738" s="1"/>
  <c r="M2737"/>
  <c r="O2737" s="1"/>
  <c r="M2736"/>
  <c r="O2736" s="1"/>
  <c r="N2735"/>
  <c r="O2735" s="1"/>
  <c r="N2734"/>
  <c r="O2734" s="1"/>
  <c r="O2733"/>
  <c r="O2732"/>
  <c r="O2731"/>
  <c r="O2730"/>
  <c r="N2729"/>
  <c r="O2729" s="1"/>
  <c r="N2728"/>
  <c r="O2728" s="1"/>
  <c r="O2725"/>
  <c r="O2724"/>
  <c r="O2723"/>
  <c r="O2722"/>
  <c r="N2721"/>
  <c r="O2721" s="1"/>
  <c r="N2720"/>
  <c r="O2720" s="1"/>
  <c r="O2717"/>
  <c r="O2716"/>
  <c r="O2715"/>
  <c r="O2714"/>
  <c r="N2713"/>
  <c r="O2713" s="1"/>
  <c r="N2712"/>
  <c r="O2712" s="1"/>
  <c r="O2709"/>
  <c r="O2708"/>
  <c r="O2707"/>
  <c r="O2706"/>
  <c r="N2705"/>
  <c r="O2705" s="1"/>
  <c r="N2704"/>
  <c r="O2704" s="1"/>
  <c r="O2701"/>
  <c r="O2700"/>
  <c r="O2699"/>
  <c r="O2698"/>
  <c r="N2697"/>
  <c r="O2697" s="1"/>
  <c r="N2696"/>
  <c r="O2696" s="1"/>
  <c r="O2693"/>
  <c r="M2693"/>
  <c r="M2692"/>
  <c r="O2692" s="1"/>
  <c r="M2691"/>
  <c r="O2691" s="1"/>
  <c r="M2690"/>
  <c r="O2690" s="1"/>
  <c r="M2689"/>
  <c r="O2689" s="1"/>
  <c r="M2688"/>
  <c r="O2688" s="1"/>
  <c r="M2687"/>
  <c r="O2687" s="1"/>
  <c r="M2686"/>
  <c r="O2686" s="1"/>
  <c r="O2685"/>
  <c r="M2685"/>
  <c r="M2684"/>
  <c r="O2684" s="1"/>
  <c r="M2683"/>
  <c r="O2683" s="1"/>
  <c r="M2682"/>
  <c r="O2682" s="1"/>
  <c r="M2681"/>
  <c r="O2681" s="1"/>
  <c r="M2680"/>
  <c r="O2680" s="1"/>
  <c r="M2679"/>
  <c r="O2679" s="1"/>
  <c r="M2678"/>
  <c r="O2678" s="1"/>
  <c r="O2677"/>
  <c r="M2677"/>
  <c r="M2676"/>
  <c r="O2676" s="1"/>
  <c r="M2675"/>
  <c r="O2675" s="1"/>
  <c r="N2674"/>
  <c r="O2674" s="1"/>
  <c r="N2673"/>
  <c r="O2673" s="1"/>
  <c r="O2672"/>
  <c r="O2671"/>
  <c r="N2671" s="1"/>
  <c r="O2670"/>
  <c r="O2669"/>
  <c r="N2668"/>
  <c r="O2668" s="1"/>
  <c r="O2667"/>
  <c r="N2667" s="1"/>
  <c r="O2666"/>
  <c r="N2666" s="1"/>
  <c r="O2664"/>
  <c r="O2663"/>
  <c r="O2662"/>
  <c r="O2661"/>
  <c r="N2660"/>
  <c r="O2660" s="1"/>
  <c r="O2659"/>
  <c r="N2659"/>
  <c r="O2656"/>
  <c r="O2655"/>
  <c r="O2654"/>
  <c r="O2653"/>
  <c r="N2652"/>
  <c r="O2652" s="1"/>
  <c r="N2651"/>
  <c r="O2651" s="1"/>
  <c r="O2648"/>
  <c r="O2647"/>
  <c r="O2646"/>
  <c r="O2645"/>
  <c r="N2644"/>
  <c r="O2644" s="1"/>
  <c r="N2643"/>
  <c r="O2643" s="1"/>
  <c r="O2640"/>
  <c r="O2639"/>
  <c r="O2638"/>
  <c r="O2637"/>
  <c r="N2636"/>
  <c r="O2636" s="1"/>
  <c r="N2635"/>
  <c r="O2635" s="1"/>
  <c r="O2632"/>
  <c r="O2631"/>
  <c r="O2630"/>
  <c r="O2629"/>
  <c r="N2628"/>
  <c r="O2628" s="1"/>
  <c r="O2627"/>
  <c r="N2627"/>
  <c r="O2624"/>
  <c r="O2623"/>
  <c r="O2622"/>
  <c r="O2621"/>
  <c r="N2620"/>
  <c r="O2620" s="1"/>
  <c r="N2619"/>
  <c r="O2619" s="1"/>
  <c r="O2616"/>
  <c r="O2615"/>
  <c r="O2614"/>
  <c r="O2613"/>
  <c r="N2612"/>
  <c r="O2612" s="1"/>
  <c r="N2611"/>
  <c r="O2611" s="1"/>
  <c r="M2608"/>
  <c r="O2608" s="1"/>
  <c r="M2607"/>
  <c r="O2607" s="1"/>
  <c r="M2606"/>
  <c r="O2606" s="1"/>
  <c r="O2605"/>
  <c r="M2605"/>
  <c r="M2604"/>
  <c r="O2604" s="1"/>
  <c r="M2603"/>
  <c r="O2603" s="1"/>
  <c r="M2602"/>
  <c r="O2602" s="1"/>
  <c r="M2601"/>
  <c r="O2601" s="1"/>
  <c r="M2600"/>
  <c r="O2600" s="1"/>
  <c r="M2599"/>
  <c r="O2599" s="1"/>
  <c r="M2598"/>
  <c r="O2598" s="1"/>
  <c r="O2597"/>
  <c r="M2597"/>
  <c r="M2596"/>
  <c r="O2596" s="1"/>
  <c r="M2595"/>
  <c r="O2595" s="1"/>
  <c r="M2594"/>
  <c r="O2594" s="1"/>
  <c r="M2593"/>
  <c r="O2593" s="1"/>
  <c r="M2592"/>
  <c r="O2592" s="1"/>
  <c r="M2591"/>
  <c r="O2591" s="1"/>
  <c r="M2590"/>
  <c r="O2590" s="1"/>
  <c r="O2589"/>
  <c r="N2588"/>
  <c r="O2588" s="1"/>
  <c r="O2587"/>
  <c r="O2586"/>
  <c r="O2585"/>
  <c r="O2584"/>
  <c r="N2583"/>
  <c r="O2583" s="1"/>
  <c r="N2582"/>
  <c r="O2582" s="1"/>
  <c r="O2579"/>
  <c r="O2578"/>
  <c r="O2577"/>
  <c r="O2576"/>
  <c r="N2575"/>
  <c r="O2575" s="1"/>
  <c r="N2574"/>
  <c r="O2574" s="1"/>
  <c r="O2571"/>
  <c r="O2570"/>
  <c r="N2569"/>
  <c r="O2569" s="1"/>
  <c r="O2568"/>
  <c r="N2567"/>
  <c r="O2567" s="1"/>
  <c r="N2566"/>
  <c r="O2566" s="1"/>
  <c r="O2564"/>
  <c r="O2563"/>
  <c r="O2562"/>
  <c r="O2561"/>
  <c r="N2560"/>
  <c r="O2560" s="1"/>
  <c r="N2559"/>
  <c r="O2559" s="1"/>
  <c r="O2556"/>
  <c r="O2555"/>
  <c r="O2554"/>
  <c r="O2553"/>
  <c r="O2552"/>
  <c r="N2552"/>
  <c r="N2551"/>
  <c r="O2551" s="1"/>
  <c r="O2548"/>
  <c r="O2547"/>
  <c r="O2546"/>
  <c r="O2545"/>
  <c r="N2544"/>
  <c r="O2544" s="1"/>
  <c r="N2543"/>
  <c r="O2543" s="1"/>
  <c r="O2540"/>
  <c r="O2539"/>
  <c r="O2538"/>
  <c r="O2537"/>
  <c r="N2536"/>
  <c r="O2536" s="1"/>
  <c r="N2535"/>
  <c r="O2535" s="1"/>
  <c r="O2532"/>
  <c r="O2531"/>
  <c r="O2530"/>
  <c r="O2529"/>
  <c r="N2528"/>
  <c r="O2528" s="1"/>
  <c r="N2527"/>
  <c r="O2527" s="1"/>
  <c r="O2524"/>
  <c r="O2523"/>
  <c r="O2522"/>
  <c r="O2521"/>
  <c r="O2520"/>
  <c r="N2520"/>
  <c r="N2519"/>
  <c r="O2519" s="1"/>
  <c r="M2516"/>
  <c r="O2516" s="1"/>
  <c r="M2515"/>
  <c r="O2515" s="1"/>
  <c r="M2514"/>
  <c r="O2514" s="1"/>
  <c r="M2513"/>
  <c r="O2513" s="1"/>
  <c r="M2512"/>
  <c r="O2512" s="1"/>
  <c r="M2511"/>
  <c r="O2511" s="1"/>
  <c r="O2510"/>
  <c r="M2510"/>
  <c r="M2509"/>
  <c r="O2509" s="1"/>
  <c r="M2508"/>
  <c r="O2508" s="1"/>
  <c r="M2507"/>
  <c r="O2507" s="1"/>
  <c r="M2506"/>
  <c r="O2506" s="1"/>
  <c r="M2505"/>
  <c r="O2505" s="1"/>
  <c r="M2504"/>
  <c r="O2504" s="1"/>
  <c r="M2503"/>
  <c r="O2503" s="1"/>
  <c r="M2502"/>
  <c r="O2502" s="1"/>
  <c r="M2501"/>
  <c r="O2501" s="1"/>
  <c r="M2500"/>
  <c r="O2500" s="1"/>
  <c r="M2499"/>
  <c r="O2499" s="1"/>
  <c r="M2498"/>
  <c r="O2498" s="1"/>
  <c r="N2497"/>
  <c r="O2497" s="1"/>
  <c r="N2496"/>
  <c r="O2496" s="1"/>
  <c r="O2495"/>
  <c r="O2494"/>
  <c r="O2493"/>
  <c r="O2492"/>
  <c r="N2491"/>
  <c r="O2491" s="1"/>
  <c r="N2490"/>
  <c r="O2490" s="1"/>
  <c r="O2487"/>
  <c r="O2486"/>
  <c r="O2485"/>
  <c r="O2484"/>
  <c r="N2483"/>
  <c r="O2483" s="1"/>
  <c r="N2482"/>
  <c r="O2482" s="1"/>
  <c r="O2479"/>
  <c r="O2478"/>
  <c r="O2477"/>
  <c r="O2476"/>
  <c r="N2475"/>
  <c r="O2475" s="1"/>
  <c r="N2474"/>
  <c r="O2474" s="1"/>
  <c r="O2471"/>
  <c r="O2470"/>
  <c r="O2469"/>
  <c r="O2468"/>
  <c r="N2467"/>
  <c r="O2467" s="1"/>
  <c r="N2466"/>
  <c r="O2466" s="1"/>
  <c r="O2463"/>
  <c r="O2462"/>
  <c r="O2461"/>
  <c r="O2460"/>
  <c r="N2459"/>
  <c r="O2459" s="1"/>
  <c r="N2458"/>
  <c r="O2458" s="1"/>
  <c r="O2455"/>
  <c r="O2454"/>
  <c r="O2453"/>
  <c r="O2452"/>
  <c r="N2451"/>
  <c r="O2451" s="1"/>
  <c r="N2450"/>
  <c r="O2450" s="1"/>
  <c r="O2447"/>
  <c r="O2446"/>
  <c r="O2445"/>
  <c r="O2444"/>
  <c r="N2443"/>
  <c r="O2443" s="1"/>
  <c r="N2442"/>
  <c r="O2442" s="1"/>
  <c r="O2439"/>
  <c r="O2438"/>
  <c r="O2437"/>
  <c r="O2436"/>
  <c r="N2435"/>
  <c r="O2435" s="1"/>
  <c r="N2434"/>
  <c r="O2434" s="1"/>
  <c r="O2431"/>
  <c r="O2430"/>
  <c r="O2429"/>
  <c r="O2428"/>
  <c r="N2427"/>
  <c r="O2427" s="1"/>
  <c r="N2426"/>
  <c r="O2426" s="1"/>
  <c r="O2423"/>
  <c r="O2422"/>
  <c r="O2421"/>
  <c r="O2420"/>
  <c r="N2419"/>
  <c r="O2419" s="1"/>
  <c r="N2418"/>
  <c r="O2418" s="1"/>
  <c r="O2415"/>
  <c r="O2414"/>
  <c r="O2413"/>
  <c r="O2412"/>
  <c r="N2411"/>
  <c r="O2411" s="1"/>
  <c r="N2410"/>
  <c r="O2410" s="1"/>
  <c r="O2407"/>
  <c r="O2406"/>
  <c r="O2405"/>
  <c r="O2404"/>
  <c r="N2403"/>
  <c r="O2403" s="1"/>
  <c r="N2402"/>
  <c r="O2402" s="1"/>
  <c r="M2401"/>
  <c r="O2401" s="1"/>
  <c r="M2400"/>
  <c r="O2400" s="1"/>
  <c r="M2397"/>
  <c r="O2397" s="1"/>
  <c r="M2396"/>
  <c r="O2396" s="1"/>
  <c r="M2395"/>
  <c r="O2395" s="1"/>
  <c r="M2394"/>
  <c r="O2394" s="1"/>
  <c r="M2393"/>
  <c r="O2393" s="1"/>
  <c r="M2392"/>
  <c r="O2392" s="1"/>
  <c r="M2391"/>
  <c r="O2391" s="1"/>
  <c r="M2390"/>
  <c r="O2390" s="1"/>
  <c r="M2389"/>
  <c r="O2389" s="1"/>
  <c r="M2388"/>
  <c r="O2388" s="1"/>
  <c r="M2387"/>
  <c r="O2387" s="1"/>
  <c r="M2386"/>
  <c r="O2386" s="1"/>
  <c r="M2385"/>
  <c r="O2385" s="1"/>
  <c r="M2384"/>
  <c r="O2384" s="1"/>
  <c r="M2383"/>
  <c r="O2383" s="1"/>
  <c r="M2382"/>
  <c r="O2382" s="1"/>
  <c r="M2381"/>
  <c r="O2381" s="1"/>
  <c r="N2380"/>
  <c r="O2380" s="1"/>
  <c r="N2379"/>
  <c r="O2379" s="1"/>
  <c r="O2378"/>
  <c r="O2377"/>
  <c r="O2376"/>
  <c r="O2375"/>
  <c r="N2374"/>
  <c r="O2374" s="1"/>
  <c r="N2373"/>
  <c r="O2373" s="1"/>
  <c r="O2370"/>
  <c r="O2369"/>
  <c r="O2368"/>
  <c r="O2367"/>
  <c r="N2366"/>
  <c r="O2366" s="1"/>
  <c r="N2365"/>
  <c r="O2365" s="1"/>
  <c r="O2362"/>
  <c r="O2361"/>
  <c r="O2360"/>
  <c r="O2359"/>
  <c r="N2358"/>
  <c r="O2358" s="1"/>
  <c r="N2357"/>
  <c r="O2357" s="1"/>
  <c r="O2354"/>
  <c r="O2353"/>
  <c r="O2352"/>
  <c r="O2351"/>
  <c r="N2350"/>
  <c r="O2350" s="1"/>
  <c r="N2349"/>
  <c r="O2349" s="1"/>
  <c r="O2346"/>
  <c r="O2345"/>
  <c r="O2344"/>
  <c r="O2343"/>
  <c r="N2342"/>
  <c r="O2342" s="1"/>
  <c r="N2341"/>
  <c r="O2341" s="1"/>
  <c r="O2338"/>
  <c r="O2337"/>
  <c r="O2336"/>
  <c r="O2335"/>
  <c r="N2334"/>
  <c r="O2334" s="1"/>
  <c r="N2333"/>
  <c r="O2333" s="1"/>
  <c r="O2330"/>
  <c r="O2329"/>
  <c r="O2328"/>
  <c r="N2327"/>
  <c r="O2327" s="1"/>
  <c r="N2326"/>
  <c r="O2326" s="1"/>
  <c r="O2323"/>
  <c r="O2322"/>
  <c r="O2321"/>
  <c r="O2320"/>
  <c r="O2319"/>
  <c r="N2318"/>
  <c r="O2318" s="1"/>
  <c r="N2317"/>
  <c r="O2317" s="1"/>
  <c r="O2314"/>
  <c r="O2313"/>
  <c r="O2312"/>
  <c r="O2311"/>
  <c r="N2310"/>
  <c r="O2310" s="1"/>
  <c r="N2309"/>
  <c r="O2309" s="1"/>
  <c r="O2306"/>
  <c r="O2305"/>
  <c r="O2304"/>
  <c r="O2303"/>
  <c r="N2302"/>
  <c r="O2302" s="1"/>
  <c r="N2301"/>
  <c r="O2301" s="1"/>
  <c r="O2298"/>
  <c r="O2297"/>
  <c r="O2296"/>
  <c r="O2295"/>
  <c r="N2294"/>
  <c r="O2294" s="1"/>
  <c r="N2293"/>
  <c r="O2293" s="1"/>
  <c r="O2290"/>
  <c r="O2289"/>
  <c r="O2288"/>
  <c r="O2287"/>
  <c r="N2286"/>
  <c r="O2286" s="1"/>
  <c r="N2285"/>
  <c r="O2285" s="1"/>
  <c r="O2282"/>
  <c r="O2281"/>
  <c r="O2280"/>
  <c r="O2279"/>
  <c r="N2278"/>
  <c r="O2278" s="1"/>
  <c r="N2277"/>
  <c r="O2277" s="1"/>
  <c r="O2274"/>
  <c r="O2273"/>
  <c r="O2272"/>
  <c r="O2271"/>
  <c r="N2270"/>
  <c r="O2270" s="1"/>
  <c r="N2269"/>
  <c r="O2269" s="1"/>
  <c r="O2266"/>
  <c r="O2265"/>
  <c r="O2264"/>
  <c r="O2263"/>
  <c r="N2262"/>
  <c r="O2262" s="1"/>
  <c r="N2261"/>
  <c r="O2261" s="1"/>
  <c r="O2258"/>
  <c r="O2257"/>
  <c r="O2256"/>
  <c r="O2255"/>
  <c r="N2254"/>
  <c r="O2254" s="1"/>
  <c r="N2253"/>
  <c r="O2253" s="1"/>
  <c r="O2250"/>
  <c r="O2249"/>
  <c r="O2248"/>
  <c r="O2247"/>
  <c r="N2246"/>
  <c r="O2246" s="1"/>
  <c r="N2245"/>
  <c r="O2245" s="1"/>
  <c r="M2242"/>
  <c r="O2242" s="1"/>
  <c r="M2241"/>
  <c r="O2241" s="1"/>
  <c r="M2240"/>
  <c r="O2240" s="1"/>
  <c r="M2239"/>
  <c r="O2239" s="1"/>
  <c r="M2238"/>
  <c r="O2238" s="1"/>
  <c r="M2237"/>
  <c r="O2237" s="1"/>
  <c r="M2236"/>
  <c r="O2236" s="1"/>
  <c r="M2235"/>
  <c r="O2235" s="1"/>
  <c r="M2234"/>
  <c r="O2234" s="1"/>
  <c r="M2233"/>
  <c r="O2233" s="1"/>
  <c r="M2232"/>
  <c r="O2232" s="1"/>
  <c r="M2231"/>
  <c r="O2231" s="1"/>
  <c r="M2230"/>
  <c r="O2230" s="1"/>
  <c r="M2229"/>
  <c r="O2229" s="1"/>
  <c r="M2228"/>
  <c r="O2228" s="1"/>
  <c r="M2227"/>
  <c r="O2227" s="1"/>
  <c r="M2226"/>
  <c r="O2226" s="1"/>
  <c r="M2225"/>
  <c r="O2225" s="1"/>
  <c r="M2224"/>
  <c r="O2224" s="1"/>
  <c r="N2223"/>
  <c r="O2223" s="1"/>
  <c r="N2222"/>
  <c r="O2222" s="1"/>
  <c r="O2221"/>
  <c r="O2220"/>
  <c r="O2219"/>
  <c r="O2218"/>
  <c r="N2217"/>
  <c r="O2217" s="1"/>
  <c r="N2216"/>
  <c r="O2216" s="1"/>
  <c r="O2213"/>
  <c r="O2212"/>
  <c r="N2211"/>
  <c r="O2211" s="1"/>
  <c r="O2210"/>
  <c r="N2209"/>
  <c r="O2209" s="1"/>
  <c r="N2208"/>
  <c r="O2208" s="1"/>
  <c r="O2206"/>
  <c r="O2205"/>
  <c r="N2204"/>
  <c r="O2204" s="1"/>
  <c r="O2203"/>
  <c r="N2202"/>
  <c r="O2202" s="1"/>
  <c r="N2201"/>
  <c r="O2201" s="1"/>
  <c r="O2199"/>
  <c r="O2198"/>
  <c r="O2197"/>
  <c r="O2196"/>
  <c r="N2195"/>
  <c r="O2195" s="1"/>
  <c r="N2194"/>
  <c r="O2194" s="1"/>
  <c r="O2191"/>
  <c r="O2190"/>
  <c r="O2189"/>
  <c r="O2188"/>
  <c r="N2187"/>
  <c r="O2187" s="1"/>
  <c r="N2186"/>
  <c r="O2186" s="1"/>
  <c r="O2183"/>
  <c r="O2182"/>
  <c r="O2181"/>
  <c r="O2180"/>
  <c r="N2179"/>
  <c r="O2179" s="1"/>
  <c r="N2178"/>
  <c r="O2178" s="1"/>
  <c r="O2175"/>
  <c r="O2174"/>
  <c r="O2173"/>
  <c r="O2172"/>
  <c r="N2171"/>
  <c r="O2171" s="1"/>
  <c r="N2170"/>
  <c r="O2170" s="1"/>
  <c r="O2167"/>
  <c r="O2166"/>
  <c r="O2165"/>
  <c r="O2164"/>
  <c r="N2163"/>
  <c r="O2163" s="1"/>
  <c r="N2162"/>
  <c r="O2162" s="1"/>
  <c r="O2159"/>
  <c r="O2158"/>
  <c r="O2157"/>
  <c r="O2156"/>
  <c r="N2155"/>
  <c r="O2155" s="1"/>
  <c r="N2154"/>
  <c r="O2154" s="1"/>
  <c r="O2151"/>
  <c r="O2150"/>
  <c r="O2149"/>
  <c r="O2148"/>
  <c r="N2147"/>
  <c r="O2147" s="1"/>
  <c r="N2146"/>
  <c r="O2146" s="1"/>
  <c r="O2143"/>
  <c r="O2142"/>
  <c r="O2141"/>
  <c r="O2140"/>
  <c r="N2139"/>
  <c r="O2139" s="1"/>
  <c r="N2138"/>
  <c r="O2138" s="1"/>
  <c r="O2135"/>
  <c r="O2134"/>
  <c r="O2133"/>
  <c r="O2132"/>
  <c r="N2131"/>
  <c r="O2131" s="1"/>
  <c r="N2130"/>
  <c r="O2130" s="1"/>
  <c r="O2127"/>
  <c r="O2126"/>
  <c r="O2125"/>
  <c r="O2124"/>
  <c r="N2123"/>
  <c r="O2123" s="1"/>
  <c r="N2122"/>
  <c r="O2122" s="1"/>
  <c r="O2119"/>
  <c r="O2118"/>
  <c r="O2117"/>
  <c r="O2116"/>
  <c r="N2115"/>
  <c r="O2115" s="1"/>
  <c r="N2114"/>
  <c r="O2114" s="1"/>
  <c r="M2111"/>
  <c r="O2111" s="1"/>
  <c r="M2110"/>
  <c r="O2110" s="1"/>
  <c r="M2109"/>
  <c r="O2109" s="1"/>
  <c r="M2108"/>
  <c r="O2108" s="1"/>
  <c r="M2107"/>
  <c r="O2107" s="1"/>
  <c r="M2106"/>
  <c r="O2106" s="1"/>
  <c r="M2105"/>
  <c r="O2105" s="1"/>
  <c r="M2104"/>
  <c r="O2104" s="1"/>
  <c r="M2103"/>
  <c r="O2103" s="1"/>
  <c r="M2102"/>
  <c r="O2102" s="1"/>
  <c r="M2101"/>
  <c r="O2101" s="1"/>
  <c r="M2100"/>
  <c r="O2100" s="1"/>
  <c r="M2099"/>
  <c r="O2099" s="1"/>
  <c r="M2098"/>
  <c r="O2098" s="1"/>
  <c r="M2097"/>
  <c r="O2097" s="1"/>
  <c r="M2096"/>
  <c r="O2096" s="1"/>
  <c r="M2095"/>
  <c r="O2095" s="1"/>
  <c r="M2094"/>
  <c r="O2094" s="1"/>
  <c r="M2093"/>
  <c r="O2093" s="1"/>
  <c r="N2092"/>
  <c r="O2092" s="1"/>
  <c r="O2091"/>
  <c r="N2091" s="1"/>
  <c r="O2090"/>
  <c r="O2089"/>
  <c r="O2088"/>
  <c r="N2087"/>
  <c r="N2086"/>
  <c r="N2085"/>
  <c r="N2084"/>
  <c r="N2083"/>
  <c r="N2082"/>
  <c r="N2081"/>
  <c r="N2080"/>
  <c r="N2079"/>
  <c r="N2078"/>
  <c r="N2077"/>
  <c r="N2076"/>
  <c r="N2075"/>
  <c r="O2074"/>
  <c r="N2074" s="1"/>
  <c r="N2073"/>
  <c r="N2072"/>
  <c r="N2071"/>
  <c r="N2070"/>
  <c r="N2069"/>
  <c r="N2068"/>
  <c r="N2067"/>
  <c r="N2066"/>
  <c r="N2065"/>
  <c r="O2064"/>
  <c r="N2064" s="1"/>
  <c r="O2063"/>
  <c r="N2063" s="1"/>
  <c r="N2062"/>
  <c r="N2061"/>
  <c r="N2060"/>
  <c r="N2059"/>
  <c r="N2058"/>
  <c r="O2057"/>
  <c r="N2057" s="1"/>
  <c r="O2056"/>
  <c r="N2056" s="1"/>
  <c r="N2055"/>
  <c r="N2054"/>
  <c r="N2053"/>
  <c r="N2052"/>
  <c r="N2051"/>
  <c r="N2050"/>
  <c r="N2049"/>
  <c r="N2048"/>
  <c r="O2047"/>
  <c r="N2047" s="1"/>
  <c r="N2046"/>
  <c r="N2045"/>
  <c r="N2044"/>
  <c r="N2043"/>
  <c r="N2042"/>
  <c r="N2041"/>
  <c r="N2040"/>
  <c r="N2039"/>
  <c r="N2038"/>
  <c r="N2037"/>
  <c r="N2036"/>
  <c r="N2035"/>
  <c r="N2034"/>
  <c r="N2033"/>
  <c r="N2032"/>
  <c r="N2031"/>
  <c r="N2030"/>
  <c r="N2029"/>
  <c r="N2028"/>
  <c r="N2027"/>
  <c r="N2026"/>
  <c r="N2025"/>
  <c r="N2024"/>
  <c r="N2023"/>
  <c r="N2022"/>
  <c r="N2021"/>
  <c r="N2020"/>
  <c r="N2019"/>
  <c r="N2018"/>
  <c r="N2017"/>
  <c r="N2016"/>
  <c r="N2015"/>
  <c r="O2014"/>
  <c r="N2014" s="1"/>
  <c r="N2013"/>
  <c r="O2012"/>
  <c r="N2012" s="1"/>
  <c r="N2011"/>
  <c r="N2010"/>
  <c r="N2009"/>
  <c r="N2008"/>
  <c r="N2007"/>
  <c r="N2006"/>
  <c r="N2005"/>
  <c r="N2004"/>
  <c r="N2003"/>
  <c r="N2002"/>
  <c r="N2000"/>
  <c r="N1999"/>
  <c r="N1998"/>
  <c r="N1997"/>
  <c r="N1996"/>
  <c r="N1995"/>
  <c r="N1994"/>
  <c r="N1993"/>
  <c r="N1992"/>
  <c r="N1991"/>
  <c r="N1990"/>
  <c r="N1989"/>
  <c r="N1988"/>
  <c r="N1987"/>
  <c r="N1986"/>
  <c r="N1985"/>
  <c r="N1984"/>
  <c r="N1983"/>
  <c r="N1982"/>
  <c r="N1981"/>
  <c r="N1980"/>
  <c r="N1979"/>
  <c r="N1978"/>
  <c r="N1977"/>
  <c r="N1976"/>
  <c r="N1975"/>
  <c r="N1974"/>
  <c r="N1973"/>
  <c r="N1972"/>
  <c r="N1971"/>
  <c r="N1970"/>
  <c r="N1969"/>
  <c r="N1968"/>
  <c r="N1967"/>
  <c r="N1966"/>
  <c r="N1965"/>
  <c r="N1964"/>
  <c r="N1963"/>
  <c r="N1962"/>
  <c r="N1961"/>
  <c r="N1960"/>
  <c r="N1959"/>
  <c r="N1958"/>
  <c r="N1957"/>
  <c r="N1956"/>
  <c r="N1955"/>
  <c r="N1954"/>
  <c r="N1953"/>
  <c r="N1952"/>
  <c r="N1951"/>
  <c r="N1950"/>
  <c r="N1949"/>
  <c r="N1948"/>
  <c r="N1947"/>
  <c r="N1946"/>
  <c r="N1945"/>
  <c r="N1944"/>
  <c r="O1943"/>
  <c r="N1943"/>
  <c r="N1942"/>
  <c r="O1941"/>
  <c r="N1941" s="1"/>
  <c r="O1940"/>
  <c r="N1940" s="1"/>
  <c r="O1939"/>
  <c r="N1939" s="1"/>
  <c r="O1938"/>
  <c r="N1938" s="1"/>
  <c r="O1937"/>
  <c r="N1937" s="1"/>
  <c r="N1936"/>
  <c r="N1935"/>
  <c r="N1934"/>
  <c r="O1933"/>
  <c r="N1933" s="1"/>
  <c r="O1932"/>
  <c r="N1932" s="1"/>
  <c r="N1931"/>
  <c r="N1930"/>
  <c r="O1927"/>
  <c r="N1927" s="1"/>
  <c r="O1926"/>
  <c r="N1926" s="1"/>
  <c r="N1925"/>
  <c r="N1924"/>
  <c r="N1923"/>
  <c r="N1922"/>
  <c r="N1921"/>
  <c r="N1920"/>
  <c r="N1919"/>
  <c r="N1918"/>
  <c r="N1917"/>
  <c r="N1916"/>
  <c r="N1915"/>
  <c r="N1914"/>
  <c r="N1913"/>
  <c r="N1912"/>
  <c r="N1911"/>
  <c r="N1910"/>
  <c r="N1908"/>
  <c r="N1907"/>
  <c r="N1906"/>
  <c r="N1905"/>
  <c r="N1904"/>
  <c r="N1903"/>
  <c r="O1902"/>
  <c r="N1902" s="1"/>
  <c r="N1901"/>
  <c r="N1900"/>
  <c r="N1899"/>
  <c r="N1898"/>
  <c r="N1897"/>
  <c r="N1896"/>
  <c r="N1895"/>
  <c r="N1893"/>
  <c r="N1892"/>
  <c r="N1891"/>
  <c r="N1890"/>
  <c r="N1889"/>
  <c r="N1888"/>
  <c r="N1887"/>
  <c r="N1886"/>
  <c r="N1885"/>
  <c r="N1884"/>
  <c r="N1883"/>
  <c r="N1882"/>
  <c r="O1881"/>
  <c r="N1881" s="1"/>
  <c r="O1880"/>
  <c r="N1880" s="1"/>
  <c r="N1879"/>
  <c r="N1878"/>
  <c r="N1877"/>
  <c r="O1876"/>
  <c r="O1875"/>
  <c r="O1874"/>
  <c r="O1873"/>
  <c r="N1873" s="1"/>
  <c r="O1872"/>
  <c r="O1871"/>
  <c r="O1870"/>
  <c r="O1869"/>
  <c r="O1868"/>
  <c r="O1867"/>
  <c r="N1867" s="1"/>
  <c r="O1866"/>
  <c r="O1864"/>
  <c r="O1863"/>
  <c r="N1863" s="1"/>
  <c r="O1862"/>
  <c r="O1861"/>
  <c r="O1860"/>
  <c r="O1859"/>
  <c r="O1858"/>
  <c r="O1857"/>
  <c r="O1856"/>
  <c r="O1855"/>
  <c r="O1854"/>
  <c r="O1853"/>
  <c r="O1852"/>
  <c r="O1851"/>
  <c r="O1850"/>
  <c r="O1849"/>
  <c r="O1848"/>
  <c r="O1847"/>
  <c r="O1846"/>
  <c r="O1845"/>
  <c r="O1844"/>
  <c r="O1843"/>
  <c r="O1842"/>
  <c r="O1841"/>
  <c r="O1840"/>
  <c r="O1839"/>
  <c r="O1838"/>
  <c r="O1837"/>
  <c r="O1836"/>
  <c r="O1835"/>
  <c r="O1834"/>
  <c r="O1833"/>
  <c r="O1832"/>
  <c r="O1831"/>
  <c r="O1830"/>
  <c r="O1829"/>
  <c r="O1828"/>
  <c r="O1827"/>
  <c r="O1826"/>
  <c r="O1825"/>
  <c r="O1824"/>
  <c r="O1823"/>
  <c r="O1822"/>
  <c r="O1821"/>
  <c r="O1820"/>
  <c r="O1819"/>
  <c r="O1818"/>
  <c r="O1817"/>
  <c r="O1816"/>
  <c r="O1815"/>
  <c r="O1814"/>
  <c r="O1813"/>
  <c r="O1812"/>
  <c r="O1811"/>
  <c r="O1810"/>
  <c r="O1809"/>
  <c r="O1808"/>
  <c r="O1807"/>
  <c r="O1806"/>
  <c r="O1805"/>
  <c r="O1804"/>
  <c r="O1803"/>
  <c r="O1802"/>
  <c r="O1801"/>
  <c r="O1800"/>
  <c r="O1799"/>
  <c r="O1798"/>
  <c r="O1797"/>
  <c r="O1796"/>
  <c r="O1795"/>
  <c r="O1794"/>
  <c r="O1793"/>
  <c r="O1792"/>
  <c r="O1791"/>
  <c r="O1790"/>
  <c r="O1789"/>
  <c r="O1788"/>
  <c r="O1787"/>
  <c r="O1786"/>
  <c r="O1785"/>
  <c r="O1784"/>
  <c r="O1783"/>
  <c r="O1782"/>
  <c r="O1781"/>
  <c r="O1780"/>
  <c r="O1779"/>
  <c r="O1778"/>
  <c r="O1777"/>
  <c r="O1776"/>
  <c r="O1775"/>
  <c r="O1774"/>
  <c r="O1773"/>
  <c r="O1772"/>
  <c r="N1772" s="1"/>
  <c r="O1771"/>
  <c r="N1771" s="1"/>
  <c r="O1770"/>
  <c r="N1770" s="1"/>
  <c r="O1769"/>
  <c r="N1769" s="1"/>
  <c r="O1768"/>
  <c r="N1768" s="1"/>
  <c r="O1767"/>
  <c r="N1767" s="1"/>
  <c r="O1766"/>
  <c r="N1766" s="1"/>
  <c r="O1765"/>
  <c r="N1765" s="1"/>
  <c r="O1764"/>
  <c r="N1764" s="1"/>
  <c r="O1763"/>
  <c r="N1763" s="1"/>
  <c r="O1762"/>
  <c r="N1762" s="1"/>
  <c r="O1761"/>
  <c r="N1761" s="1"/>
  <c r="O1760"/>
  <c r="N1760" s="1"/>
  <c r="O1759"/>
  <c r="N1759" s="1"/>
  <c r="O1758"/>
  <c r="N1758" s="1"/>
  <c r="O1757"/>
  <c r="N1757" s="1"/>
  <c r="O1756"/>
  <c r="N1756" s="1"/>
  <c r="O1755"/>
  <c r="N1755" s="1"/>
  <c r="O1754"/>
  <c r="N1754" s="1"/>
  <c r="O1753"/>
  <c r="N1753" s="1"/>
  <c r="O1752"/>
  <c r="N1752" s="1"/>
  <c r="O1751"/>
  <c r="N1751" s="1"/>
  <c r="O1750"/>
  <c r="N1750" s="1"/>
  <c r="O1749"/>
  <c r="N1749" s="1"/>
  <c r="O1748"/>
  <c r="N1748" s="1"/>
  <c r="O1747"/>
  <c r="N1747" s="1"/>
  <c r="O1746"/>
  <c r="N1746" s="1"/>
  <c r="O1745"/>
  <c r="N1745" s="1"/>
  <c r="N1744"/>
  <c r="N1743"/>
  <c r="O1742"/>
  <c r="N1742" s="1"/>
  <c r="O1741"/>
  <c r="N1741" s="1"/>
  <c r="O1740"/>
  <c r="N1740" s="1"/>
  <c r="O1739"/>
  <c r="N1739" s="1"/>
  <c r="O1738"/>
  <c r="N1738" s="1"/>
  <c r="O1737"/>
  <c r="N1737" s="1"/>
  <c r="O1736"/>
  <c r="N1736" s="1"/>
  <c r="O1735"/>
  <c r="N1735" s="1"/>
  <c r="O1734"/>
  <c r="N1734" s="1"/>
  <c r="O1733"/>
  <c r="N1733" s="1"/>
  <c r="O1732"/>
  <c r="N1732" s="1"/>
  <c r="O1731"/>
  <c r="N1731" s="1"/>
  <c r="O1730"/>
  <c r="N1730" s="1"/>
  <c r="O1729"/>
  <c r="N1729" s="1"/>
  <c r="O1728"/>
  <c r="N1728" s="1"/>
  <c r="O1727"/>
  <c r="N1727" s="1"/>
  <c r="O1726"/>
  <c r="N1726" s="1"/>
  <c r="O1725"/>
  <c r="N1725" s="1"/>
  <c r="O1724"/>
  <c r="N1724" s="1"/>
  <c r="O1723"/>
  <c r="N1723" s="1"/>
  <c r="O1722"/>
  <c r="N1722" s="1"/>
  <c r="O1721"/>
  <c r="N1721" s="1"/>
  <c r="O1720"/>
  <c r="N1720" s="1"/>
  <c r="O1719"/>
  <c r="N1719" s="1"/>
  <c r="O1718"/>
  <c r="O1717"/>
  <c r="O1716"/>
  <c r="O1715"/>
  <c r="O1714"/>
  <c r="O1713"/>
  <c r="O1712"/>
  <c r="O1711"/>
  <c r="N1711" s="1"/>
  <c r="O1710"/>
  <c r="O1709"/>
  <c r="N1709" s="1"/>
  <c r="O1708"/>
  <c r="O1707"/>
  <c r="O1706"/>
  <c r="N1706" s="1"/>
  <c r="O1705"/>
  <c r="O1704"/>
  <c r="O1703"/>
  <c r="O1702"/>
  <c r="N1702" s="1"/>
  <c r="O1701"/>
  <c r="O1700"/>
  <c r="O1699"/>
  <c r="O1698"/>
  <c r="O1697"/>
  <c r="O1696"/>
  <c r="O1695"/>
  <c r="O1694"/>
  <c r="O1693"/>
  <c r="N1692"/>
  <c r="O1691"/>
  <c r="O1690"/>
  <c r="O1689"/>
  <c r="O1688"/>
  <c r="O1687"/>
  <c r="O1686"/>
  <c r="O1685"/>
  <c r="O1684"/>
  <c r="O1683"/>
  <c r="O1682"/>
  <c r="O1681"/>
  <c r="O1680"/>
  <c r="O1679"/>
  <c r="O1678"/>
  <c r="N1678" s="1"/>
  <c r="O1677"/>
  <c r="N1677" s="1"/>
  <c r="O1676"/>
  <c r="N1676" s="1"/>
  <c r="O1675"/>
  <c r="N1675" s="1"/>
  <c r="O1674"/>
  <c r="N1674" s="1"/>
  <c r="O1673"/>
  <c r="N1673" s="1"/>
  <c r="O1672"/>
  <c r="N1672" s="1"/>
  <c r="O1671"/>
  <c r="N1671" s="1"/>
  <c r="O1670"/>
  <c r="N1670" s="1"/>
  <c r="O1669"/>
  <c r="N1669" s="1"/>
  <c r="O1668"/>
  <c r="N1668" s="1"/>
  <c r="O1667"/>
  <c r="N1667" s="1"/>
  <c r="O1666"/>
  <c r="N1666" s="1"/>
  <c r="O1665"/>
  <c r="N1665" s="1"/>
  <c r="O1664"/>
  <c r="O1663"/>
  <c r="O1662"/>
  <c r="O1661"/>
  <c r="O1660"/>
  <c r="O1659"/>
  <c r="O1658"/>
  <c r="O1657"/>
  <c r="O1656"/>
  <c r="O1655"/>
  <c r="O1654"/>
  <c r="O1653"/>
  <c r="O1652"/>
  <c r="O1651"/>
  <c r="O1650"/>
  <c r="N1650" s="1"/>
  <c r="O1649"/>
  <c r="N1649" s="1"/>
  <c r="O1648"/>
  <c r="N1648" s="1"/>
  <c r="O1647"/>
  <c r="N1647" s="1"/>
  <c r="O1646"/>
  <c r="N1646" s="1"/>
  <c r="O1645"/>
  <c r="N1645" s="1"/>
  <c r="O1644"/>
  <c r="N1644" s="1"/>
  <c r="O1643"/>
  <c r="N1643" s="1"/>
  <c r="O1642"/>
  <c r="N1642" s="1"/>
  <c r="O1641"/>
  <c r="N1641" s="1"/>
  <c r="O1640"/>
  <c r="N1640" s="1"/>
  <c r="O1639"/>
  <c r="N1639" s="1"/>
  <c r="O1638"/>
  <c r="N1638" s="1"/>
  <c r="O1637"/>
  <c r="N1637" s="1"/>
  <c r="O1636"/>
  <c r="N1636" s="1"/>
  <c r="O1635"/>
  <c r="N1635" s="1"/>
  <c r="N1634"/>
  <c r="N1633"/>
  <c r="N1632"/>
  <c r="O1631"/>
  <c r="N1630"/>
  <c r="N1629"/>
  <c r="N1628"/>
  <c r="N1627"/>
  <c r="O1626"/>
  <c r="O1625"/>
  <c r="O1624"/>
  <c r="O1623"/>
  <c r="O1622"/>
  <c r="O1621"/>
  <c r="O1620"/>
  <c r="O1619"/>
  <c r="O1618"/>
  <c r="N1618" s="1"/>
  <c r="N1617"/>
  <c r="N1616"/>
  <c r="N1615"/>
  <c r="N1614"/>
  <c r="O1613"/>
  <c r="N1613" s="1"/>
  <c r="N1612"/>
  <c r="N1611"/>
  <c r="O1610"/>
  <c r="N1610" s="1"/>
  <c r="N1609"/>
  <c r="O1608"/>
  <c r="N1608" s="1"/>
  <c r="O1607"/>
  <c r="N1607" s="1"/>
  <c r="O1606"/>
  <c r="N1606" s="1"/>
  <c r="O1605"/>
  <c r="N1605" s="1"/>
  <c r="O1604"/>
  <c r="N1604" s="1"/>
  <c r="N1603"/>
  <c r="N1602"/>
  <c r="N1601"/>
  <c r="N1600"/>
  <c r="O1599"/>
  <c r="N1599" s="1"/>
  <c r="N1598"/>
  <c r="N1597"/>
  <c r="O1596"/>
  <c r="N1596" s="1"/>
  <c r="O1595"/>
  <c r="N1595" s="1"/>
  <c r="O1594"/>
  <c r="N1594" s="1"/>
  <c r="O1593"/>
  <c r="N1593" s="1"/>
  <c r="O1592"/>
  <c r="N1592" s="1"/>
  <c r="O1591"/>
  <c r="N1591" s="1"/>
  <c r="O1590"/>
  <c r="N1590" s="1"/>
  <c r="O1589"/>
  <c r="N1589" s="1"/>
  <c r="O1588"/>
  <c r="N1588" s="1"/>
  <c r="O1587"/>
  <c r="N1587" s="1"/>
  <c r="O1586"/>
  <c r="N1586" s="1"/>
  <c r="O1585"/>
  <c r="O1584"/>
  <c r="N1584" s="1"/>
  <c r="O1583"/>
  <c r="N1583" s="1"/>
  <c r="O1582"/>
  <c r="O1581"/>
  <c r="N1581" s="1"/>
  <c r="O1580"/>
  <c r="N1580" s="1"/>
  <c r="O1579"/>
  <c r="N1579" s="1"/>
  <c r="O1578"/>
  <c r="N1578" s="1"/>
  <c r="O1577"/>
  <c r="O1576"/>
  <c r="N1576" s="1"/>
  <c r="O1575"/>
  <c r="N1575" s="1"/>
  <c r="O1574"/>
  <c r="N1574" s="1"/>
  <c r="O1573"/>
  <c r="N1573" s="1"/>
  <c r="O1572"/>
  <c r="N1572" s="1"/>
  <c r="O1571"/>
  <c r="N1571" s="1"/>
  <c r="O1570"/>
  <c r="N1570" s="1"/>
  <c r="O1569"/>
  <c r="N1569" s="1"/>
  <c r="O1568"/>
  <c r="N1568" s="1"/>
  <c r="O1567"/>
  <c r="N1567" s="1"/>
  <c r="O1566"/>
  <c r="N1566" s="1"/>
  <c r="O1565"/>
  <c r="N1565" s="1"/>
  <c r="O1564"/>
  <c r="N1564" s="1"/>
  <c r="O1563"/>
  <c r="N1563" s="1"/>
  <c r="O1562"/>
  <c r="N1562" s="1"/>
  <c r="O1561"/>
  <c r="N1561" s="1"/>
  <c r="O1560"/>
  <c r="N1560" s="1"/>
  <c r="O1559"/>
  <c r="O1558"/>
  <c r="O1557"/>
  <c r="N1557" s="1"/>
  <c r="O1556"/>
  <c r="N1556" s="1"/>
  <c r="O1555"/>
  <c r="O1554"/>
  <c r="O1553"/>
  <c r="O1552"/>
  <c r="O1551"/>
  <c r="O1550"/>
  <c r="O1549"/>
  <c r="O1548"/>
  <c r="O1547"/>
  <c r="N1547" s="1"/>
  <c r="O1546"/>
  <c r="O1545"/>
  <c r="N1545" s="1"/>
  <c r="O1544"/>
  <c r="N1544" s="1"/>
  <c r="O1543"/>
  <c r="N1543" s="1"/>
  <c r="O1542"/>
  <c r="N1542" s="1"/>
  <c r="O1541"/>
  <c r="N1541" s="1"/>
  <c r="O1540"/>
  <c r="N1540" s="1"/>
  <c r="O1539"/>
  <c r="N1539" s="1"/>
  <c r="O1538"/>
  <c r="N1538" s="1"/>
  <c r="O1537"/>
  <c r="N1537" s="1"/>
  <c r="O1536"/>
  <c r="N1536" s="1"/>
  <c r="O1535"/>
  <c r="N1535" s="1"/>
  <c r="O1534"/>
  <c r="N1534" s="1"/>
  <c r="O1533"/>
  <c r="N1533" s="1"/>
  <c r="O1532"/>
  <c r="N1532" s="1"/>
  <c r="O1531"/>
  <c r="O1530"/>
  <c r="O1529"/>
  <c r="O1528"/>
  <c r="O1527"/>
  <c r="O1526"/>
  <c r="O1525"/>
  <c r="O1524"/>
  <c r="O1523"/>
  <c r="O1522"/>
  <c r="O1521"/>
  <c r="O1520"/>
  <c r="O1519"/>
  <c r="O1518"/>
  <c r="O1517"/>
  <c r="O1516"/>
  <c r="O1515"/>
  <c r="O1514"/>
  <c r="N1514" s="1"/>
  <c r="O1513"/>
  <c r="N1513" s="1"/>
  <c r="O1512"/>
  <c r="O1511"/>
  <c r="N1511" s="1"/>
  <c r="O1510"/>
  <c r="N1510" s="1"/>
  <c r="O1509"/>
  <c r="O1508"/>
  <c r="N1508" s="1"/>
  <c r="O1507"/>
  <c r="N1507" s="1"/>
  <c r="O1506"/>
  <c r="N1506" s="1"/>
  <c r="O1505"/>
  <c r="N1505" s="1"/>
  <c r="O1504"/>
  <c r="O1503"/>
  <c r="N1503" s="1"/>
  <c r="O1502"/>
  <c r="N1502" s="1"/>
  <c r="O1501"/>
  <c r="N1501" s="1"/>
  <c r="O1500"/>
  <c r="N1500" s="1"/>
  <c r="O1499"/>
  <c r="O1498"/>
  <c r="O1497"/>
  <c r="O1496"/>
  <c r="O1495"/>
  <c r="O1494"/>
  <c r="O1493"/>
  <c r="O1492"/>
  <c r="O1491"/>
  <c r="O1490"/>
  <c r="O1489"/>
  <c r="O1488"/>
  <c r="O1487"/>
  <c r="O1486"/>
  <c r="O1485"/>
  <c r="O1484"/>
  <c r="O1483"/>
  <c r="O1482"/>
  <c r="N1482" s="1"/>
  <c r="O1481"/>
  <c r="N1481" s="1"/>
  <c r="O1480"/>
  <c r="N1480" s="1"/>
  <c r="O1479"/>
  <c r="N1479" s="1"/>
  <c r="O1478"/>
  <c r="N1478" s="1"/>
  <c r="O1477"/>
  <c r="N1477" s="1"/>
  <c r="O1476"/>
  <c r="N1476" s="1"/>
  <c r="O1475"/>
  <c r="N1475" s="1"/>
  <c r="O1474"/>
  <c r="N1474" s="1"/>
  <c r="O1473"/>
  <c r="N1473" s="1"/>
  <c r="O1472"/>
  <c r="N1472" s="1"/>
  <c r="O1471"/>
  <c r="N1471" s="1"/>
  <c r="O1470"/>
  <c r="N1470" s="1"/>
  <c r="O1469"/>
  <c r="N1469" s="1"/>
  <c r="O1468"/>
  <c r="N1468" s="1"/>
  <c r="O1467"/>
  <c r="N1467" s="1"/>
  <c r="O1466"/>
  <c r="N1466" s="1"/>
  <c r="O1465"/>
  <c r="O1464"/>
  <c r="N1464" s="1"/>
  <c r="O1463"/>
  <c r="N1463" s="1"/>
  <c r="O1462"/>
  <c r="O1461"/>
  <c r="O1460"/>
  <c r="O1459"/>
  <c r="O1458"/>
  <c r="O1457"/>
  <c r="N1457" s="1"/>
  <c r="O1456"/>
  <c r="N1456" s="1"/>
  <c r="O1455"/>
  <c r="O1454"/>
  <c r="O1453"/>
  <c r="O1452"/>
  <c r="N1452" s="1"/>
  <c r="O1451"/>
  <c r="O1450"/>
  <c r="N1450" s="1"/>
  <c r="O1449"/>
  <c r="O1448"/>
  <c r="O1447"/>
  <c r="O1446"/>
  <c r="N1446"/>
  <c r="O1445"/>
  <c r="O1444"/>
  <c r="O1443"/>
  <c r="O1442"/>
  <c r="O1441"/>
  <c r="O1440"/>
  <c r="O1439"/>
  <c r="O1438"/>
  <c r="O1437"/>
  <c r="O1436"/>
  <c r="O1435"/>
  <c r="N1435"/>
  <c r="O1434"/>
  <c r="O1433"/>
  <c r="O1432"/>
  <c r="O1431"/>
  <c r="O1430"/>
  <c r="O1429"/>
  <c r="O1428"/>
  <c r="O1427"/>
  <c r="O1426"/>
  <c r="N1426"/>
  <c r="O1425"/>
  <c r="O1424"/>
  <c r="O1423"/>
  <c r="O1422"/>
  <c r="O1421"/>
  <c r="O1420"/>
  <c r="O1419"/>
  <c r="O1418"/>
  <c r="O1417"/>
  <c r="O1416"/>
  <c r="O1415"/>
  <c r="O1414"/>
  <c r="O1413"/>
  <c r="O1412"/>
  <c r="O1411"/>
  <c r="O1410"/>
  <c r="O1409"/>
  <c r="O1408"/>
  <c r="O1407"/>
  <c r="N1406"/>
  <c r="O1405"/>
  <c r="O1404"/>
  <c r="O1403"/>
  <c r="N1402"/>
  <c r="O1401"/>
  <c r="O1400"/>
  <c r="N1400" s="1"/>
  <c r="N1399"/>
  <c r="O1398"/>
  <c r="O1397"/>
  <c r="O1396"/>
  <c r="O1395"/>
  <c r="O1394"/>
  <c r="O1393"/>
  <c r="O1392"/>
  <c r="O1391"/>
  <c r="O1390"/>
  <c r="O1389"/>
  <c r="O1388"/>
  <c r="O1387"/>
  <c r="O1386"/>
  <c r="O1385"/>
  <c r="O1384"/>
  <c r="O1383"/>
  <c r="O1382"/>
  <c r="O1381"/>
  <c r="N1381" s="1"/>
  <c r="O1380"/>
  <c r="O1379"/>
  <c r="O1378"/>
  <c r="O1377"/>
  <c r="O1376"/>
  <c r="O1375"/>
  <c r="O1374"/>
  <c r="O1373"/>
  <c r="O1372"/>
  <c r="O1371"/>
  <c r="O1370"/>
  <c r="O1369"/>
  <c r="O1368"/>
  <c r="O1367"/>
  <c r="O1366"/>
  <c r="O1365"/>
  <c r="O1364"/>
  <c r="N1364" s="1"/>
  <c r="O1363"/>
  <c r="O1362"/>
  <c r="N1362" s="1"/>
  <c r="O1360"/>
  <c r="O1359"/>
  <c r="N1359" s="1"/>
  <c r="O1358"/>
  <c r="N1358" s="1"/>
  <c r="O1357"/>
  <c r="N1357" s="1"/>
  <c r="O1356"/>
  <c r="O1355"/>
  <c r="O1354"/>
  <c r="N1354" s="1"/>
  <c r="O1353"/>
  <c r="N1353" s="1"/>
  <c r="O1352"/>
  <c r="N1352" s="1"/>
  <c r="O1350"/>
  <c r="N1350" s="1"/>
  <c r="O1349"/>
  <c r="O1348"/>
  <c r="N1348" s="1"/>
  <c r="O1347"/>
  <c r="N1347" s="1"/>
  <c r="O1346"/>
  <c r="O1345"/>
  <c r="O1343"/>
  <c r="O1342"/>
  <c r="O1341"/>
  <c r="O1340"/>
  <c r="O1339"/>
  <c r="O1338"/>
  <c r="O1337"/>
  <c r="N1337" s="1"/>
  <c r="O1336"/>
  <c r="O1335"/>
  <c r="O1334"/>
  <c r="N1334" s="1"/>
  <c r="O1333"/>
  <c r="N1333" s="1"/>
  <c r="O1332"/>
  <c r="O1331"/>
  <c r="O1330"/>
  <c r="O1329"/>
  <c r="O1328"/>
  <c r="O1327"/>
  <c r="O1326"/>
  <c r="O1325"/>
  <c r="O1324"/>
  <c r="O1323"/>
  <c r="O1322"/>
  <c r="O1321"/>
  <c r="O1320"/>
  <c r="O1319"/>
  <c r="O1318"/>
  <c r="O1317"/>
  <c r="O1316"/>
  <c r="O1315"/>
  <c r="O1314"/>
  <c r="O1313"/>
  <c r="O1312"/>
  <c r="O1311"/>
  <c r="O1310"/>
  <c r="O1309"/>
  <c r="O1308"/>
  <c r="O1307"/>
  <c r="O1306"/>
  <c r="O1305"/>
  <c r="O1304"/>
  <c r="O1303"/>
  <c r="O1302"/>
  <c r="O1301"/>
  <c r="O1300"/>
  <c r="O1299"/>
  <c r="O1298"/>
  <c r="N1298" s="1"/>
  <c r="O1297"/>
  <c r="O1296"/>
  <c r="O1295"/>
  <c r="O1294"/>
  <c r="O1293"/>
  <c r="O1292"/>
  <c r="O1291"/>
  <c r="O1290"/>
  <c r="O1289"/>
  <c r="O1288"/>
  <c r="O1287"/>
  <c r="O1285"/>
  <c r="O1284"/>
  <c r="O1283"/>
  <c r="O1282"/>
  <c r="N1282" s="1"/>
  <c r="O1281"/>
  <c r="O1280"/>
  <c r="O1279"/>
  <c r="O1278"/>
  <c r="O1277"/>
  <c r="O1275"/>
  <c r="O1274"/>
  <c r="O1273"/>
  <c r="O1272"/>
  <c r="O1271"/>
  <c r="O1270"/>
  <c r="O1269"/>
  <c r="O1268"/>
  <c r="O1267"/>
  <c r="O1266"/>
  <c r="O1265"/>
  <c r="O1264"/>
  <c r="O1263"/>
  <c r="O1262"/>
  <c r="O1261"/>
  <c r="O1260"/>
  <c r="O1259"/>
  <c r="O1258"/>
  <c r="O1257"/>
  <c r="O1256"/>
  <c r="O1255"/>
  <c r="O1254"/>
  <c r="N1254" s="1"/>
  <c r="O1253"/>
  <c r="N1253" s="1"/>
  <c r="O1252"/>
  <c r="O1251"/>
  <c r="O1250"/>
  <c r="O1249"/>
  <c r="O1248"/>
  <c r="O1247"/>
  <c r="N1247" s="1"/>
  <c r="O1246"/>
  <c r="O1245"/>
  <c r="O1244"/>
  <c r="O1243"/>
  <c r="O1242"/>
  <c r="O1241"/>
  <c r="O1240"/>
  <c r="N1240" s="1"/>
  <c r="O1239"/>
  <c r="N1239" s="1"/>
  <c r="O1238"/>
  <c r="N1238" s="1"/>
  <c r="O1237"/>
  <c r="N1237" s="1"/>
  <c r="O1236"/>
  <c r="O1235"/>
  <c r="O1234"/>
  <c r="O1233"/>
  <c r="O1232"/>
  <c r="O1231"/>
  <c r="N1231"/>
  <c r="O1230"/>
  <c r="O1229"/>
  <c r="O1228"/>
  <c r="O1227"/>
  <c r="O1226"/>
  <c r="O1225"/>
  <c r="N1225" s="1"/>
  <c r="O1224"/>
  <c r="O1223"/>
  <c r="O1222"/>
  <c r="O1221"/>
  <c r="O1220"/>
  <c r="N1220" s="1"/>
  <c r="O1219"/>
  <c r="O1218"/>
  <c r="O1217"/>
  <c r="N1217" s="1"/>
  <c r="O1216"/>
  <c r="O1215"/>
  <c r="O1214"/>
  <c r="O1213"/>
  <c r="O1212"/>
  <c r="O1211"/>
  <c r="O1210"/>
  <c r="O1209"/>
  <c r="N1209" s="1"/>
  <c r="O1208"/>
  <c r="O1207"/>
  <c r="O1206"/>
  <c r="O1205"/>
  <c r="O1203"/>
  <c r="O1202"/>
  <c r="O1201"/>
  <c r="O1200"/>
  <c r="O1199"/>
  <c r="O1198"/>
  <c r="O1197"/>
  <c r="N1197" s="1"/>
  <c r="O1196"/>
  <c r="O1194"/>
  <c r="N1194" s="1"/>
  <c r="O1193"/>
  <c r="N1193" s="1"/>
  <c r="O1192"/>
  <c r="O1191"/>
  <c r="N1191" s="1"/>
  <c r="O1190"/>
  <c r="O1189"/>
  <c r="O1188"/>
  <c r="N1188" s="1"/>
  <c r="O1187"/>
  <c r="O1185"/>
  <c r="O1184"/>
  <c r="N1184" s="1"/>
  <c r="O1183"/>
  <c r="O1182"/>
  <c r="O1181"/>
  <c r="O1180"/>
  <c r="O1179"/>
  <c r="O1178"/>
  <c r="O1177"/>
  <c r="O1176"/>
  <c r="O1175"/>
  <c r="O1174"/>
  <c r="O1173"/>
  <c r="O1172"/>
  <c r="O1171"/>
  <c r="N1171" s="1"/>
  <c r="O1170"/>
  <c r="O1169"/>
  <c r="O1168"/>
  <c r="O1167"/>
  <c r="N1167" s="1"/>
  <c r="O1166"/>
  <c r="O1165"/>
  <c r="N1165" s="1"/>
  <c r="O1164"/>
  <c r="O1163"/>
  <c r="N1163" s="1"/>
  <c r="O1162"/>
  <c r="O1161"/>
  <c r="O1160"/>
  <c r="O1159"/>
  <c r="O1158"/>
  <c r="N1158" s="1"/>
  <c r="O1157"/>
  <c r="O1156"/>
  <c r="O1155"/>
  <c r="N1155" s="1"/>
  <c r="O1153"/>
  <c r="O1152"/>
  <c r="O1151"/>
  <c r="N1151" s="1"/>
  <c r="O1150"/>
  <c r="O1149"/>
  <c r="O1148"/>
  <c r="N1148" s="1"/>
  <c r="O1147"/>
  <c r="N1147" s="1"/>
  <c r="O1145"/>
  <c r="O1144"/>
  <c r="O1143"/>
  <c r="N1143" s="1"/>
  <c r="N1142"/>
  <c r="O1141"/>
  <c r="N1141" s="1"/>
  <c r="O1140"/>
  <c r="O1139"/>
  <c r="N1139" s="1"/>
  <c r="N1138"/>
  <c r="O1137"/>
  <c r="O1136"/>
  <c r="O1135"/>
  <c r="O1134"/>
  <c r="O1133"/>
  <c r="O1132"/>
  <c r="O1131"/>
  <c r="O1129"/>
  <c r="O1128"/>
  <c r="O1127"/>
  <c r="O1126"/>
  <c r="O1125"/>
  <c r="O1124"/>
  <c r="O1123"/>
  <c r="O1122"/>
  <c r="O1121"/>
  <c r="O1120"/>
  <c r="N1120" s="1"/>
  <c r="O1119"/>
  <c r="O1118"/>
  <c r="O1117"/>
  <c r="O1116"/>
  <c r="O1115"/>
  <c r="O1114"/>
  <c r="O1113"/>
  <c r="O1112"/>
  <c r="O1111"/>
  <c r="O1110"/>
  <c r="O1109"/>
  <c r="O1108"/>
  <c r="O1107"/>
  <c r="O1106"/>
  <c r="O1105"/>
  <c r="O1104"/>
  <c r="O1103"/>
  <c r="O1102"/>
  <c r="O1101"/>
  <c r="O1100"/>
  <c r="O1099"/>
  <c r="O1098"/>
  <c r="O1097"/>
  <c r="O1096"/>
  <c r="O1095"/>
  <c r="O1094"/>
  <c r="O1093"/>
  <c r="O1092"/>
  <c r="O1091"/>
  <c r="O1090"/>
  <c r="O1089"/>
  <c r="O1088"/>
  <c r="O1087"/>
  <c r="O1086"/>
  <c r="N1086" s="1"/>
  <c r="O1085"/>
  <c r="O1084"/>
  <c r="N1084" s="1"/>
  <c r="O1083"/>
  <c r="O1082"/>
  <c r="O1081"/>
  <c r="N1081" s="1"/>
  <c r="O1080"/>
  <c r="O1079"/>
  <c r="O1078"/>
  <c r="O1077"/>
  <c r="O1076"/>
  <c r="N1076" s="1"/>
  <c r="O1075"/>
  <c r="N1075" s="1"/>
  <c r="O1074"/>
  <c r="O1073"/>
  <c r="O1072"/>
  <c r="O1071"/>
  <c r="O1070"/>
  <c r="O1069"/>
  <c r="O1068"/>
  <c r="O1067"/>
  <c r="O1066"/>
  <c r="N1066" s="1"/>
  <c r="O1065"/>
  <c r="O1064"/>
  <c r="O1063"/>
  <c r="O1062"/>
  <c r="O1061"/>
  <c r="O1060"/>
  <c r="O1059"/>
  <c r="N1059" s="1"/>
  <c r="O1058"/>
  <c r="O1057"/>
  <c r="O1056"/>
  <c r="O1055"/>
  <c r="O1054"/>
  <c r="N1053"/>
  <c r="N1052"/>
  <c r="O1051"/>
  <c r="N1050"/>
  <c r="O1049"/>
  <c r="O1048"/>
  <c r="N1048" s="1"/>
  <c r="O1047"/>
  <c r="O1046"/>
  <c r="O1045"/>
  <c r="O1044"/>
  <c r="O1043"/>
  <c r="O1042"/>
  <c r="O1041"/>
  <c r="N1041" s="1"/>
  <c r="O1040"/>
  <c r="N1040" s="1"/>
  <c r="O1039"/>
  <c r="O1038"/>
  <c r="O1037"/>
  <c r="O1036"/>
  <c r="O1035"/>
  <c r="N1035" s="1"/>
  <c r="O1034"/>
  <c r="O1033"/>
  <c r="O1032"/>
  <c r="O1031"/>
  <c r="O1030"/>
  <c r="O1029"/>
  <c r="O1028"/>
  <c r="O1027"/>
  <c r="O1026"/>
  <c r="O1025"/>
  <c r="O1024"/>
  <c r="O1023"/>
  <c r="O1022"/>
  <c r="O1021"/>
  <c r="O1020"/>
  <c r="O1019"/>
  <c r="O1018"/>
  <c r="O1017"/>
  <c r="O1016"/>
  <c r="O1015"/>
  <c r="O1014"/>
  <c r="O1013"/>
  <c r="O1012"/>
  <c r="O1011"/>
  <c r="O1010"/>
  <c r="O1009"/>
  <c r="N1009" s="1"/>
  <c r="O1008"/>
  <c r="O1007"/>
  <c r="O1006"/>
  <c r="O1005"/>
  <c r="O1004"/>
  <c r="O1003"/>
  <c r="O1002"/>
  <c r="O1001"/>
  <c r="N1001" s="1"/>
  <c r="O999"/>
  <c r="O998"/>
  <c r="O997"/>
  <c r="O996"/>
  <c r="O995"/>
  <c r="O994"/>
  <c r="O993"/>
  <c r="O992"/>
  <c r="N992" s="1"/>
  <c r="O991"/>
  <c r="O990"/>
  <c r="O989"/>
  <c r="O988"/>
  <c r="O987"/>
  <c r="O985"/>
  <c r="O984"/>
  <c r="O983"/>
  <c r="O982"/>
  <c r="N982" s="1"/>
  <c r="O981"/>
  <c r="O980"/>
  <c r="O979"/>
  <c r="O978"/>
  <c r="O977"/>
  <c r="O976"/>
  <c r="O975"/>
  <c r="O974"/>
  <c r="O973"/>
  <c r="N973" s="1"/>
  <c r="O972"/>
  <c r="O971"/>
  <c r="O970"/>
  <c r="O969"/>
  <c r="O968"/>
  <c r="O967"/>
  <c r="O966"/>
  <c r="O965"/>
  <c r="O964"/>
  <c r="N964" s="1"/>
  <c r="O963"/>
  <c r="O962"/>
  <c r="O961"/>
  <c r="O960"/>
  <c r="O959"/>
  <c r="O958"/>
  <c r="O957"/>
  <c r="N957" s="1"/>
  <c r="O956"/>
  <c r="O955"/>
  <c r="O954"/>
  <c r="O953"/>
  <c r="O952"/>
  <c r="O951"/>
  <c r="O950"/>
  <c r="N950" s="1"/>
  <c r="O949"/>
  <c r="O948"/>
  <c r="O947"/>
  <c r="O946"/>
  <c r="O945"/>
  <c r="O944"/>
  <c r="O943"/>
  <c r="O942"/>
  <c r="N942" s="1"/>
  <c r="O941"/>
  <c r="O940"/>
  <c r="O939"/>
  <c r="O938"/>
  <c r="O937"/>
  <c r="O936"/>
  <c r="O934"/>
  <c r="O933"/>
  <c r="O932"/>
  <c r="O931"/>
  <c r="O930"/>
  <c r="O929"/>
  <c r="O928"/>
  <c r="O927"/>
  <c r="O926"/>
  <c r="O925"/>
  <c r="O924"/>
  <c r="O923"/>
  <c r="O922"/>
  <c r="O921"/>
  <c r="O920"/>
  <c r="O918"/>
  <c r="O917"/>
  <c r="O916"/>
  <c r="O915"/>
  <c r="O914"/>
  <c r="O913"/>
  <c r="O912"/>
  <c r="O911"/>
  <c r="N911" s="1"/>
  <c r="O910"/>
  <c r="O908"/>
  <c r="N908" s="1"/>
  <c r="O907"/>
  <c r="N907" s="1"/>
  <c r="O906"/>
  <c r="O905"/>
  <c r="O904"/>
  <c r="O903"/>
  <c r="O902"/>
  <c r="N902" s="1"/>
  <c r="O901"/>
  <c r="N901" s="1"/>
  <c r="O899"/>
  <c r="N899" s="1"/>
  <c r="O898"/>
  <c r="N898" s="1"/>
  <c r="O897"/>
  <c r="O896"/>
  <c r="O895"/>
  <c r="O894"/>
  <c r="O893"/>
  <c r="O892"/>
  <c r="O891"/>
  <c r="N891" s="1"/>
  <c r="O890"/>
  <c r="O889"/>
  <c r="N889" s="1"/>
  <c r="O888"/>
  <c r="O887"/>
  <c r="N887"/>
  <c r="M887"/>
  <c r="O886"/>
  <c r="O885"/>
  <c r="O884"/>
  <c r="O883"/>
  <c r="O882"/>
  <c r="O881"/>
  <c r="O880"/>
  <c r="O879"/>
  <c r="N878"/>
  <c r="N877"/>
  <c r="O876"/>
  <c r="O875"/>
  <c r="O874"/>
  <c r="O873"/>
  <c r="O872"/>
  <c r="O871"/>
  <c r="O870"/>
  <c r="O869"/>
  <c r="O868"/>
  <c r="O867"/>
  <c r="O866"/>
  <c r="O865"/>
  <c r="O864"/>
  <c r="O863"/>
  <c r="O862"/>
  <c r="O861"/>
  <c r="O860"/>
  <c r="O859"/>
  <c r="O858"/>
  <c r="O857"/>
  <c r="O856"/>
  <c r="O855"/>
  <c r="O854"/>
  <c r="O853"/>
  <c r="O852"/>
  <c r="O851"/>
  <c r="N851"/>
  <c r="O850"/>
  <c r="O849"/>
  <c r="O848"/>
  <c r="O847"/>
  <c r="O846"/>
  <c r="O845"/>
  <c r="O844"/>
  <c r="O843"/>
  <c r="O842"/>
  <c r="O841"/>
  <c r="O840"/>
  <c r="O839"/>
  <c r="O838"/>
  <c r="O837"/>
  <c r="N837" s="1"/>
  <c r="O836"/>
  <c r="O835"/>
  <c r="O834"/>
  <c r="O833"/>
  <c r="O832"/>
  <c r="N832" s="1"/>
  <c r="O831"/>
  <c r="O830"/>
  <c r="O829"/>
  <c r="N829" s="1"/>
  <c r="O828"/>
  <c r="O827"/>
  <c r="N827" s="1"/>
  <c r="O826"/>
  <c r="O825"/>
  <c r="O824"/>
  <c r="O823"/>
  <c r="O822"/>
  <c r="O821"/>
  <c r="O820"/>
  <c r="O819"/>
  <c r="O818"/>
  <c r="O817"/>
  <c r="O816"/>
  <c r="O815"/>
  <c r="M815"/>
  <c r="O814"/>
  <c r="N814" s="1"/>
  <c r="O813"/>
  <c r="O812"/>
  <c r="O811"/>
  <c r="O810"/>
  <c r="O809"/>
  <c r="O808"/>
  <c r="O807"/>
  <c r="O806"/>
  <c r="O805"/>
  <c r="O804"/>
  <c r="O803"/>
  <c r="O802"/>
  <c r="O801"/>
  <c r="O800"/>
  <c r="N800" s="1"/>
  <c r="O799"/>
  <c r="N799" s="1"/>
  <c r="O798"/>
  <c r="N798" s="1"/>
  <c r="O797"/>
  <c r="O796"/>
  <c r="O795"/>
  <c r="O794"/>
  <c r="O793"/>
  <c r="O792"/>
  <c r="O791"/>
  <c r="O790"/>
  <c r="O789"/>
  <c r="O788"/>
  <c r="O787"/>
  <c r="O786"/>
  <c r="O785"/>
  <c r="O784"/>
  <c r="O783"/>
  <c r="O782"/>
  <c r="O781"/>
  <c r="O780"/>
  <c r="O779"/>
  <c r="O778"/>
  <c r="O777"/>
  <c r="O776"/>
  <c r="O775"/>
  <c r="O774"/>
  <c r="O773"/>
  <c r="O772"/>
  <c r="O771"/>
  <c r="O770"/>
  <c r="O769"/>
  <c r="O768"/>
  <c r="O767"/>
  <c r="O766"/>
  <c r="O765"/>
  <c r="O764"/>
  <c r="O763"/>
  <c r="O762"/>
  <c r="O761"/>
  <c r="O760"/>
  <c r="O759"/>
  <c r="O758"/>
  <c r="O757"/>
  <c r="O756"/>
  <c r="O755"/>
  <c r="O754"/>
  <c r="O753"/>
  <c r="O752"/>
  <c r="O751"/>
  <c r="O750"/>
  <c r="O749"/>
  <c r="O748"/>
  <c r="O747"/>
  <c r="O746"/>
  <c r="O745"/>
  <c r="O744"/>
  <c r="O743"/>
  <c r="O742"/>
  <c r="O741"/>
  <c r="O740"/>
  <c r="O739"/>
  <c r="O738"/>
  <c r="O737"/>
  <c r="O736"/>
  <c r="O735"/>
  <c r="O734"/>
  <c r="O733"/>
  <c r="O732"/>
  <c r="O731"/>
  <c r="O730"/>
  <c r="O729"/>
  <c r="O728"/>
  <c r="O727"/>
  <c r="O726"/>
  <c r="O725"/>
  <c r="O724"/>
  <c r="O723"/>
  <c r="O722"/>
  <c r="O721"/>
  <c r="O720"/>
  <c r="O719"/>
  <c r="O718"/>
  <c r="O717"/>
  <c r="O716"/>
  <c r="O715"/>
  <c r="O714"/>
  <c r="O713"/>
  <c r="O712"/>
  <c r="O711"/>
  <c r="O710"/>
  <c r="O709"/>
  <c r="O708"/>
  <c r="O707"/>
  <c r="O706"/>
  <c r="O705"/>
  <c r="O704"/>
  <c r="O703"/>
  <c r="O702"/>
  <c r="O701"/>
  <c r="O700"/>
  <c r="O699"/>
  <c r="O698"/>
  <c r="O697"/>
  <c r="O696"/>
  <c r="O695"/>
  <c r="O694"/>
  <c r="O693"/>
  <c r="O692"/>
  <c r="O691"/>
  <c r="O690"/>
  <c r="O689"/>
  <c r="O688"/>
  <c r="O687"/>
  <c r="O686"/>
  <c r="O685"/>
  <c r="O684"/>
  <c r="O683"/>
  <c r="O682"/>
  <c r="O681"/>
  <c r="O680"/>
  <c r="O679"/>
  <c r="O678"/>
  <c r="O677"/>
  <c r="O676"/>
  <c r="O675"/>
  <c r="O674"/>
  <c r="O673"/>
  <c r="O672"/>
  <c r="O671"/>
  <c r="O670"/>
  <c r="O669"/>
  <c r="O668"/>
  <c r="O667"/>
  <c r="O666"/>
  <c r="O665"/>
  <c r="O664"/>
  <c r="O663"/>
  <c r="O662"/>
  <c r="O661"/>
  <c r="O660"/>
  <c r="O659"/>
  <c r="O658"/>
  <c r="O657"/>
  <c r="O656"/>
  <c r="O655"/>
  <c r="O654"/>
  <c r="O653"/>
  <c r="O652"/>
  <c r="O651"/>
  <c r="O650"/>
  <c r="O649"/>
  <c r="O648"/>
  <c r="O647"/>
  <c r="O646"/>
  <c r="O645"/>
  <c r="O644"/>
  <c r="O643"/>
  <c r="O642"/>
  <c r="O641"/>
  <c r="O640"/>
  <c r="O639"/>
  <c r="O638"/>
  <c r="O637"/>
  <c r="O636"/>
  <c r="O635"/>
  <c r="O634"/>
  <c r="O633"/>
  <c r="O632"/>
  <c r="O631"/>
  <c r="O630"/>
  <c r="O629"/>
  <c r="O628"/>
  <c r="O627"/>
  <c r="O626"/>
  <c r="O625"/>
  <c r="O624"/>
  <c r="O623"/>
  <c r="O622"/>
  <c r="O621"/>
  <c r="O620"/>
  <c r="O619"/>
  <c r="O618"/>
  <c r="O617"/>
  <c r="O616"/>
  <c r="O615"/>
  <c r="O614"/>
  <c r="O613"/>
  <c r="O612"/>
  <c r="O611"/>
  <c r="O610"/>
  <c r="O609"/>
  <c r="O608"/>
  <c r="O607"/>
  <c r="O606"/>
  <c r="O605"/>
  <c r="O604"/>
  <c r="O603"/>
  <c r="O602"/>
  <c r="O601"/>
  <c r="O600"/>
  <c r="O599"/>
  <c r="O598"/>
  <c r="O597"/>
  <c r="O596"/>
  <c r="O595"/>
  <c r="O594"/>
  <c r="O593"/>
  <c r="O592"/>
  <c r="O591"/>
  <c r="O590"/>
  <c r="O589"/>
  <c r="O588"/>
  <c r="O587"/>
  <c r="O586"/>
  <c r="O585"/>
  <c r="O584"/>
  <c r="O583"/>
  <c r="O582"/>
  <c r="O581"/>
  <c r="O580"/>
  <c r="O579"/>
  <c r="O578"/>
  <c r="O577"/>
  <c r="O576"/>
  <c r="O575"/>
  <c r="O574"/>
  <c r="O573"/>
  <c r="O572"/>
  <c r="O571"/>
  <c r="O570"/>
  <c r="O569"/>
  <c r="O568"/>
  <c r="O567"/>
  <c r="O566"/>
  <c r="O565"/>
  <c r="O564"/>
  <c r="O563"/>
  <c r="O562"/>
  <c r="O561"/>
  <c r="O560"/>
  <c r="O559"/>
  <c r="O558"/>
  <c r="M558"/>
  <c r="O557"/>
  <c r="O556"/>
  <c r="O555"/>
  <c r="O554"/>
  <c r="O553"/>
  <c r="O552"/>
  <c r="O551"/>
  <c r="O550"/>
  <c r="O549"/>
  <c r="O548"/>
  <c r="O547"/>
  <c r="O546"/>
  <c r="O545"/>
  <c r="O544"/>
  <c r="O543"/>
  <c r="O542"/>
  <c r="O541"/>
  <c r="O540"/>
  <c r="O539"/>
  <c r="O538"/>
  <c r="O537"/>
  <c r="O536"/>
  <c r="O535"/>
  <c r="O534"/>
  <c r="O533"/>
  <c r="O532"/>
  <c r="O531"/>
  <c r="O530"/>
  <c r="O529"/>
  <c r="O528"/>
  <c r="O527"/>
  <c r="O526"/>
  <c r="O525"/>
  <c r="O524"/>
  <c r="O523"/>
  <c r="O522"/>
  <c r="O521"/>
  <c r="O520"/>
  <c r="O519"/>
  <c r="O518"/>
  <c r="O517"/>
  <c r="O516"/>
  <c r="O515"/>
  <c r="O514"/>
  <c r="O513"/>
  <c r="O512"/>
  <c r="O511"/>
  <c r="O510"/>
  <c r="O509"/>
  <c r="O508"/>
  <c r="O507"/>
  <c r="O506"/>
  <c r="O505"/>
  <c r="O504"/>
  <c r="O503"/>
  <c r="O502"/>
  <c r="O501"/>
  <c r="O500"/>
  <c r="O499"/>
  <c r="O498"/>
  <c r="O497"/>
  <c r="O496"/>
  <c r="O495"/>
  <c r="O494"/>
  <c r="O493"/>
  <c r="O492"/>
  <c r="O491"/>
  <c r="O490"/>
  <c r="O489"/>
  <c r="M489"/>
  <c r="O488"/>
  <c r="N488"/>
  <c r="M488"/>
  <c r="O487"/>
  <c r="O486"/>
  <c r="N486"/>
  <c r="M486"/>
  <c r="O485"/>
  <c r="N485" s="1"/>
  <c r="M485"/>
  <c r="O484"/>
  <c r="N484" s="1"/>
  <c r="M484"/>
  <c r="O483"/>
  <c r="M483"/>
  <c r="O482"/>
  <c r="N482" s="1"/>
  <c r="M482"/>
  <c r="O481"/>
  <c r="M481"/>
  <c r="O480"/>
  <c r="M480"/>
  <c r="O479"/>
  <c r="M479"/>
  <c r="O478"/>
  <c r="N478"/>
  <c r="M478"/>
  <c r="O477"/>
  <c r="N477" s="1"/>
  <c r="M477"/>
  <c r="O476"/>
  <c r="N476" s="1"/>
  <c r="M476"/>
  <c r="O475"/>
  <c r="O474"/>
  <c r="M474"/>
  <c r="O473"/>
  <c r="M473"/>
  <c r="O472"/>
  <c r="N472"/>
  <c r="M472"/>
  <c r="O471"/>
  <c r="N471" s="1"/>
  <c r="M471"/>
  <c r="O470"/>
  <c r="O469"/>
  <c r="O468"/>
  <c r="O467"/>
  <c r="O466"/>
  <c r="O465"/>
  <c r="O464"/>
  <c r="O463"/>
  <c r="O462"/>
  <c r="O461"/>
  <c r="O460"/>
  <c r="O459"/>
  <c r="O458"/>
  <c r="O457"/>
  <c r="O456"/>
  <c r="O455"/>
  <c r="O454"/>
  <c r="O453"/>
  <c r="O452"/>
  <c r="O451"/>
  <c r="O450"/>
  <c r="O449"/>
  <c r="O448"/>
  <c r="O447"/>
  <c r="O446"/>
  <c r="O445"/>
  <c r="O444"/>
  <c r="O443"/>
  <c r="O442"/>
  <c r="O441"/>
  <c r="O440"/>
  <c r="O439"/>
  <c r="O438"/>
  <c r="O437"/>
  <c r="O436"/>
  <c r="O435"/>
  <c r="O434"/>
  <c r="O433"/>
  <c r="O432"/>
  <c r="O431"/>
  <c r="O430"/>
  <c r="O429"/>
  <c r="O428"/>
  <c r="O427"/>
  <c r="O426"/>
  <c r="O425"/>
  <c r="O424"/>
  <c r="O423"/>
  <c r="O422"/>
  <c r="O421"/>
  <c r="O420"/>
  <c r="O419"/>
  <c r="O418"/>
  <c r="O417"/>
  <c r="O416"/>
  <c r="O415"/>
  <c r="O414"/>
  <c r="O412"/>
  <c r="O411"/>
  <c r="O410"/>
  <c r="O409"/>
  <c r="O408"/>
  <c r="O407"/>
  <c r="O406"/>
  <c r="O405"/>
  <c r="O404"/>
  <c r="O403"/>
  <c r="O402"/>
  <c r="O401"/>
  <c r="O400"/>
  <c r="O399"/>
  <c r="O398"/>
  <c r="N398" s="1"/>
  <c r="O397"/>
  <c r="N397" s="1"/>
  <c r="O396"/>
  <c r="N396" s="1"/>
  <c r="O395"/>
  <c r="N395" s="1"/>
  <c r="O394"/>
  <c r="N394" s="1"/>
  <c r="O393"/>
  <c r="N393" s="1"/>
  <c r="O392"/>
  <c r="N392" s="1"/>
  <c r="O391"/>
  <c r="N391" s="1"/>
  <c r="O390"/>
  <c r="N390" s="1"/>
  <c r="M390"/>
  <c r="O389"/>
  <c r="N389" s="1"/>
  <c r="O388"/>
  <c r="N388" s="1"/>
  <c r="O387"/>
  <c r="M387"/>
  <c r="O386"/>
  <c r="N386" s="1"/>
  <c r="O385"/>
  <c r="N385" s="1"/>
  <c r="O384"/>
  <c r="N384" s="1"/>
  <c r="O383"/>
  <c r="N383" s="1"/>
  <c r="O382"/>
  <c r="N382" s="1"/>
  <c r="O381"/>
  <c r="N381" s="1"/>
  <c r="O380"/>
  <c r="N380" s="1"/>
  <c r="O379"/>
  <c r="N379" s="1"/>
  <c r="O378"/>
  <c r="N378" s="1"/>
  <c r="O377"/>
  <c r="N377" s="1"/>
  <c r="O376"/>
  <c r="N376" s="1"/>
  <c r="O375"/>
  <c r="N375" s="1"/>
  <c r="O374"/>
  <c r="O373"/>
  <c r="O372"/>
  <c r="O371"/>
  <c r="O370"/>
  <c r="O369"/>
  <c r="O368"/>
  <c r="O367"/>
  <c r="O366"/>
  <c r="O365"/>
  <c r="O364"/>
  <c r="O363"/>
  <c r="O362"/>
  <c r="O361"/>
  <c r="O360"/>
  <c r="O359"/>
  <c r="O358"/>
  <c r="O357"/>
  <c r="O356"/>
  <c r="O355"/>
  <c r="O354"/>
  <c r="O353"/>
  <c r="O352"/>
  <c r="O351"/>
  <c r="O350"/>
  <c r="O349"/>
  <c r="O348"/>
  <c r="O347"/>
  <c r="O346"/>
  <c r="O345"/>
  <c r="O344"/>
  <c r="O343"/>
  <c r="O342"/>
  <c r="O341"/>
  <c r="O340"/>
  <c r="O339"/>
  <c r="O338"/>
  <c r="O337"/>
  <c r="O336"/>
  <c r="O335"/>
  <c r="O334"/>
  <c r="O333"/>
  <c r="O332"/>
  <c r="O331"/>
  <c r="O330"/>
  <c r="O329"/>
  <c r="O328"/>
  <c r="O327"/>
  <c r="O326"/>
  <c r="O325"/>
  <c r="O324"/>
  <c r="O323"/>
  <c r="O322"/>
  <c r="O321"/>
  <c r="O320"/>
  <c r="O319"/>
  <c r="O318"/>
  <c r="O317"/>
  <c r="O316"/>
  <c r="O315"/>
  <c r="O314"/>
  <c r="O313"/>
  <c r="O312"/>
  <c r="O311"/>
  <c r="O310"/>
  <c r="O309"/>
  <c r="O308"/>
  <c r="O307"/>
  <c r="O306"/>
  <c r="O305"/>
  <c r="O304"/>
  <c r="O303"/>
  <c r="O302"/>
  <c r="O301"/>
  <c r="O300"/>
  <c r="O299"/>
  <c r="O298"/>
  <c r="O297"/>
  <c r="O296"/>
  <c r="O295"/>
  <c r="O294"/>
  <c r="O293"/>
  <c r="O292"/>
  <c r="O291"/>
  <c r="O290"/>
  <c r="O289"/>
  <c r="O288"/>
  <c r="O287"/>
  <c r="O286"/>
  <c r="O285"/>
  <c r="O284"/>
  <c r="O283"/>
  <c r="O282"/>
  <c r="O281"/>
  <c r="O280"/>
  <c r="O279"/>
  <c r="O278"/>
  <c r="O277"/>
  <c r="O276"/>
  <c r="O275"/>
  <c r="O274"/>
  <c r="O273"/>
  <c r="O272"/>
  <c r="O271"/>
  <c r="O270"/>
  <c r="O269"/>
  <c r="O268"/>
  <c r="O267"/>
  <c r="O266"/>
  <c r="O265"/>
  <c r="O264"/>
  <c r="O263"/>
  <c r="O262"/>
  <c r="O261"/>
  <c r="O260"/>
  <c r="O259"/>
  <c r="O258"/>
  <c r="O257"/>
  <c r="O256"/>
  <c r="O255"/>
  <c r="O254"/>
  <c r="O253"/>
  <c r="N253" s="1"/>
  <c r="O252"/>
  <c r="O251"/>
  <c r="O250"/>
  <c r="O249"/>
  <c r="O248"/>
  <c r="O247"/>
  <c r="O246"/>
  <c r="O245"/>
  <c r="O244"/>
  <c r="O243"/>
  <c r="O242"/>
  <c r="O241"/>
  <c r="O240"/>
  <c r="O239"/>
  <c r="O238"/>
  <c r="O237"/>
  <c r="O236"/>
  <c r="O235"/>
  <c r="O234"/>
  <c r="O233"/>
  <c r="O232"/>
  <c r="O231"/>
  <c r="O230"/>
  <c r="O229"/>
  <c r="O228"/>
  <c r="O227"/>
  <c r="O226"/>
  <c r="O225"/>
  <c r="O224"/>
  <c r="O223"/>
  <c r="O222"/>
  <c r="O221"/>
  <c r="O220"/>
  <c r="O219"/>
  <c r="O218"/>
  <c r="O217"/>
  <c r="O216"/>
  <c r="O215"/>
  <c r="O214"/>
  <c r="O213"/>
  <c r="O212"/>
  <c r="O211"/>
  <c r="O210"/>
  <c r="O209"/>
  <c r="O208"/>
  <c r="O207"/>
  <c r="O206"/>
  <c r="O205"/>
  <c r="O204"/>
  <c r="O203"/>
  <c r="O202"/>
  <c r="O201"/>
  <c r="O200"/>
  <c r="O199"/>
  <c r="O198"/>
  <c r="O197"/>
  <c r="O196"/>
  <c r="O195"/>
  <c r="O194"/>
  <c r="O193"/>
  <c r="O192"/>
  <c r="O191"/>
  <c r="O190"/>
  <c r="O189"/>
  <c r="O188"/>
  <c r="O187"/>
  <c r="O186"/>
  <c r="O185"/>
  <c r="O184"/>
  <c r="O183"/>
  <c r="O182"/>
  <c r="N182" s="1"/>
  <c r="O181"/>
  <c r="O180"/>
  <c r="O179"/>
  <c r="O178"/>
  <c r="O177"/>
  <c r="O176"/>
  <c r="O175"/>
  <c r="O174"/>
  <c r="O173"/>
  <c r="O172"/>
  <c r="O171"/>
  <c r="O170"/>
  <c r="O169"/>
  <c r="O168"/>
  <c r="O167"/>
  <c r="O166"/>
  <c r="O165"/>
  <c r="O164"/>
  <c r="N164" s="1"/>
  <c r="O163"/>
  <c r="N163" s="1"/>
  <c r="O162"/>
  <c r="O161"/>
  <c r="O160"/>
  <c r="O159"/>
  <c r="O158"/>
  <c r="O157"/>
  <c r="O156"/>
  <c r="O155"/>
  <c r="O154"/>
  <c r="O153"/>
  <c r="O152"/>
  <c r="O151"/>
  <c r="O150"/>
  <c r="O149"/>
  <c r="O148"/>
  <c r="O147"/>
  <c r="O146"/>
  <c r="O145"/>
  <c r="O144"/>
  <c r="O143"/>
  <c r="O142"/>
  <c r="N142" s="1"/>
  <c r="O141"/>
  <c r="O140"/>
  <c r="O139"/>
  <c r="O138"/>
  <c r="O137"/>
  <c r="O136"/>
  <c r="O135"/>
  <c r="O134"/>
  <c r="O133"/>
  <c r="O132"/>
  <c r="O131"/>
  <c r="O130"/>
  <c r="O129"/>
  <c r="O128"/>
  <c r="O127"/>
  <c r="O126"/>
  <c r="O125"/>
  <c r="O124"/>
  <c r="O123"/>
  <c r="O122"/>
  <c r="O121"/>
  <c r="O120"/>
  <c r="O119"/>
  <c r="O118"/>
  <c r="O117"/>
  <c r="O116"/>
  <c r="O115"/>
  <c r="O114"/>
  <c r="O113"/>
  <c r="O112"/>
  <c r="O111"/>
  <c r="O110"/>
  <c r="O109"/>
  <c r="O108"/>
  <c r="O107"/>
  <c r="N107" s="1"/>
  <c r="O106"/>
  <c r="O105"/>
  <c r="O104"/>
  <c r="O103"/>
  <c r="N103" s="1"/>
  <c r="O102"/>
  <c r="N102" s="1"/>
  <c r="O101"/>
  <c r="N101" s="1"/>
  <c r="O100"/>
  <c r="N100" s="1"/>
  <c r="O99"/>
  <c r="O98"/>
  <c r="O97"/>
  <c r="O96"/>
  <c r="O95"/>
  <c r="O94"/>
  <c r="O93"/>
  <c r="O92"/>
  <c r="O91"/>
  <c r="O90"/>
  <c r="O89"/>
  <c r="O88"/>
  <c r="O87"/>
  <c r="O86"/>
  <c r="O85"/>
  <c r="O84"/>
  <c r="O83"/>
  <c r="O82"/>
  <c r="O81"/>
  <c r="O80"/>
  <c r="O79"/>
  <c r="O78"/>
  <c r="O77"/>
  <c r="O76"/>
  <c r="O75"/>
  <c r="O74"/>
  <c r="O73"/>
  <c r="O72"/>
  <c r="O71"/>
  <c r="O70"/>
  <c r="O69"/>
  <c r="O68"/>
  <c r="O67"/>
  <c r="O66"/>
  <c r="O65"/>
  <c r="O64"/>
  <c r="N64" s="1"/>
  <c r="O63"/>
  <c r="O62"/>
  <c r="O61"/>
  <c r="N61" s="1"/>
  <c r="O60"/>
  <c r="N60" s="1"/>
  <c r="O59"/>
  <c r="N59" s="1"/>
  <c r="O58"/>
  <c r="O57"/>
  <c r="O56"/>
  <c r="N56" s="1"/>
  <c r="O55"/>
  <c r="O54"/>
  <c r="N54" s="1"/>
  <c r="O53"/>
  <c r="N53" s="1"/>
  <c r="O52"/>
  <c r="N52" s="1"/>
  <c r="O51"/>
  <c r="N51" s="1"/>
  <c r="O50"/>
  <c r="O49"/>
  <c r="N49" s="1"/>
  <c r="O48"/>
  <c r="N48" s="1"/>
  <c r="N47"/>
  <c r="O46"/>
  <c r="N46" s="1"/>
  <c r="O45"/>
  <c r="O44"/>
  <c r="N44" s="1"/>
  <c r="N43"/>
  <c r="O42"/>
  <c r="N42" s="1"/>
  <c r="O41"/>
  <c r="N41" s="1"/>
  <c r="O40"/>
  <c r="N40" s="1"/>
  <c r="O39"/>
  <c r="N39" s="1"/>
  <c r="N38"/>
  <c r="O37"/>
  <c r="N37" s="1"/>
  <c r="O36"/>
  <c r="N36" s="1"/>
  <c r="O35"/>
  <c r="N35" s="1"/>
  <c r="O34"/>
  <c r="O33"/>
  <c r="N33" s="1"/>
  <c r="N32"/>
  <c r="O31"/>
  <c r="N31" s="1"/>
  <c r="O30"/>
  <c r="N30" s="1"/>
  <c r="O29"/>
  <c r="O28"/>
  <c r="N28" s="1"/>
  <c r="O27"/>
  <c r="N27" s="1"/>
  <c r="O26"/>
  <c r="N26" s="1"/>
  <c r="O25"/>
  <c r="N25" s="1"/>
  <c r="O24"/>
  <c r="O23"/>
  <c r="N23" s="1"/>
  <c r="O22"/>
  <c r="N22" s="1"/>
  <c r="O21"/>
  <c r="N21" s="1"/>
  <c r="N20"/>
  <c r="O19"/>
  <c r="N19" s="1"/>
  <c r="M18"/>
  <c r="N18" s="1"/>
  <c r="O17"/>
  <c r="N17" s="1"/>
  <c r="O16"/>
  <c r="N16" s="1"/>
  <c r="M16"/>
  <c r="O4163" l="1"/>
  <c r="N474"/>
  <c r="N480"/>
  <c r="N481"/>
  <c r="N558"/>
  <c r="N2948"/>
  <c r="N3518"/>
  <c r="N3534"/>
  <c r="N387"/>
  <c r="N473"/>
  <c r="N479"/>
  <c r="N483"/>
  <c r="N489"/>
  <c r="N815"/>
  <c r="N2860"/>
  <c r="N2943"/>
  <c r="N3502"/>
  <c r="N1894"/>
  <c r="N2879"/>
  <c r="N3470"/>
  <c r="N3550"/>
  <c r="N3526"/>
</calcChain>
</file>

<file path=xl/sharedStrings.xml><?xml version="1.0" encoding="utf-8"?>
<sst xmlns="http://schemas.openxmlformats.org/spreadsheetml/2006/main" count="56458" uniqueCount="3755">
  <si>
    <t>Способ закупок</t>
  </si>
  <si>
    <t>Шкаф металлический</t>
  </si>
  <si>
    <t>Кресло офисное</t>
  </si>
  <si>
    <t>Фотоаппарат</t>
  </si>
  <si>
    <t>Видеокамера</t>
  </si>
  <si>
    <t>Фановая труба</t>
  </si>
  <si>
    <t>Смеситель</t>
  </si>
  <si>
    <t>Отрезной круг</t>
  </si>
  <si>
    <t>Плоскогубцы</t>
  </si>
  <si>
    <t>Набор отверток</t>
  </si>
  <si>
    <t>Грабли</t>
  </si>
  <si>
    <t>Кабель</t>
  </si>
  <si>
    <t>Метла</t>
  </si>
  <si>
    <t>Замок</t>
  </si>
  <si>
    <t>Жидкость для омывателя</t>
  </si>
  <si>
    <t>Антигель для дизельного топлива</t>
  </si>
  <si>
    <t xml:space="preserve">Бензин </t>
  </si>
  <si>
    <t>Степлер</t>
  </si>
  <si>
    <t>Клей</t>
  </si>
  <si>
    <t>Бумага факсовая</t>
  </si>
  <si>
    <t>Маркер</t>
  </si>
  <si>
    <t>Органайзер</t>
  </si>
  <si>
    <t>Файлы</t>
  </si>
  <si>
    <t>Скоросшиватель</t>
  </si>
  <si>
    <t>Скотч</t>
  </si>
  <si>
    <t>Карандаш</t>
  </si>
  <si>
    <t>Бумага для заметок</t>
  </si>
  <si>
    <t>Калькулятор</t>
  </si>
  <si>
    <t>Дырокол</t>
  </si>
  <si>
    <t>Зажим</t>
  </si>
  <si>
    <t>Стаканы</t>
  </si>
  <si>
    <t>Ложки чайные</t>
  </si>
  <si>
    <t xml:space="preserve">Техническое обслуживание промышленных и полупромышленных кондиционеров </t>
  </si>
  <si>
    <t>Ремонт шлагбаума</t>
  </si>
  <si>
    <t>Техобслуживание и ремонт  бытовых кондиционеров</t>
  </si>
  <si>
    <t>Расходы по ремонту сейфов</t>
  </si>
  <si>
    <t>Техническая поддержка IP АТС, включая Call-центр</t>
  </si>
  <si>
    <t>Обслуживание программного обеспечения по информационной безопасности</t>
  </si>
  <si>
    <t>Услуги по экспорту базы данных Агенства РК по статистике в ГИС Фонда</t>
  </si>
  <si>
    <t>Услуги по ремонту и обслуживанию основных средств и нематериальных активов</t>
  </si>
  <si>
    <t>Услуги по ремонту и обслуживанию легковых автомашин</t>
  </si>
  <si>
    <t>Разметка стоянки</t>
  </si>
  <si>
    <t xml:space="preserve">Изготовление фирменных бланков </t>
  </si>
  <si>
    <t>Изготовление визиток</t>
  </si>
  <si>
    <t>Изготовление дверных табличек</t>
  </si>
  <si>
    <t>Изготовление штампов, печатей, факсимеле</t>
  </si>
  <si>
    <t xml:space="preserve">Размещение объявлений общего характера в СМИ </t>
  </si>
  <si>
    <t xml:space="preserve">Размещение объявлений о закупках в СМИ </t>
  </si>
  <si>
    <t>Поддержка доменных имен</t>
  </si>
  <si>
    <t>Услуги хостинга</t>
  </si>
  <si>
    <t xml:space="preserve">Корпоративные мероприятия </t>
  </si>
  <si>
    <t xml:space="preserve">Выпуск аналитической книги </t>
  </si>
  <si>
    <t>Расходы на повышение квалификации работников</t>
  </si>
  <si>
    <t xml:space="preserve">Услуги охраны залогового имущества  </t>
  </si>
  <si>
    <t>Услуги  охраны здания головного офиса</t>
  </si>
  <si>
    <t>Расходы на охрану помещения</t>
  </si>
  <si>
    <t>Юридические услуги</t>
  </si>
  <si>
    <t>Услуги направленные на оздоровление сотрудников</t>
  </si>
  <si>
    <t>Услуги по комплексной уборке помещений</t>
  </si>
  <si>
    <t>Копировальные услуги</t>
  </si>
  <si>
    <t>Услуги Банка Развития Казахстана по проведению банковской экспертизы</t>
  </si>
  <si>
    <t>Услуги по ведению реестра держателей ценных бумаг</t>
  </si>
  <si>
    <t>Оформление здания к праздничным мероприятиям</t>
  </si>
  <si>
    <t>Услуги по дератизации и дезинсекции помещений</t>
  </si>
  <si>
    <t>Услуги по изготовлению баннеров</t>
  </si>
  <si>
    <t>Услуги кабельного телевидения</t>
  </si>
  <si>
    <t>Услуги связи</t>
  </si>
  <si>
    <t>Почтовые услуги</t>
  </si>
  <si>
    <t>Услуги экспресс почты</t>
  </si>
  <si>
    <t>Услуги по подаче теплоэнергии</t>
  </si>
  <si>
    <t>Услуги по подаче горячей воды</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</si>
  <si>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</si>
  <si>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</si>
  <si>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</si>
  <si>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Кредитного бюро</t>
  </si>
  <si>
    <t>Приобретение информационных услуг из других источников</t>
  </si>
  <si>
    <t>Услуги по аренде сейфовых ячеек</t>
  </si>
  <si>
    <t>Аудиторские услуги</t>
  </si>
  <si>
    <t>Брокерские услуги и номинальное держание ценных бумаг</t>
  </si>
  <si>
    <t xml:space="preserve">Приобретение специальной литературы  </t>
  </si>
  <si>
    <t xml:space="preserve">Услуги нотариуса </t>
  </si>
  <si>
    <t xml:space="preserve">Подписка на периодику </t>
  </si>
  <si>
    <t>Добровольное медицинское страхование сотрудников</t>
  </si>
  <si>
    <t>Страхование административного здания Фонда</t>
  </si>
  <si>
    <t xml:space="preserve">Услуги по оценке </t>
  </si>
  <si>
    <t>Услуги по оценке залогового имущества</t>
  </si>
  <si>
    <t>Услуги маркетинговых исследований состояния развития субъектов малого и среднего предпринимательства</t>
  </si>
  <si>
    <t>Услуги по отбору лекторов и обеспечение их участия в реализации Программы "Бизнес Советник"</t>
  </si>
  <si>
    <t>Услуги по изготовлению раздаточных материалов</t>
  </si>
  <si>
    <t xml:space="preserve">Услуги прикладных маркетинговых исследований в приоритетных  отраслях  регионов </t>
  </si>
  <si>
    <t>Услуги перевода</t>
  </si>
  <si>
    <t>Услуги по подготовке независимыми экспертами заключения по годовому отчету Фонда по проекту Бизнес-Советник</t>
  </si>
  <si>
    <t>Услуги по организации выездных заседаний Делового Совета Фонда</t>
  </si>
  <si>
    <t>Услуги сторонней организации для оказания услуг по взысканию задолженности по проблемному ссудному портфелю Фонда.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</si>
  <si>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</si>
  <si>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Услуги консультанта для ЦПП в моногородах</t>
  </si>
  <si>
    <t>Услуги по привлечению водителей для автобуса МЦПП</t>
  </si>
  <si>
    <t>Система видеонаблюдения</t>
  </si>
  <si>
    <t>Автошины для автобуса МЦПП</t>
  </si>
  <si>
    <t>Дизтопливо для автобуса МЦПП</t>
  </si>
  <si>
    <t>Услуги ремонта компьютерного оборудования</t>
  </si>
  <si>
    <t>Услуги ремонта оргтехники, замена картриджей</t>
  </si>
  <si>
    <t>Транспортные услуги</t>
  </si>
  <si>
    <t>Услуги по предоставлению справочных, статистических, аналитических информаций и регистрации документов</t>
  </si>
  <si>
    <t xml:space="preserve">Подписка на сайт "Head Hunter" </t>
  </si>
  <si>
    <t>Услуги по разработке методики определения себестоимости</t>
  </si>
  <si>
    <t>Приобретение обзоров заработных плат</t>
  </si>
  <si>
    <t xml:space="preserve">Услуги по ремонту автобуса МЦПП </t>
  </si>
  <si>
    <t>Кресло руководителя</t>
  </si>
  <si>
    <t>Стул</t>
  </si>
  <si>
    <t>Услуги по мойке автобуса МЦПП, полировке и услуги аналогичные</t>
  </si>
  <si>
    <t>Услуги стоянок для автотранспортных средств</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</si>
  <si>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</si>
  <si>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</si>
  <si>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</si>
  <si>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 xml:space="preserve">Услуги по организации пресс-туров </t>
  </si>
  <si>
    <t xml:space="preserve">Расходы на рекламу </t>
  </si>
  <si>
    <t xml:space="preserve">Проведение информационных мероприятий (форумы, конференции, сессии, семинары, совещания и т.д.) </t>
  </si>
  <si>
    <t>Услуги по организация кофе-брейка</t>
  </si>
  <si>
    <t>Диск CD-RW</t>
  </si>
  <si>
    <t>Публикация объявлений в средствах массовой информации</t>
  </si>
  <si>
    <t>Лицензии для CRM Terrasoft XRM</t>
  </si>
  <si>
    <t>Услуги по изготовлению рекламных плакатов по Программе "Бизнес-Советник"</t>
  </si>
  <si>
    <t>Услуги по разработке дизайна, переводу, верстке и изготовлению годового отчета</t>
  </si>
  <si>
    <t>Услуги по уборке помещений</t>
  </si>
  <si>
    <t>Шкаф для одежды</t>
  </si>
  <si>
    <t>Лицензионное программное обеспечение Microsoft SQL Server Enterprise 2012</t>
  </si>
  <si>
    <t>Лицензионное программное обеспечение Microsoft
Windows Server Standard 2012</t>
  </si>
  <si>
    <t>Услуги водителей автотранспорта региональных филиалов</t>
  </si>
  <si>
    <t>Услуги аренды футбольного поля</t>
  </si>
  <si>
    <t xml:space="preserve">Услуги по предоставлению персонала для ресепшн </t>
  </si>
  <si>
    <t>Ноутбук среднего класса</t>
  </si>
  <si>
    <t>Компьютер форм-фактор моноблок</t>
  </si>
  <si>
    <t>Блейд-сервер</t>
  </si>
  <si>
    <t xml:space="preserve">Система хранения данных </t>
  </si>
  <si>
    <t>Ленточная библиотека накопитель типа LTO, число картриджей от 18 до 24</t>
  </si>
  <si>
    <t>LCD-KVM консоль 16-ть портов, в стойку 19'', диагональ не менее 17''</t>
  </si>
  <si>
    <t>Аппаратно программный комплекс расширения функционала IP АТС Avaya, повышение отказоустойчивости</t>
  </si>
  <si>
    <t>Маршрутизатор нижнего класа (организация динамической маршрутизации)</t>
  </si>
  <si>
    <t>Коммутатор сетевой (Switch) организация уровня доступа для ЦОД</t>
  </si>
  <si>
    <t>Система видеоконференцсвязи (головной офис, 15 региональных филиалов)</t>
  </si>
  <si>
    <t>Приобретение автотранспорта</t>
  </si>
  <si>
    <t>Кондиционеры</t>
  </si>
  <si>
    <t>Приобретение зданий</t>
  </si>
  <si>
    <t>Железный шкаф</t>
  </si>
  <si>
    <t>Кресло для сотрудников</t>
  </si>
  <si>
    <t>Стеллажи архивные</t>
  </si>
  <si>
    <t>Стол в приемную</t>
  </si>
  <si>
    <t>шкаф для документов</t>
  </si>
  <si>
    <t>диван в кабинет директора</t>
  </si>
  <si>
    <t>кресло</t>
  </si>
  <si>
    <t>Мебель руководителя</t>
  </si>
  <si>
    <t>Набор мягкой мебели</t>
  </si>
  <si>
    <t>Шкаф металлический для документов</t>
  </si>
  <si>
    <t>Шкаф бух. металлический</t>
  </si>
  <si>
    <t>Проектор мультимедийный</t>
  </si>
  <si>
    <t>Ламинатор</t>
  </si>
  <si>
    <t>Переплетная машина</t>
  </si>
  <si>
    <t>Цифровая фотокамера</t>
  </si>
  <si>
    <t>Шкаф стеллаж для документов</t>
  </si>
  <si>
    <t>Шкаф со стеклом для документов</t>
  </si>
  <si>
    <t>Стол рабочий для сотрудников</t>
  </si>
  <si>
    <t>Стол раскладной</t>
  </si>
  <si>
    <t>Стул раскладной</t>
  </si>
  <si>
    <t>Стул офисный</t>
  </si>
  <si>
    <t>Кресло офисное для сотрудников</t>
  </si>
  <si>
    <t>Кресло для конференц зала</t>
  </si>
  <si>
    <t>Диван офисный для посетителей</t>
  </si>
  <si>
    <t>Кондиционер напольный</t>
  </si>
  <si>
    <t xml:space="preserve">Кондиционер </t>
  </si>
  <si>
    <t>Кресло для посетителей в кабинет директора</t>
  </si>
  <si>
    <t>стол</t>
  </si>
  <si>
    <t>Рецепшен для приемной</t>
  </si>
  <si>
    <t>Тумбы</t>
  </si>
  <si>
    <t xml:space="preserve">Фотоаппарат зеркальный </t>
  </si>
  <si>
    <t>Кондиционер</t>
  </si>
  <si>
    <t>Программное обеспечение сервер электронной почты</t>
  </si>
  <si>
    <t>Программное обеспечение сервера коммуникаций позволяющая пользователям общаться друг с другом в реальном времени, используя различные виды коммуникаций: мгновенные сообщения, видео- и голосовую связь, общий доступ к рабочему столу, конференции, передача файлов</t>
  </si>
  <si>
    <t>Программное обеспечение виртуализации серверов</t>
  </si>
  <si>
    <t>Система биллинга телефонных переговоров, программно-аппаратный комплекс</t>
  </si>
  <si>
    <t>Программно-аппаратный комплекс фильтрации web-трафика</t>
  </si>
  <si>
    <t>Программный продукт - система автоматизации документооборота</t>
  </si>
  <si>
    <t>Лицензия на на программное обеспечение антивирусной  защиты (1 год, объектов защиты 520)</t>
  </si>
  <si>
    <t>Лицензионное программное обеспечение Microsoft Office</t>
  </si>
  <si>
    <t>Программное обеспечение для работы с документами в формате pdf</t>
  </si>
  <si>
    <t>Вентиль</t>
  </si>
  <si>
    <t>Кисть 75 мм</t>
  </si>
  <si>
    <t>Кисть 38 мм</t>
  </si>
  <si>
    <t>Бур по бетону</t>
  </si>
  <si>
    <t>Набор сверел по металлу</t>
  </si>
  <si>
    <t>Насадки для шуруповерта</t>
  </si>
  <si>
    <t>Изолента</t>
  </si>
  <si>
    <t xml:space="preserve">Шланг </t>
  </si>
  <si>
    <t>Шуруп для Г/К</t>
  </si>
  <si>
    <t>Шуруп для крепления</t>
  </si>
  <si>
    <t>Лампа энергосб.</t>
  </si>
  <si>
    <t>Клей жидкий</t>
  </si>
  <si>
    <t xml:space="preserve">Стартеры </t>
  </si>
  <si>
    <t>Лопата</t>
  </si>
  <si>
    <t>Сердечник</t>
  </si>
  <si>
    <t>Дверная ручка</t>
  </si>
  <si>
    <t>Степлер мебельный</t>
  </si>
  <si>
    <t>Дистанционная карточка (прокси-карта)</t>
  </si>
  <si>
    <t>Пульт от кондиционера</t>
  </si>
  <si>
    <t>Вода питьевая, 0,5 л</t>
  </si>
  <si>
    <t>Цветы</t>
  </si>
  <si>
    <t xml:space="preserve">Регистратор - А4 70мм </t>
  </si>
  <si>
    <t xml:space="preserve">Регистратор - А4 50мм. </t>
  </si>
  <si>
    <t xml:space="preserve">Скоросшиватель картонный - белый </t>
  </si>
  <si>
    <t xml:space="preserve">Лента клейкая - 48ммх66м прозрачн. </t>
  </si>
  <si>
    <t>Степлер - №10</t>
  </si>
  <si>
    <t xml:space="preserve">Степлер - №24/6.26/6 </t>
  </si>
  <si>
    <t>Степлер - №23/6.23/8-23/10</t>
  </si>
  <si>
    <t xml:space="preserve">Скобы - №10 </t>
  </si>
  <si>
    <t>Скобы - №24/6</t>
  </si>
  <si>
    <t>Корректирующая жидкость, с кисточкой</t>
  </si>
  <si>
    <t xml:space="preserve">Корректирующая лента </t>
  </si>
  <si>
    <t>Дырокол - 70л.</t>
  </si>
  <si>
    <t xml:space="preserve">Зажим - 19мм </t>
  </si>
  <si>
    <t xml:space="preserve">Зажим - 32мм </t>
  </si>
  <si>
    <t>Корзина д/бумаг</t>
  </si>
  <si>
    <t xml:space="preserve">Лоток вертикальный </t>
  </si>
  <si>
    <t>Батарейка, ААА</t>
  </si>
  <si>
    <t xml:space="preserve">Маркер текстовый </t>
  </si>
  <si>
    <t>Файл - А4</t>
  </si>
  <si>
    <t>Конверт (А4)</t>
  </si>
  <si>
    <t>Конверт (евро)</t>
  </si>
  <si>
    <t>Конверт (А5)</t>
  </si>
  <si>
    <t>Стикеры, 5 цветов</t>
  </si>
  <si>
    <t>Лента клейкая</t>
  </si>
  <si>
    <t>Бумага А4</t>
  </si>
  <si>
    <t>стикеры</t>
  </si>
  <si>
    <t>Регистратор</t>
  </si>
  <si>
    <t>Скрепки</t>
  </si>
  <si>
    <t>Скобы</t>
  </si>
  <si>
    <t>Корректор</t>
  </si>
  <si>
    <t xml:space="preserve">Конверт </t>
  </si>
  <si>
    <t>Шины: микроавтобус (летние)</t>
  </si>
  <si>
    <t>Шины:микроавтобус (летние)</t>
  </si>
  <si>
    <t>Шины: Тойота Камри, 2.4 (зимние)</t>
  </si>
  <si>
    <t>Шины: Тойота Камри, 3.5 (зимние)</t>
  </si>
  <si>
    <t>Техническая поддержка системы бесперебойного питания Gamatronic 20 кВа и 100 кВа</t>
  </si>
  <si>
    <t>Техническая поддержка Terrasoft XRM</t>
  </si>
  <si>
    <t>Техническая поддержка сетевого оборудования, Cisco smartnet 8x5xnbd</t>
  </si>
  <si>
    <t xml:space="preserve">Услуги по настройке сетевого оборудования, оптимизации сети, повышения отказоустойчивости </t>
  </si>
  <si>
    <t>Информационно-Технологическое Сопровождение (ИТС) «1С:Предприятие»</t>
  </si>
  <si>
    <t>Обслуживание систем электронной очереди</t>
  </si>
  <si>
    <t>Аренда программного обеспечения по программе Enterprise Agreement Microsoft CoreCAL (CoreCAL ALNG LicSAPk MVL DvcCAL), включая Software Assurance</t>
  </si>
  <si>
    <t>Аренда дополнительных программных продуктов по программе Enterprise Agreement Microsoft SQL Server Standard (SQLSvrStdCore ALNG LicSAPk MVL 2Lic CoreLic), включая Software Assurance</t>
  </si>
  <si>
    <t>Аренда дополнительных программных продуктов по программе Enterprise Agreement Microsoft System Center (SysCtrStd ALNG LicSAPk MVL 2Proc), включая Software Assurance</t>
  </si>
  <si>
    <t>Аренда дополнительных программных продуктов по программе Enterprise Agreement Microsoft Windows Remote Desktop (WinRmtDsktpSrvcsCAL ALNG LicSAPk MVL DvcCAL), включая Software Assurance</t>
  </si>
  <si>
    <t>Обслуживание ДГУ головного офиса</t>
  </si>
  <si>
    <t>Обслуживание пожарной сигнализации</t>
  </si>
  <si>
    <t>Обслуживние охранной сигнализации</t>
  </si>
  <si>
    <t>Обслуживание системы видеонаблюдения</t>
  </si>
  <si>
    <t>Обслуживание системы контроля доступа</t>
  </si>
  <si>
    <t>Услуги по ремонту и техобслуживанию лифта</t>
  </si>
  <si>
    <t>Услуги по техобслуживанию оргтехники  ЦОП</t>
  </si>
  <si>
    <t>Типографские услуги</t>
  </si>
  <si>
    <t>Стоимость услуг по актуализации справочника ЕНС ТРУ</t>
  </si>
  <si>
    <t>Услуги утилизации списанного имущества</t>
  </si>
  <si>
    <t>Услуги организации кофе-брейков</t>
  </si>
  <si>
    <t xml:space="preserve">Услуги по изготовлению брендированной фирменной корпоративной продукция </t>
  </si>
  <si>
    <t xml:space="preserve">Услуги  охраны здания </t>
  </si>
  <si>
    <t>Доступ к сети Интернет со скоростью 32 Мбит/с Unlimited - головной офис</t>
  </si>
  <si>
    <t>Доступ к сети Интернет со скоростью 8 Мбит/с Unlimited - головной офис</t>
  </si>
  <si>
    <t>Интернет со скоростью 2 Мбит/с Unlimited - региональные филиалы</t>
  </si>
  <si>
    <t>Услуга доступа IP VPN с пропускной способностью шлюза 8 Мбит/с - головной офис</t>
  </si>
  <si>
    <t>Услуга доступа IP VPN с пропускной способностью шлюза 512 Кбит/с - региональные филиалы</t>
  </si>
  <si>
    <t>Абонентская плата за Business Trunk - головной офис</t>
  </si>
  <si>
    <t>Доступ к услуге расширенный мониторинг сети IP VPN</t>
  </si>
  <si>
    <t>Абонентская плата за пользование услугой персонализированная техническая поддержка</t>
  </si>
  <si>
    <t>Абонплата за телефон (аналоговые линии головного офиса)</t>
  </si>
  <si>
    <t>Абонплата за интеллектуальный номер Toll Free</t>
  </si>
  <si>
    <t>Междугородние, -народные и сотовые переговоры</t>
  </si>
  <si>
    <t>Абонентская плата за канал IP VPN г. Жанаозен</t>
  </si>
  <si>
    <t>Услуги спецсвязи</t>
  </si>
  <si>
    <t>Информационная система ПАРАГРАФ (ЮРИСТ)</t>
  </si>
  <si>
    <t>Услуги по наблюдению кредитного рейтинга</t>
  </si>
  <si>
    <t>Услуги по внедрению системы менеджмента качества</t>
  </si>
  <si>
    <t xml:space="preserve">Командный аудит 16 региональных филиалов посредством специализированных систем оценки (система Томаса) </t>
  </si>
  <si>
    <t>Налоговый аудит</t>
  </si>
  <si>
    <t xml:space="preserve">Обязательное страхование автотранспорта </t>
  </si>
  <si>
    <t>Централизованное добровольное страхование  автомашин Фонда</t>
  </si>
  <si>
    <t>Услуги по обслуживанию здания (услуги дворника, плотника, электрика)</t>
  </si>
  <si>
    <t>Ремонт и обслуживание кондиционеров</t>
  </si>
  <si>
    <t>Заправка, дозаправка кондиционеров</t>
  </si>
  <si>
    <t>Благустроиство территории</t>
  </si>
  <si>
    <t>Опрессовка системы отопления</t>
  </si>
  <si>
    <t>Обязательное страхование автобуса МЦПП</t>
  </si>
  <si>
    <t>Освещение мер государственной поддержки в СМИ</t>
  </si>
  <si>
    <t>Подготовка информационно-аналитического комплекса материалов (пресс-кит)</t>
  </si>
  <si>
    <t>Подготовка и размещение инфографики (схем и рисунков) в региональных и республиканских СМИ</t>
  </si>
  <si>
    <t>Организация деятельности Call-центра Оператора для разъяснения условий предоставления государственной поддержки предпринимателям</t>
  </si>
  <si>
    <t>Разработка регулярных отчетов по сектору МСБ, включая ежегодный выпуск отчета о состоянии развития МСБ в Казахстане и его регионах</t>
  </si>
  <si>
    <t>Транспортные расходы по зарубежному преподавательскому составу.</t>
  </si>
  <si>
    <t>Создание и актуализация базы данных слушателей, базы данных преподавательского состава по всем региональным учебным центрам.</t>
  </si>
  <si>
    <t>Проведение занятий и консультаций в Региональных учебных центрах, командирование казахстанских тренеров.</t>
  </si>
  <si>
    <t>Проведение вэб-семинаров, онлайн консультирование, обслуживание интернет ресурса программы.</t>
  </si>
  <si>
    <t>Сбор анкет претендентов на стажировку, предварительный скрининг поданных анкет.</t>
  </si>
  <si>
    <t>Участие в организации очередного заседания казахстанско-германского управленческого комитета Программы повышения квалификации руководящих работников и менеджеров в сфере экономики РК. Проведение Казахстанско-Германского управленческого комитета.</t>
  </si>
  <si>
    <t xml:space="preserve">Подготовка участников к отправке на зарубежную стажировку (авиабилеты). </t>
  </si>
  <si>
    <t>Участие представителей Исполнителя в Партнерской конференции в Германии.</t>
  </si>
  <si>
    <t xml:space="preserve">Разработка программы обучения по проекту «Деловые связи» </t>
  </si>
  <si>
    <t xml:space="preserve">Подготовка учебных материалов </t>
  </si>
  <si>
    <t xml:space="preserve">Организация кофе-брейков во время занятий </t>
  </si>
  <si>
    <t>Проведение мониторинга реализации проекта «Деловые связи»</t>
  </si>
  <si>
    <t>Хостинг сайта</t>
  </si>
  <si>
    <t>Контент - поддержка сайта на государственном языке (в расчете на двух специалистов)</t>
  </si>
  <si>
    <t>Контент - поддержка сайта на русском языке (в расчете на двух специалистов)</t>
  </si>
  <si>
    <t>Техническая поддержка сайта</t>
  </si>
  <si>
    <t>База данных нормативных документов</t>
  </si>
  <si>
    <t>Модернизация бизнес-портала для предпринимателей</t>
  </si>
  <si>
    <t>Разработка и тиражирование брошюры информационно-методического характера по франчайзингу</t>
  </si>
  <si>
    <t xml:space="preserve">Услуги по изучению и анализу  рынка по франчайзингу </t>
  </si>
  <si>
    <t xml:space="preserve">Услуги консультанта для  МЦПП </t>
  </si>
  <si>
    <t>Консультации по бухгалтерскому и налоговому учету</t>
  </si>
  <si>
    <t>Консультации по юридическим услугам и ведению бизнеса</t>
  </si>
  <si>
    <t>Консультации по вопросам маркетинга и бизнес - планирования</t>
  </si>
  <si>
    <t>Консультации по видам и инструментам государственной поддержки предпринимательства, и программам Фонда</t>
  </si>
  <si>
    <t>Консультант по взаимодействию с государствнными органами и банками второго уровня, коучинг</t>
  </si>
  <si>
    <t>Консультации по вопросам связанные с государственными закупками</t>
  </si>
  <si>
    <t>Консультации по IT технологиям и государственным закупкам</t>
  </si>
  <si>
    <t>Консультации по взаимодействию с государственными органами и банками второго уровня, коучинг</t>
  </si>
  <si>
    <t>Консультации по разрешительным процедурам в области архитектуры и гражданского строительства</t>
  </si>
  <si>
    <t>Консультации по вопросам  государственных закупок,   закупок национальных компаний и  недропользователей</t>
  </si>
  <si>
    <t>Консультации по вопросам подготовке документов для финансирования в БВУ и по государственным закупкам</t>
  </si>
  <si>
    <t>Консультации по  программам Фонда</t>
  </si>
  <si>
    <t>Дизайн и печать раздаточных материалов для Центров поддержки предпринимательства в моногородах</t>
  </si>
  <si>
    <t>Услуги по разработке и тиражированию рекламных материалов ШМП</t>
  </si>
  <si>
    <t>Услуги по организации и проведению Мастер-класса "Обучение преподавателей" в рамках проекта "Бизнес-Советник"</t>
  </si>
  <si>
    <t>Проведение анализа эффектиновсти проекта "Бизнес-Советник"</t>
  </si>
  <si>
    <t>Создание рекламного видеоролика по проекту «Бизнес-Советник-2»</t>
  </si>
  <si>
    <t>Проведение анализа эффектиновсти проекта "Бизнес-Советник-2"</t>
  </si>
  <si>
    <t>Услуги по изготовлению рекламных плакатов по Программе "Бизнес-Советник-2"</t>
  </si>
  <si>
    <t>Услуги по организации и проведению Мастер-класса "Обучение преподавателей" в рамках проекта "Бизнес-Советник-2"</t>
  </si>
  <si>
    <t>Аренда автотранспорта для лекторов в рамках программы "Бизнес-советник" и "Бизнес-Советник-2"</t>
  </si>
  <si>
    <t>Услуги по отбору лекторов и обеспечение их участия в реализации Программы "Бизнес Советник-2"</t>
  </si>
  <si>
    <t xml:space="preserve">Стол рабочий </t>
  </si>
  <si>
    <t xml:space="preserve">Шкаф для одежды </t>
  </si>
  <si>
    <t>Шкаф для документов</t>
  </si>
  <si>
    <t xml:space="preserve">Конференцстол </t>
  </si>
  <si>
    <t>Стол комп.-принт.</t>
  </si>
  <si>
    <t xml:space="preserve">Тумба мобильная </t>
  </si>
  <si>
    <t xml:space="preserve">Стол комп.-принт. </t>
  </si>
  <si>
    <t>Стол приставной  (для кабинета директора)</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</si>
  <si>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</si>
  <si>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</si>
  <si>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</si>
  <si>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</si>
  <si>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</si>
  <si>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</si>
  <si>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</si>
  <si>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</si>
  <si>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</si>
  <si>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</si>
  <si>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Единица измерения (в соответствии с КТРУ)</t>
  </si>
  <si>
    <t>Количество, объем</t>
  </si>
  <si>
    <t>Цена за единицу, тенге без учета НДС</t>
  </si>
  <si>
    <t>Планируемая сумма закупа, тенге без учета НДС</t>
  </si>
  <si>
    <t>Срок проведения закупок (месяц)</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</si>
  <si>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</si>
  <si>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</si>
  <si>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Размер авансового платежа %</t>
  </si>
  <si>
    <t>Гибкая подводка</t>
  </si>
  <si>
    <t>Герметик силиконовый</t>
  </si>
  <si>
    <t>Валик малярный</t>
  </si>
  <si>
    <t>Дрель шуруповерт</t>
  </si>
  <si>
    <t xml:space="preserve">Ножовка </t>
  </si>
  <si>
    <t>Лента электроизоляционная</t>
  </si>
  <si>
    <t>Шланг</t>
  </si>
  <si>
    <t>Шуруп</t>
  </si>
  <si>
    <t xml:space="preserve">Лампы люминесцентные </t>
  </si>
  <si>
    <t xml:space="preserve">Клей </t>
  </si>
  <si>
    <t>Стартер</t>
  </si>
  <si>
    <t>Сердцевина замка</t>
  </si>
  <si>
    <t>Набор инструментов</t>
  </si>
  <si>
    <t>Тележка для перевозки грузов</t>
  </si>
  <si>
    <t>Тележка для мусора</t>
  </si>
  <si>
    <t>Лестница стремянка</t>
  </si>
  <si>
    <t>Фонарик</t>
  </si>
  <si>
    <t xml:space="preserve">Консультации по вопросам получения разрешительных документов </t>
  </si>
  <si>
    <t>Консультации по вопросам государственных и прочих закупок</t>
  </si>
  <si>
    <t>Маркер для доски</t>
  </si>
  <si>
    <t>Губка для маркерных досок</t>
  </si>
  <si>
    <t>Доска-флипчарт</t>
  </si>
  <si>
    <t>Настенные блокноты для записей</t>
  </si>
  <si>
    <t>22.11.17.00.11.17.11.20.1</t>
  </si>
  <si>
    <t>Автошина</t>
  </si>
  <si>
    <t>Размер:235/55R18. Шина резиновая пневматическая новая  для легковых автомобилей. Конструкция шины: радиальная. Комплектность: бескамерная шина. Номинальный диаметр обода: 18. Летняя шина.</t>
  </si>
  <si>
    <t>Автошины для легкового автомобиля</t>
  </si>
  <si>
    <t>февраль</t>
  </si>
  <si>
    <t>Топливо дизельное</t>
  </si>
  <si>
    <t>январь</t>
  </si>
  <si>
    <t>в течение года</t>
  </si>
  <si>
    <t>13.99.19.00.00.00.50.11.1</t>
  </si>
  <si>
    <t xml:space="preserve">из стеклянных нитей </t>
  </si>
  <si>
    <t>25.73.10.00.00.10.10.14.1</t>
  </si>
  <si>
    <t>Лопаты подборочные (совковые)</t>
  </si>
  <si>
    <t>Шурупы с квадратной головкой из черных металлов</t>
  </si>
  <si>
    <t>27.40.22.00.00.13.11.20.1</t>
  </si>
  <si>
    <t>Светильник</t>
  </si>
  <si>
    <t>ГОСТ 17677-82, источник света (лампа) Л - прямые трубчатые люминисцентные</t>
  </si>
  <si>
    <t>27.32.13.00.02.01.68.11.1</t>
  </si>
  <si>
    <t>КРПТ 4*4</t>
  </si>
  <si>
    <t>20.52.10.00.00.00.06.25.2</t>
  </si>
  <si>
    <t>Клей ПВА</t>
  </si>
  <si>
    <t>марки ДФ 50/5Н, ГОСТ 18992-80</t>
  </si>
  <si>
    <t>27.40.42.00.00.00.02.10.1</t>
  </si>
  <si>
    <t>мощность люминесцентной лампы свыше 140 Вт</t>
  </si>
  <si>
    <t>25.72.13.00.00.31.10.10.1</t>
  </si>
  <si>
    <t>Сердцевина для врезного замка</t>
  </si>
  <si>
    <t>30.99.10.00.00.00.10.20.1</t>
  </si>
  <si>
    <t>Ручные двухколесные тележки для перевозки грузов массой до 200-250 кг</t>
  </si>
  <si>
    <t>25.72.11.00.00.10.11.10.1</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</si>
  <si>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</si>
  <si>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25.99.29.00.02.13.17.10.1</t>
  </si>
  <si>
    <t>Лестница-стремянка</t>
  </si>
  <si>
    <t xml:space="preserve">Лестница-стремянка  алюминиевая </t>
  </si>
  <si>
    <t>19.20.21.00.00.00.11.40.1</t>
  </si>
  <si>
    <t>Бензин</t>
  </si>
  <si>
    <t>неэтилированный и этилированный, произведенный для двигателей с искровым зажиганием: АИ-92</t>
  </si>
  <si>
    <t>17.12.13.40.10.00.00.10.1</t>
  </si>
  <si>
    <t>Қағаз</t>
  </si>
  <si>
    <t xml:space="preserve">Бумага </t>
  </si>
  <si>
    <t>формат А4, плотность 80г/м2, 21х29,5 см</t>
  </si>
  <si>
    <t>17.12.13.20.00.00.00.50.1</t>
  </si>
  <si>
    <t>Бумага</t>
  </si>
  <si>
    <t>для факса, факсовые ролики, белый, плотность 80г/кв.м, масса 1кв.м 80г, ширина 210мм, диаметр 800мм, температура 18-25С</t>
  </si>
  <si>
    <t>17.23.12.30.00.00.00.70.1</t>
  </si>
  <si>
    <t>Стикеры</t>
  </si>
  <si>
    <t>с липким краем, для заметок</t>
  </si>
  <si>
    <t>22.29.25.00.00.00.23.15.1</t>
  </si>
  <si>
    <t>Желім-қалам</t>
  </si>
  <si>
    <t>Клей-карандаш</t>
  </si>
  <si>
    <t>Желім-қалам 22 грамм</t>
  </si>
  <si>
    <t xml:space="preserve">Клей-карандаш 22 грамм </t>
  </si>
  <si>
    <t>22.29.25.00.00.00.19.13.1</t>
  </si>
  <si>
    <t>Перманентті (өшірілмейтін) пластиктен жасалған маркер, басы домалақ 3 мм</t>
  </si>
  <si>
    <t xml:space="preserve"> Маркер пластиковый перманентный (нестираемый), круглый наконечник 3мм</t>
  </si>
  <si>
    <t>22.29.25.00.00.00.13.30.1</t>
  </si>
  <si>
    <t>Айналма негіздегі, домалақ, пластиктен жасалған столға арналған органайзер, құрамында 10 затқа дейін</t>
  </si>
  <si>
    <t>Органайзер пластиковый настольный овальный на вращающейся основе,  до 10 предметов</t>
  </si>
  <si>
    <t>17.23.13.60.00.00.00.80.1</t>
  </si>
  <si>
    <t>Регистр</t>
  </si>
  <si>
    <t>Картоннан немесе қағаздан жасалған регистратор, формат А4 ке</t>
  </si>
  <si>
    <t>Регистратор из картона или бумаги, под формат А4</t>
  </si>
  <si>
    <t>32.99.80.00.00.00.00.10.1</t>
  </si>
  <si>
    <t>широкий, свыше 3 см</t>
  </si>
  <si>
    <t>25.99.23.00.00.11.11.10.1</t>
  </si>
  <si>
    <t>Скрепка</t>
  </si>
  <si>
    <t>Скрепки для бумаг. Размер 22 мм</t>
  </si>
  <si>
    <t>25.99.23.00.00.10.11.10.1</t>
  </si>
  <si>
    <t>Қапсырма</t>
  </si>
  <si>
    <t>Скоба</t>
  </si>
  <si>
    <t>Канцелярляқ мақсаттар үшін сым қапсырма</t>
  </si>
  <si>
    <t>Скобы проволочные для канцелярских целей</t>
  </si>
  <si>
    <t>25.99.23.00.00.11.18.10.1</t>
  </si>
  <si>
    <t>устройство для оперативного скрепления листов металлическими скобами</t>
  </si>
  <si>
    <t>32.99.81.00.00.10.10.12.1</t>
  </si>
  <si>
    <t>Штрих-корректор</t>
  </si>
  <si>
    <t>с кисточкой и разбавителем</t>
  </si>
  <si>
    <t>22.29.25.00.00.00.20.15.1</t>
  </si>
  <si>
    <t>Ручка</t>
  </si>
  <si>
    <t xml:space="preserve">Пластиктен жасалған шариктік ручка </t>
  </si>
  <si>
    <t xml:space="preserve">Ручка пластиковая шариковая </t>
  </si>
  <si>
    <t>Қалам</t>
  </si>
  <si>
    <t xml:space="preserve">прочие, не включенные в другие группировки </t>
  </si>
  <si>
    <t>17.23.12.30.00.00.00.03.1</t>
  </si>
  <si>
    <t>из цветной бумаги (блок из бумаг для заметок)</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</si>
  <si>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</si>
  <si>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</si>
  <si>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</si>
  <si>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17.23.12.10.00.00.00.60.1</t>
  </si>
  <si>
    <t>Конверты</t>
  </si>
  <si>
    <t>формат B4 (250 х 353 мм)</t>
  </si>
  <si>
    <t>25.99.23.00.00.11.15.10.1</t>
  </si>
  <si>
    <t>Тескіш</t>
  </si>
  <si>
    <t>қағаздарды теуге арналған механикалық құрылғы</t>
  </si>
  <si>
    <t>механическое устройство для пробивания отверстий в бумаге</t>
  </si>
  <si>
    <t>Упаковка</t>
  </si>
  <si>
    <t>22.29.25.00.00.00.19.10.1</t>
  </si>
  <si>
    <t>32.99.81.00.00.32.10.10.1</t>
  </si>
  <si>
    <t>62.02.30.10.10.00.00</t>
  </si>
  <si>
    <t>Услуги по техническому обслуживанию и ремонту машин и оборудования офисных</t>
  </si>
  <si>
    <t>29.20.40.16.00.00.00</t>
  </si>
  <si>
    <t>Автокөлікке техникалық қызмет көрсету</t>
  </si>
  <si>
    <t>Техническое обслуживание автотранспорта</t>
  </si>
  <si>
    <t>Техническое обслуживание  автотранспорта (замена масел, жидкостей, фильтров, тормозных колодок, свечей, ремней)</t>
  </si>
  <si>
    <t>45.20.30.10.00.00.00</t>
  </si>
  <si>
    <t>Услуги по мойке машин, полировке и услуги аналогичные</t>
  </si>
  <si>
    <t xml:space="preserve">Комплекс услуг по мойке машин, полировке и услуги аналогичные </t>
  </si>
  <si>
    <t>52.21.24.10.00.00.00</t>
  </si>
  <si>
    <t>71.20.14.10.00.00.00</t>
  </si>
  <si>
    <t>81.21.10.10.00.00.00</t>
  </si>
  <si>
    <t>Ғимаратты жалпы жинау қызметтері</t>
  </si>
  <si>
    <t>Услуги по общей уборке зданий</t>
  </si>
  <si>
    <t xml:space="preserve">Услуги по уборке помещений </t>
  </si>
  <si>
    <t>81.10.10.10.00.00.00</t>
  </si>
  <si>
    <t>Услуги по комплексному обслуживанию объектов</t>
  </si>
  <si>
    <t>Комплексное обслуживание объектов (общая уборка интерьера, вывоз мусора, обеспечение охраны и безопасности, услуги почты, прачечной)</t>
  </si>
  <si>
    <t>май</t>
  </si>
  <si>
    <t>июнь</t>
  </si>
  <si>
    <t>35.30.12.16.00.00.00</t>
  </si>
  <si>
    <t>Жылыту жүйесін жуу және қысу бойынша қызметтер</t>
  </si>
  <si>
    <t>Услуги по промывке и опрессовке системы отопления</t>
  </si>
  <si>
    <t>октябрь</t>
  </si>
  <si>
    <t>18.12.14.11.00.00.00</t>
  </si>
  <si>
    <t>Баспалық қызметтер</t>
  </si>
  <si>
    <t>Услуги по печатанию</t>
  </si>
  <si>
    <t>Услуги по печатанию брошюр, журналов документации и аналогичной продукции</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</si>
  <si>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</si>
  <si>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</si>
  <si>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</si>
  <si>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</si>
  <si>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март</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</si>
  <si>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</si>
  <si>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</si>
  <si>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</si>
  <si>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85.59.19.10.00.00.00</t>
  </si>
  <si>
    <t>Жұмыскерлерді дайындау, қайта дайындау және біліктіліктерін арттыру бойынша ағартушылық қызметтері</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</si>
  <si>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</si>
  <si>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</si>
  <si>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</si>
  <si>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82.30.11.13.00.00.00</t>
  </si>
  <si>
    <t>Услуги по организации форума</t>
  </si>
  <si>
    <t>Комплекс услуг по организации форума (проведение форума с приглашением специалистов, обучение, проведение тренингов, деловых игр, семинаров)</t>
  </si>
  <si>
    <t>18.12.19.23.00.00.00</t>
  </si>
  <si>
    <t>Басқа поиграфиялық қызметтер</t>
  </si>
  <si>
    <t>Услуги полиграфические прочие</t>
  </si>
  <si>
    <t>Көрнекті агитация дайындау мен баспадан шығару қызметтері</t>
  </si>
  <si>
    <t>Услуги по изготовлению и печатанию баннера</t>
  </si>
  <si>
    <t>49.42.11.11.00.00.00</t>
  </si>
  <si>
    <t>Жеке және заңда тұлғалар көшкен кезде көрсетілетін автожол көлігімен тасымалдау бойынша қызметтер</t>
  </si>
  <si>
    <t>Услуги по перевозкам на автодорожном транспорте, оказываемые при переезде физическим и юридическим лицам</t>
  </si>
  <si>
    <t>69.10.16.10.00.00.00</t>
  </si>
  <si>
    <t>Нотариалдық қызметтер</t>
  </si>
  <si>
    <t>Услуги нотариальные</t>
  </si>
  <si>
    <t>Құжаттарды нотариалдық ресімдеумен (растаумен) байланысты нотариалдық қызметтер</t>
  </si>
  <si>
    <t>Услуги нотариальные, связанные с нотариальным оформлением (заверением) документов</t>
  </si>
  <si>
    <t>80.10.12.11.00.00.00</t>
  </si>
  <si>
    <t>Услуги охранников по защите имущества юридических лиц</t>
  </si>
  <si>
    <t>61.10.11.06.01.00.00</t>
  </si>
  <si>
    <t>Услуги фиксированной местной, междугородней, международной телефонной связи  - доступ и пользование</t>
  </si>
  <si>
    <t>53.10.12.20.10.00.00</t>
  </si>
  <si>
    <t>Услуги почтовые внутри страны</t>
  </si>
  <si>
    <t>53.10.12.20.12.00.00</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</si>
  <si>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</si>
  <si>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</si>
  <si>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</si>
  <si>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</si>
  <si>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</si>
  <si>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</si>
  <si>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</si>
  <si>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</si>
  <si>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</si>
  <si>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</si>
  <si>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</si>
  <si>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</si>
  <si>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</si>
  <si>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</si>
  <si>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</si>
  <si>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</si>
  <si>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</si>
  <si>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</si>
  <si>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</si>
  <si>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</si>
  <si>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</si>
  <si>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</si>
  <si>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</si>
  <si>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</si>
  <si>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</si>
  <si>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</si>
  <si>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</si>
  <si>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</si>
  <si>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53.10.11.30.20.00.00</t>
  </si>
  <si>
    <t>Услуги по подписке на другие периодические издания</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</si>
  <si>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</si>
  <si>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</si>
  <si>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</si>
  <si>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</si>
  <si>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68.31.16.00.00.00.01</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</si>
  <si>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</si>
  <si>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</si>
  <si>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69.20.40.10.00.00.00</t>
  </si>
  <si>
    <t>Услуги, связанные с неплатежеспособностью и взысканием задолженности</t>
  </si>
  <si>
    <t>ноябрь</t>
  </si>
  <si>
    <t>96.09.19.71.00.00.00</t>
  </si>
  <si>
    <t>сентябрь</t>
  </si>
  <si>
    <t>85.60.10.16.00.00.00</t>
  </si>
  <si>
    <t xml:space="preserve">Услуги образовательные вспомогательные прочие </t>
  </si>
  <si>
    <t>06 Из одного источника</t>
  </si>
  <si>
    <t>56.10.11.10.13.00.00</t>
  </si>
  <si>
    <t>Қызмет атқарулар ша жолсапардың күтуінің(кейтеринг)</t>
  </si>
  <si>
    <t>Услуги по выездному обслуживанию (кейтеринг)</t>
  </si>
  <si>
    <t>ұйым және кофелердің-брейктің жаса</t>
  </si>
  <si>
    <t>организация и проведение кофе-брейков</t>
  </si>
  <si>
    <t>Услуга</t>
  </si>
  <si>
    <t>70.22.30.10.00.00.00</t>
  </si>
  <si>
    <t>Кәсіпкерлік сұрақтары бойынша консультациялық қызметтері</t>
  </si>
  <si>
    <t>Услуги консультационные по вопросам предпринимательства</t>
  </si>
  <si>
    <t>Кәсіпкерлік сұрақтары бойынша консультациялық қызметтері мен бірге басқарушылық және ұйымдастырушылық қолдау көрсеті</t>
  </si>
  <si>
    <t>Услуги консультационные по вопросам предпринимательства, с оказанием управленческой и организационной поддержки</t>
  </si>
  <si>
    <t>11.07.11.00.00.00.06.20.4</t>
  </si>
  <si>
    <t>Су  (минералды судан басқа)</t>
  </si>
  <si>
    <t>Вода  (кроме вод минеральных)</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</si>
  <si>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</si>
  <si>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</si>
  <si>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Питьевая вода в пластиковых бутылях, 19 л.</t>
  </si>
  <si>
    <t>43.22.12.10.13.00.00</t>
  </si>
  <si>
    <t>Жылу жүйесін техникалық қамсыздандыру қызметтері</t>
  </si>
  <si>
    <t>Услуги по техническому обслуживанию системы отопления</t>
  </si>
  <si>
    <t>апрель</t>
  </si>
  <si>
    <t>49.32.12.20.00.00.00</t>
  </si>
  <si>
    <t>Услуги по аренде легковых автомобилей с водителем</t>
  </si>
  <si>
    <t>Аренда легковых автомобилей с предоставлением услуг водителя</t>
  </si>
  <si>
    <t>27.12.21.13.11.11.11.70.1</t>
  </si>
  <si>
    <t>Предохранитель калиброванный</t>
  </si>
  <si>
    <t>на напряжение 220В, ток 250А</t>
  </si>
  <si>
    <t>Предохранитель от напряжения тока</t>
  </si>
  <si>
    <t>29.32.30.00.15.00.05.02.1</t>
  </si>
  <si>
    <t>Включатель</t>
  </si>
  <si>
    <t>двухполюсный</t>
  </si>
  <si>
    <t>25.72.14.00.00.60.51.10.1</t>
  </si>
  <si>
    <t>Доводчик двери</t>
  </si>
  <si>
    <t>Доводчик до 120кг</t>
  </si>
  <si>
    <t>22.19.72.00.00.00.30.40.1</t>
  </si>
  <si>
    <t>Ковролан</t>
  </si>
  <si>
    <t>Ковролан резиновый</t>
  </si>
  <si>
    <t>Метр квадратный</t>
  </si>
  <si>
    <t>22.11.13.00.00.11.10.01.1</t>
  </si>
  <si>
    <t>Шина</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</si>
  <si>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</si>
  <si>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631000000</t>
  </si>
  <si>
    <t>20.52.10.00.00.00.09.09.4</t>
  </si>
  <si>
    <t>марки У-30М, ГОСТ 13489-79</t>
  </si>
  <si>
    <t>25.94.13.00.00.10.35.10.1</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</si>
  <si>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</si>
  <si>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Комплект</t>
  </si>
  <si>
    <t>25.73.20.00.00.10.21.10.1</t>
  </si>
  <si>
    <t>по дереву</t>
  </si>
  <si>
    <t>23.14.11.00.00.11.13.50.2</t>
  </si>
  <si>
    <t>Лента</t>
  </si>
  <si>
    <t>ЛЭС 0,15*30 ГОСТ 5937-81.   Лента электроизоляционная из Стекловолокна марки ЛЭС толщиной 0,15 мм, шириной 30 мм.</t>
  </si>
  <si>
    <t>Штука</t>
  </si>
  <si>
    <t>25.73.10.00.00.15.11.10.1</t>
  </si>
  <si>
    <t>разбивания комьев уже разрыхлённой почвы, очистки последней от выкопанных корней сорных трав, лёгкого разрыхления последней между рядами растений</t>
  </si>
  <si>
    <t>25.73.10.00.00.10.10.12.1, 25.73.10.00.00.10.10.14.1</t>
  </si>
  <si>
    <t>Лопаты копальные остроконечные (штыковые), Лопаты подборочные (совковые)</t>
  </si>
  <si>
    <t>25.94.11.00.00.11.11.10.1</t>
  </si>
  <si>
    <t>Шурупы (кроме шурупов с квадратной головкой) из черных металлов</t>
  </si>
  <si>
    <t>Килограмм</t>
  </si>
  <si>
    <t>27.40.15.00.00.10.20.24.1</t>
  </si>
  <si>
    <t>Лампы люминесцентные</t>
  </si>
  <si>
    <t>Лампа люминесцентная, тип цоколя G24-d-2, мощность 22 Ватт</t>
  </si>
  <si>
    <t>27.32.13.00.02.01.27.01.1</t>
  </si>
  <si>
    <t>20.52.10.00.00.00.09.06.1</t>
  </si>
  <si>
    <t>На основе этилцианакрилата для склеивания в любых сочетаниях фарфор, керамику, дерево, кожу, резину,металл, пробку,картон, большинство пластиков</t>
  </si>
  <si>
    <t>26.11.22.00.00.24.11.15.1</t>
  </si>
  <si>
    <t>для трубчатых люминесцентных ламп, тип - 80С-220, ГОСТ 8799-90</t>
  </si>
  <si>
    <t>32.91.11.00.00.00.12.10.1</t>
  </si>
  <si>
    <t>Из материалов растительного происхождения</t>
  </si>
  <si>
    <t>25.94.13.00.00.10.44.10.1</t>
  </si>
  <si>
    <t>Инструмент</t>
  </si>
  <si>
    <t>28.22.18.00.00.10.10.06.1</t>
  </si>
  <si>
    <t>Тележка гидравлическая</t>
  </si>
  <si>
    <t>28.22.18.00.00.10.10.02.1</t>
  </si>
  <si>
    <t>25.72.11.00.00.12.14.10.1</t>
  </si>
  <si>
    <t>Замки врезные</t>
  </si>
  <si>
    <t>Рулон</t>
  </si>
  <si>
    <t>Клей канцелярский - карандаш</t>
  </si>
  <si>
    <t>22.29.25.00.00.00.19.14.1</t>
  </si>
  <si>
    <t xml:space="preserve"> Маркер пластиковый перманентный (нестираемый), скошенный наконечник 1-5мм</t>
  </si>
  <si>
    <t>22.29.25.00.00.00.13.11.1</t>
  </si>
  <si>
    <t>Органайзер пластиковый настольный круглый, от 10 до 15 предметов</t>
  </si>
  <si>
    <t>22.29.25.00.00.00.27.10.1</t>
  </si>
  <si>
    <t>Файл - вкладыш</t>
  </si>
  <si>
    <t>17.23.13.60.00.00.00.20.1</t>
  </si>
  <si>
    <t>Архивная папка для формата А4., 320x230x40мм, формат А4</t>
  </si>
  <si>
    <t>32.99.80.00.00.00.00.11.1</t>
  </si>
  <si>
    <t>узкий, до 3 см</t>
  </si>
  <si>
    <t>32.99.81.00.00.10.10.11.1</t>
  </si>
  <si>
    <t>с кисточкой</t>
  </si>
  <si>
    <t>22.29.25.00.00.00.20.10.1</t>
  </si>
  <si>
    <t>32.99.15.00.00.00.11.30.1</t>
  </si>
  <si>
    <t>Карандаши черные с твердо-мягким грифелем</t>
  </si>
  <si>
    <t>17.23.12.30.00.00.00.35.1</t>
  </si>
  <si>
    <t>с липким краем, размер 76х76 мм</t>
  </si>
  <si>
    <t>17.23.12.10.00.00.00.30.1</t>
  </si>
  <si>
    <t>формат C65 (114 х 229 мм)</t>
  </si>
  <si>
    <t>25.99.23.00.00.11.10.10.1</t>
  </si>
  <si>
    <t>26.80.12.00.00.00.13.50.1</t>
  </si>
  <si>
    <t>Емкость - 700 мб, записываемый (многократно), в упаковке 100 штук</t>
  </si>
  <si>
    <t>Доска</t>
  </si>
  <si>
    <t>632800000</t>
  </si>
  <si>
    <t>43.22.12.20.13.00.00</t>
  </si>
  <si>
    <t>Услуги по техническому обслуживанию системы вентиляции и кондиционирования</t>
  </si>
  <si>
    <t>Услуги по благоустройству, пейзажному планированию</t>
  </si>
  <si>
    <t>июль</t>
  </si>
  <si>
    <t>август</t>
  </si>
  <si>
    <t>73.11.11.10.00.00.00</t>
  </si>
  <si>
    <t>Услуги по созданию и размещению рекламы в средствах массовой информации</t>
  </si>
  <si>
    <t>68.20.12.00.00.00.01</t>
  </si>
  <si>
    <t>Услуги по аренде офисных помещений</t>
  </si>
  <si>
    <t>Услуги телефонной связи</t>
  </si>
  <si>
    <t>Прочие виды деятельности информационных служб.</t>
  </si>
  <si>
    <t>53.10.11.40.10.00.00</t>
  </si>
  <si>
    <t>52.21.29.20.00.00.00</t>
  </si>
  <si>
    <t>Услуги вспомогательные для автомобильного транспорта прочие</t>
  </si>
  <si>
    <t>Услуги образовательные вспомогательные прочие</t>
  </si>
  <si>
    <t>01</t>
  </si>
  <si>
    <t>Товар</t>
  </si>
  <si>
    <t>31.01.12.00.00.02.01.23.1</t>
  </si>
  <si>
    <t xml:space="preserve"> ДСП жасалынған жұмыс үстелі.  Габариты (ені/ұзындығы 600/850мм-ден 600/1100мм  дейін. Столешницаның жуандығы  15-30мм, ПВХ 2-4мм.</t>
  </si>
  <si>
    <t>Стол приставной. ДСП. Прямоугольный. Габариты (ширина/длина) от 600/850мм до 600/1100мм. Толщина столешницы 15-30мм, ПВХ 2-4мм.</t>
  </si>
  <si>
    <t>471000000</t>
  </si>
  <si>
    <t>31.01.12.00.00.03.01.03.1</t>
  </si>
  <si>
    <t>ЛДСП жасалынған құжаттарға арналған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</si>
  <si>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</si>
  <si>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31.01.12.00.00.03.01.04.1</t>
  </si>
  <si>
    <t>Шкаф</t>
  </si>
  <si>
    <t>ЛДСП жасалынған шкаф. Негізгі қаңқасы орташа тартылған сөрелерден, жоғарғы бөлігінде есіктері шөлмектен жасалған,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</si>
  <si>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3шт в верхней части.</t>
  </si>
  <si>
    <t>31.01.12.00.00.03.02.02.1</t>
  </si>
  <si>
    <t>ДСП жасалынған шкаф сырт киімге арналған , жоғарғы бөлігінде бас киімге арналған сөрелерден тұрады, биіктігі сөренің  35 см,желімсіз жинақталған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</si>
  <si>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</si>
  <si>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25.99.21.00.00.10.11.10.1</t>
  </si>
  <si>
    <t>Құжаттарды сақтауға арналған файлды металл сейф</t>
  </si>
  <si>
    <t>Металлический файловый, для хранения документов</t>
  </si>
  <si>
    <t>31.01.12.00.00.02.01.07.1</t>
  </si>
  <si>
    <t>Үстел</t>
  </si>
  <si>
    <t xml:space="preserve">Стол </t>
  </si>
  <si>
    <t xml:space="preserve"> 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</si>
  <si>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</si>
  <si>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31.01.12.00.00.03.04.04.1</t>
  </si>
  <si>
    <t xml:space="preserve"> Кеңсе тауарларға арналған 3 сөреден  жасалынған тумба, 1 сөре кілтті.</t>
  </si>
  <si>
    <t>1 выдвижная полка для канцелярских принадлежностей, 3 выдвижных ящика, один с замком</t>
  </si>
  <si>
    <t>31.02.10.00.00.01.02.03.1</t>
  </si>
  <si>
    <t xml:space="preserve"> ЛДСП жасалынған ашылмалы жұмыс үстелі.  </t>
  </si>
  <si>
    <t xml:space="preserve">Стол-книжка раскладной. Материал ЛДСП. </t>
  </si>
  <si>
    <t>31.00.12.00.00.01.02.03.1</t>
  </si>
  <si>
    <t>Орындық ашылмалы</t>
  </si>
  <si>
    <t xml:space="preserve"> Орындық ашылмалы , ағаштан жасалынған, отырғышы жасанды былғарыдан</t>
  </si>
  <si>
    <t>Стул складной деревянный с сиденьем из кожезаменителя.</t>
  </si>
  <si>
    <t>31.01.11.00.00.00.07.02.1</t>
  </si>
  <si>
    <t>Орындық</t>
  </si>
  <si>
    <t>Гобеленнен тігілген орындық. Хромдалған металл аяғы бар.Шынтаққойғышы жоқ</t>
  </si>
  <si>
    <t>Стул из гобелана. Хромированные металлические ножки. Безподлокотников.</t>
  </si>
  <si>
    <t>31.00.13.00.00.01.08.02.1</t>
  </si>
  <si>
    <t>Кресло</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</si>
  <si>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</si>
  <si>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</si>
  <si>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Конференц залға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</si>
  <si>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для конферен зала с подголовником, спинка пластиковая, обивка тканевая, снабжено поворотно подъемным механизмом. Подлокотники пластиковые</t>
  </si>
  <si>
    <t>31.09.12.00.00.01.01.15.1</t>
  </si>
  <si>
    <t>Диван</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</si>
  <si>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</si>
  <si>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</si>
  <si>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28.25.12.00.00.00.16.11.1</t>
  </si>
  <si>
    <t>Жерге орнатуға , үлкен көлемді бөлмеге арналған салқындатқыш</t>
  </si>
  <si>
    <t>кондиционер бытовой напольный  с холодопроизводительностью 1400 Вт,охлаждение больших пространств.</t>
  </si>
  <si>
    <t>25 шаршы м.-ге сплит жүйе салқындатқыш</t>
  </si>
  <si>
    <t>кондиционер бытовой , охлаждение рекомендуемой площади до 25 м2,  мощность охлажления ,КВт 2,подключение 220</t>
  </si>
  <si>
    <t>31.01.11.00.00.00.06.02.1</t>
  </si>
  <si>
    <t>Стеллаж с 5-ю полками, металлический. Допустимая нагрузка на одну полку - до 100 кг, на секцию до 500 кг.</t>
  </si>
  <si>
    <t xml:space="preserve">19.20.26.00.00.00.00.20.1, 19.20.26.00.00.00.00.10.1 </t>
  </si>
  <si>
    <t>с даты подписания договора по 31.12.2014г.</t>
  </si>
  <si>
    <t>Желім</t>
  </si>
  <si>
    <t xml:space="preserve"> Маркер пластиковый перманентный, скошенный наконечник 1-5мм</t>
  </si>
  <si>
    <t xml:space="preserve">Принадлежности канцелярские и школьные из пластмас-спрочие, не включенные в другие группировки </t>
  </si>
  <si>
    <t xml:space="preserve">Ручка пластиковая шариковая, гелевая </t>
  </si>
  <si>
    <t>формат C5 (162 х 229 мм)</t>
  </si>
  <si>
    <t>Зажимы для бумаг</t>
  </si>
  <si>
    <t>32.99.16.00.00.00.12.11.1</t>
  </si>
  <si>
    <t>Доска маркерно-магнитная</t>
  </si>
  <si>
    <t>18.12.19.32.00.00.00</t>
  </si>
  <si>
    <t>Услуги полиграфические по печатанию различных бланков</t>
  </si>
  <si>
    <t>Кеңсе жайларын жалдау бойынша қызметер</t>
  </si>
  <si>
    <t>471810000</t>
  </si>
  <si>
    <t>Шет жерде қызмет көрсету қызметтері (кейтеринг)</t>
  </si>
  <si>
    <t>кофе-брейк ұйымдастыру және өткізу</t>
  </si>
  <si>
    <t>Автомобиль көлігі үшін өзге қосалқы қызметтер</t>
  </si>
  <si>
    <t xml:space="preserve">Услуги консультационные по вопросам предпринимательства </t>
  </si>
  <si>
    <t xml:space="preserve">Заңды қызмет атқару және бизнестің құзырлығының бойынша консультациялық қызметтері </t>
  </si>
  <si>
    <t xml:space="preserve">Маркетинг сұрақтарының және бизнес - жоспарлар бойынша консультациялық қызметтері </t>
  </si>
  <si>
    <t>31.00.13.00.00.01.08.09.1</t>
  </si>
  <si>
    <t>Гобеленнен жасалған кресло. Аяқтары мен сүйеніштері хромдалған темір.  Сүйеніштері пласмас қондырғыларымен. Бұрылу көтерме механизімі орнатылған.</t>
  </si>
  <si>
    <t>Гобеленовое кресло. Ножки и подлокотники металлические хромированные. Подлокотники с пластиковыми вставками.Снабжено поворотно подъемным механизмом.</t>
  </si>
  <si>
    <t xml:space="preserve">Қызметкерлерге арналған кресло </t>
  </si>
  <si>
    <t>191000000</t>
  </si>
  <si>
    <t>31.00.13.00.00.01.09.13.1</t>
  </si>
  <si>
    <t>Ауыстырушылық теріден жасалған кресло. Шынтақша және полозья хромировандік бақыр.</t>
  </si>
  <si>
    <t>Кресло из кожезаменителя. Подлокотники и полозья хромированные металлические.</t>
  </si>
  <si>
    <t>Келішулерге арналған кресло</t>
  </si>
  <si>
    <t>31.01.12.00.00.03.01.10.1</t>
  </si>
  <si>
    <t>Сөрелері бар шкаф: 3 сөре, 2 ашылатын есік, ЛДСП материал</t>
  </si>
  <si>
    <t>Шкаф с стеллажами: 3 полки, 2 двери створчатые. Материал ЛДСП.</t>
  </si>
  <si>
    <t>Стеллаж</t>
  </si>
  <si>
    <t>Металдан жасалынған 5 сөрелі стеллаж. Бір сөреге рұқсат етілген жүктеме- 100 кг дейін, секцияға 500 кг. Дейін</t>
  </si>
  <si>
    <t>31.01.12.00.00.02.01.06.1</t>
  </si>
  <si>
    <t>Жұмыс столы ЛДСП. Көлемдері (ұзындығы/ені)  650/1301мм. ден 650/1400 мм. Дейін. Қалыңдығы столешница 15-30мм, ПВХ 2-4мм</t>
  </si>
  <si>
    <t>Стол ЛДСП рабочий. Габариты (ширина/длина) от 650/1301мм до 650/1400мм. Толщина столешницы 15-30мм, ПВХ 2-4мм.</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</si>
  <si>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</si>
  <si>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22.21.21.00.00.40.10.10.1</t>
  </si>
  <si>
    <t>Майысқақ келтіруші</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</si>
  <si>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</si>
  <si>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</si>
  <si>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22.21.21.00.00.20.50.11.1</t>
  </si>
  <si>
    <t>Труба фановая  110 мм, 90 град</t>
  </si>
  <si>
    <t>28.14.12.10.00.00.00.01.1</t>
  </si>
  <si>
    <t>Қоспалауыш</t>
  </si>
  <si>
    <t>Қоспалауыш-кран қолжұгыш үшін екіқолды орталық сыртқы су құю аэраторымен  ГОСТ 25809-96</t>
  </si>
  <si>
    <t>кран - смеситель для умывальника и мойки двухрукояточный центральный набортный, излив с аэратором ГОСТ 25809-96</t>
  </si>
  <si>
    <t>Силиконды герметик</t>
  </si>
  <si>
    <t>У-30М, ГОСТ 13489-79 маркалы</t>
  </si>
  <si>
    <t>Тескіш шуруповерт</t>
  </si>
  <si>
    <t>Қолды электрикалық сайман, аккумуляторлы. Шуруптарды винттарды кіргізу шығару және тесу үшін арналған</t>
  </si>
  <si>
    <t>ағашқа арналған ара</t>
  </si>
  <si>
    <t>Электроизоляциялық таспа</t>
  </si>
  <si>
    <t>шыны жіптерден</t>
  </si>
  <si>
    <t>Тырма</t>
  </si>
  <si>
    <t xml:space="preserve">борпылдақ- жердің кесегінің сиректету, жаман-жұмандар шөп-шалаң шөптің қазулы түптерінен тазарту,  өсімдіктің қатар-қатар арасында жеңіл қопсыту </t>
  </si>
  <si>
    <t>25.73.10.00.00.10.11.14.1</t>
  </si>
  <si>
    <t>Шұнғыл күрек сабымен</t>
  </si>
  <si>
    <t>Лопата совковая с черенком</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</si>
  <si>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</si>
  <si>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</si>
  <si>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</si>
  <si>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</si>
  <si>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27.32.13.00.02.03.10.02.1</t>
  </si>
  <si>
    <t>КГВВ 3*2,5</t>
  </si>
  <si>
    <t>Стартер типа СТ</t>
  </si>
  <si>
    <t>Сібіртке</t>
  </si>
  <si>
    <t>құлыптың өзегі</t>
  </si>
  <si>
    <t>Прочие, не включенные в другие группировки</t>
  </si>
  <si>
    <t>Жүк таситын арба</t>
  </si>
  <si>
    <t>200-250 кг жүк таситын екідөнгелекті қолды арба</t>
  </si>
  <si>
    <t>А4 форматты калындығы 80г/м2, 21х29,5 см</t>
  </si>
  <si>
    <t>Факс қағазы</t>
  </si>
  <si>
    <t>Факске, факстік роликтер ақ қалындығы 80г/кв.м, салмақ 1кв.м 80г, ені 210мм, диаметр 800мм, температура 18-25С</t>
  </si>
  <si>
    <t>Стикерлер</t>
  </si>
  <si>
    <t>Беллгілер үшін, жабыспақ шетімен</t>
  </si>
  <si>
    <t>20.52.10.00.00.00.09.06.3</t>
  </si>
  <si>
    <t>Басқа топтамаға қосылмаған кенселік және мектептік пластмасс заттар</t>
  </si>
  <si>
    <t>Мұрағаттық папка формат А4 үшін, 320x230x40мм, формат А4</t>
  </si>
  <si>
    <t>Гелдік, шарикті пластикалық қалам</t>
  </si>
  <si>
    <t>Конверттер</t>
  </si>
  <si>
    <t>қағаз үшін қыспа</t>
  </si>
  <si>
    <t>Көлемі - 700 мб, көп жазбалы, қорапта 100 дана</t>
  </si>
  <si>
    <t xml:space="preserve">Ысқыш маркерлік тақта үшін </t>
  </si>
  <si>
    <t>95.11.10.15.10.00.00</t>
  </si>
  <si>
    <t>Услуги по замене комплектующих частей принтера</t>
  </si>
  <si>
    <t>Услуги по замене картриджа и прочих комплектующих принтера</t>
  </si>
  <si>
    <t>45.20.11.20.10.00.00</t>
  </si>
  <si>
    <t>Услуги по техническому обслуживанию моторной части автомобилей и средств автотранспортных легковых</t>
  </si>
  <si>
    <t>Диагностика моторной части автомобилей и средств автотранспортных легковых</t>
  </si>
  <si>
    <t>Общая уборка зданий</t>
  </si>
  <si>
    <t>33.12.18.16.00.00.00</t>
  </si>
  <si>
    <t>ауа шығаратын вентляциияылқ автоматикасын және жабдықтарын сервистік қызмет көрсету</t>
  </si>
  <si>
    <t xml:space="preserve">Сервисное обслуживание  оборудований и автоматики приточно-вытяжной вентиляции </t>
  </si>
  <si>
    <t>81.30.10.11.00.00.00</t>
  </si>
  <si>
    <t>Пейзажды жоспарлау, көренктеу қызметтері</t>
  </si>
  <si>
    <t>Қоғамдық, жартылай қоғамдық  (мектеп, больниц,әкімшілік ғимарат, мешіттер) мекемелерде: отырғызу, өңдеу және қамсыздандыру</t>
  </si>
  <si>
    <t>Рассаживание, обработка и обслуживание:общественных и полуобщественных зданий (школ, больниц, административных зданий, церквей)</t>
  </si>
  <si>
    <t>18.12.19.17.00.00.00</t>
  </si>
  <si>
    <t xml:space="preserve">Услуги по изготовлению и печатанию наглядной агитации </t>
  </si>
  <si>
    <t>декабрь</t>
  </si>
  <si>
    <t>Бұқаралық ақпарат құралдары арқылы жарнама жібері және оны дайындау қызметтері</t>
  </si>
  <si>
    <t>35.30.22.11.00.00.00</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</si>
  <si>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</si>
  <si>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</si>
  <si>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31.01.12.00.00.02.01.19.1</t>
  </si>
  <si>
    <t>Стол угловой. ДСП. С подставкой для системного блока и с подвесной тумбой.  Габариты (ширина/длина) 1000/1600мм. Рабочая панель криволинейная. Толщина столешницы 15-30мм, ПВХ 2-4мм.</t>
  </si>
  <si>
    <t>ДСП жасалынған жұмыс үстелі.  Габариты (ені/ұзындығы) 651/1401мм-ден 700/1500мм дейін. Столешницаның жуандығы 15-30мм, ПВХ 2-4мм.</t>
  </si>
  <si>
    <t xml:space="preserve">Шкаф </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</si>
  <si>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</si>
  <si>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ламинированное ДСП, кромка ПВХ, сборка без клеевых соединений</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</si>
  <si>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</si>
  <si>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</si>
  <si>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</si>
  <si>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31.00.13.00.00.01.02.05.1</t>
  </si>
  <si>
    <t xml:space="preserve">Кресла </t>
  </si>
  <si>
    <t>Кресло мягкое тканевое с металлическими ножками</t>
  </si>
  <si>
    <t>28.25.12.00.00.00.23.11.1</t>
  </si>
  <si>
    <t>Кондииционер</t>
  </si>
  <si>
    <t>Кондиционер сплит система на 25кв.м. (для планируемых к сдаче в аренду помещений на 2, 3 этаже)</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</si>
  <si>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</si>
  <si>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23.14.11.00.00.11.13.50.1</t>
  </si>
  <si>
    <t>марка ЛЭС 0,15*30 ГОСТ 5937-81</t>
  </si>
  <si>
    <t>25.73.10.00.00.10.10.12.1</t>
  </si>
  <si>
    <t>27.32.13.00.02.03.01.05.1</t>
  </si>
  <si>
    <t>АКВВГ 14*2,5</t>
  </si>
  <si>
    <t>Для трубчатых люминесцентных ламп, тип-80С-220, ГОСТ 8799-90</t>
  </si>
  <si>
    <t>Ручная, грузоподьемностью до 800 кг.</t>
  </si>
  <si>
    <t>20.52.10.00.00.00.09.01.1</t>
  </si>
  <si>
    <t>22.29.25.00.00.00.19.16.1</t>
  </si>
  <si>
    <t xml:space="preserve"> Маркер пластиковый перманентный (нестираемый), круглый наконечник 1,5мм</t>
  </si>
  <si>
    <t>25.99.23.00.00.11.11.12.1</t>
  </si>
  <si>
    <t>Скрепки для бумаг. Размер 26 мм</t>
  </si>
  <si>
    <t>32.99.12.00.00.00.11.30.1</t>
  </si>
  <si>
    <t>Ручка шариковая со сменными стержнями (баллончиками)</t>
  </si>
  <si>
    <t>17.23.12.10.00.00.00.40.1</t>
  </si>
  <si>
    <t>551000000</t>
  </si>
  <si>
    <t>96.09.19.90.00.00.00</t>
  </si>
  <si>
    <t>Услуги и работы различные прочие, не включенные в другие группировки</t>
  </si>
  <si>
    <t xml:space="preserve"> Кәсіпкерліктің мемлекеттік сүйенішінің аспаптарына,  қордың бағдарламалары бойынша кеңестер</t>
  </si>
  <si>
    <t>Услуги консультационные по вопросам предпринимательства (ЦОП)</t>
  </si>
  <si>
    <t>Мемлекеттік сатып алу және сатып алу ұлттық компаниялар жөнінде кеңестер</t>
  </si>
  <si>
    <t xml:space="preserve">Консультации  по  гос. закупкам, закупками нац. компаний и недропользователей </t>
  </si>
  <si>
    <t>Одна пачка</t>
  </si>
  <si>
    <t>22.29.25.00.00.00.23.13.1</t>
  </si>
  <si>
    <t>17.12.14.70.00.00.00.10.2</t>
  </si>
  <si>
    <t>для флипчарта</t>
  </si>
  <si>
    <t>Услуги по техническому обслуживанию и ремонту машин и оборудования офисных.</t>
  </si>
  <si>
    <t>Одна услуга</t>
  </si>
  <si>
    <t>18.13.30.16.00.00.00</t>
  </si>
  <si>
    <t>Услуги, связанные с полиграфией  прочие</t>
  </si>
  <si>
    <t>Услуги по разработке, изготовлению, подготовке набора, печатанию  календарей  и прочей офисной печатной продукции, в том числе имиджевой</t>
  </si>
  <si>
    <t>35.14.10.12.00.00.00</t>
  </si>
  <si>
    <t>Услуги посредников и агентов по продаже электроэнергии, произведенной другими единицами, по энергораспределительным сетя</t>
  </si>
  <si>
    <t>Услуги посредников и агентов по продаже электроэнергии, произведенной другими единицами, по энергораспределительным сетям</t>
  </si>
  <si>
    <t>53.10.11.30.10.00.00</t>
  </si>
  <si>
    <t>82.11.10.10.00.00.00</t>
  </si>
  <si>
    <t>Услуги комплексные офисные административные</t>
  </si>
  <si>
    <t>Предоставление комплекса ежедневных офисных административных услуг (получение корреспонденции, финансовое планирование, выставление счетов на оплату, услуги в отношении персонала и постовые услуги) на договорной основе или на основе регулярных выплат</t>
  </si>
  <si>
    <t>391000000</t>
  </si>
  <si>
    <t>22.29.25.00.00.00.19.17.2</t>
  </si>
  <si>
    <t>22.29.25.00.00.00.13.34.1</t>
  </si>
  <si>
    <t>17.21.15.20.00.00.00.10.1</t>
  </si>
  <si>
    <t>25.99.23.00.00.11.11.16.1</t>
  </si>
  <si>
    <t>Скрепки для бумаг. Размер 32 мм</t>
  </si>
  <si>
    <t>32.99.12.00.00.00.11.40.1</t>
  </si>
  <si>
    <t>Ручка шариковая с логотипом</t>
  </si>
  <si>
    <t>61.10.11.02.01.00.00</t>
  </si>
  <si>
    <t>Услуги междугородней телефонной связи</t>
  </si>
  <si>
    <t>Услуги междугородней телефонной связи  - доступ и пользование</t>
  </si>
  <si>
    <t>52.21.29.11.00.00.00</t>
  </si>
  <si>
    <t>69.20.23.11.00.00.00</t>
  </si>
  <si>
    <t>Консультационные услуги в области бухгалтерского учета</t>
  </si>
  <si>
    <t>март-апрель</t>
  </si>
  <si>
    <t>Файл-вкладыш</t>
  </si>
  <si>
    <t>02</t>
  </si>
  <si>
    <t>82.30.11.14.00.00.00</t>
  </si>
  <si>
    <t>Услуги по организации корпоративных мероприятий</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</si>
  <si>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</si>
  <si>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31.01.12.00.00.03.04.03.1</t>
  </si>
  <si>
    <t xml:space="preserve">Тумба мобильная с задвижками. Тумба (ШxГxВ) до 50x45x50см, с тремя выдвижными ящиками, на четырех колесиках из ламинированной ДСП толщиной до 16мм. </t>
  </si>
  <si>
    <t>31.00.13.00.00.01.02.08.1</t>
  </si>
  <si>
    <t>31.00.13.00.00.01.08.04.1</t>
  </si>
  <si>
    <t>Офисное кресло из кожезаменителя. Ножки и подлокотники деревянные.Снабжено поворотно подъемным механизмом.</t>
  </si>
  <si>
    <t>31.01.11.00.00.00.07.13.1</t>
  </si>
  <si>
    <t>Стул из кожезаменителя. Черные металлические ножки. Стул без подлокотников.</t>
  </si>
  <si>
    <t>25.99.11.00.00.19.10.10.1</t>
  </si>
  <si>
    <t>Смеситель для мойки</t>
  </si>
  <si>
    <t>32.91.19.00.00.00.20.10.1</t>
  </si>
  <si>
    <t>типа ВМП - валик с меховым покрытием, предназначенный для окраски полов лакокрасочным составом, ГОСТ 10831-87</t>
  </si>
  <si>
    <t>25.73.10.00.00.10.10.19.1</t>
  </si>
  <si>
    <t>Лопаты металлургические</t>
  </si>
  <si>
    <t>27.40.15.00.00.10.50.42.1</t>
  </si>
  <si>
    <t>Лампа люминесцентная, тип цоколя G13, мощность 80 Ватт</t>
  </si>
  <si>
    <t>27.32.13.00.02.02.21.01.1</t>
  </si>
  <si>
    <t>KX-A228XJ(KX-TA228XJ)  - для подключения питания</t>
  </si>
  <si>
    <t>27.40.42.00.00.00.02.09.1</t>
  </si>
  <si>
    <t>мощность люминесцентной лампы 100/115/140 Вт</t>
  </si>
  <si>
    <t>25.99.21.00.00.12.10.10.1</t>
  </si>
  <si>
    <t>Ключевые (сувальдные, обладают большей надежностью)</t>
  </si>
  <si>
    <t>18.13.30.14.00.00.00</t>
  </si>
  <si>
    <t xml:space="preserve">Услуги по разработке, изготовлению, подготовке набора, печатанию  рекламных каталогов, проспектов, постеров и продукции рекламной прочей </t>
  </si>
  <si>
    <t>Услуги по подписке на газеты, журналы и другие периодические издания</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</si>
  <si>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</si>
  <si>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80.10.12.13.00.00.00</t>
  </si>
  <si>
    <t>Өндірістік ғимараттарды қорғау қызметтері</t>
  </si>
  <si>
    <t>Услуги по охране объектов производственных зданий</t>
  </si>
  <si>
    <t>Охрана объектов производственных зданий</t>
  </si>
  <si>
    <t>69.10.19.10.00.00.00</t>
  </si>
  <si>
    <t>Услуги юридические, связанные с подготовкой и оформлением документов</t>
  </si>
  <si>
    <t>31.01.12.00.00.02.01.12.1</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</si>
  <si>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</si>
  <si>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</si>
  <si>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 xml:space="preserve">Кресло </t>
  </si>
  <si>
    <t>31.01.12.00.00.02.06.01.1</t>
  </si>
  <si>
    <t xml:space="preserve"> конференц залға арнлаған стол</t>
  </si>
  <si>
    <t>стол для конференц зала</t>
  </si>
  <si>
    <t>31.09.12.00.00.01.01.13.1</t>
  </si>
  <si>
    <t>Былғарыдан тігілген диван, аяқтары- хромдалған металл, ашылмайтын. Қаңқасы ағаштан.</t>
  </si>
  <si>
    <t>Диван кожанный; ножки – металлические хромированные; нераскладной. Каркас деревянный.</t>
  </si>
  <si>
    <t>Былғарыдан тігілген кеңсе креслосы</t>
  </si>
  <si>
    <t>Офисное кресло кожаное на колесиках</t>
  </si>
  <si>
    <t>Мобильдік тіреу сырмаларымен. Тіреу 50х45х50см дейін, үш сырмаларымен, төрт дөңгелекте қалыңдығы 16 мм дейін ламинатталған ДСПдан</t>
  </si>
  <si>
    <t>31.00.13.00.00.01.08.27.1</t>
  </si>
  <si>
    <t>Былғары кресло. Шынтақсүйегіші мен аяқтары ағаштан. Пневматикалық отырғышын көтеретін механизмімен</t>
  </si>
  <si>
    <t>Кресло кожанное. Подлокотники и ножки деревянные. Спинка короткая. Кресло снабжено пневматическим механизмом подъёма сидения.</t>
  </si>
  <si>
    <t>31.00.13.00.00.01.08.26.1</t>
  </si>
  <si>
    <t>Былғары кресло. Аяқтары хромдалған темірден. Шынтақсүйегіші хромдалған темірден шынтақ астына жұмсақ былғары. Отырғышын көтеретін пневматикалық  механизмімен жабдықталған.</t>
  </si>
  <si>
    <t>Кресло кожанное. Ножки металлические хромированные. Подлокотники металлические хромированные с кожанным мягким вставками под локти| снабжено пневматическим механизмом подъёма сидения.</t>
  </si>
  <si>
    <t>31.01.12.00.00.02.02.17.1</t>
  </si>
  <si>
    <t>ДСП стол. Арты ағаш панель. Клавиатураға арналған суырма сөре. Габариты(ұзындығы/ені/биіктігі мм) до 1200/800/800 дейін. Аяқтары темір. Столешница қалыңдығы 15-30мм, ПВХ 2-4 мм.</t>
  </si>
  <si>
    <t>Стол ДСП. С задней деревянной панелью. С выдвижной полкой для клавиатуры. Габариты (длина/ширина/высота мм) до 1200/800/800мм. Ножки металлические. Толщина столешницы 15-30мм, ПВХ 2-4мм.</t>
  </si>
  <si>
    <t>25.99.21.00.00.10.10.10.1</t>
  </si>
  <si>
    <t>Жанбайтын темір шкаф</t>
  </si>
  <si>
    <t>Шкафы несгораемые металлические</t>
  </si>
  <si>
    <t>25.99.11.00.00.21.10.10.2</t>
  </si>
  <si>
    <t>смеситель для умывальника</t>
  </si>
  <si>
    <t>Үйінді сырлаушы</t>
  </si>
  <si>
    <t>23.14.11.00.00.11.13.20.2</t>
  </si>
  <si>
    <t>ЛЭС 0,15*15 ГОСТ 5937-81.   Лента электроизоляционная из Стекловолокна марки ЛЭС толщиной 0,15 мм, шириной 15 мм.</t>
  </si>
  <si>
    <t>27.40.21.00.00.11.10.10.1</t>
  </si>
  <si>
    <t>фонарь</t>
  </si>
  <si>
    <t>ГОСТ 4677-82, вид источника тока Б-с сухими электрохимическими элементами</t>
  </si>
  <si>
    <t>маркер</t>
  </si>
  <si>
    <t>Тақта</t>
  </si>
  <si>
    <t>Типографиялық қызметі</t>
  </si>
  <si>
    <t>Байланыс қызметі</t>
  </si>
  <si>
    <t>Пошта қызметі</t>
  </si>
  <si>
    <t>Услуги почты</t>
  </si>
  <si>
    <t>ел ішіндегі пошта қызметі</t>
  </si>
  <si>
    <t>Экспресс пошта қызметі</t>
  </si>
  <si>
    <t>Мерзімдік басылымдарға жазылу</t>
  </si>
  <si>
    <t>Подписка на периодические издания</t>
  </si>
  <si>
    <t>Газет, журнал, тағы да басқа мерзімдік басылымдарға жазылу</t>
  </si>
  <si>
    <t>Басқармашылық және ұйымдастырулық нұсқаушылығын қолдау, кәсіпкерлік  сұрақтары бойынша кеңесшілік қызметі</t>
  </si>
  <si>
    <t>151000000</t>
  </si>
  <si>
    <t>31.01.11.00.00.00.03.02.1</t>
  </si>
  <si>
    <t>Шкаф металлический бухгалтерский, сварная конструкция, сталь, 2 съемные полки, замок, полимерное покрытие.</t>
  </si>
  <si>
    <t>февраль-март</t>
  </si>
  <si>
    <t>январь-февраль</t>
  </si>
  <si>
    <t>кран-смеситель для умывальника и мойки двухрукояточный центральный наборный,излив с аэратором ГОСТ 25809-96</t>
  </si>
  <si>
    <t>25.73.10.00.00.10.10.22.1</t>
  </si>
  <si>
    <t>Лопаты снегоуборочные</t>
  </si>
  <si>
    <t>На основе этилцианакрилата для склеивания в любых сочетаниях фарфор,керамику,дерево,кожу,резину,металл,пробку,картон,большинство пластиков</t>
  </si>
  <si>
    <t>30.99.10.00.00.00.10.90.1</t>
  </si>
  <si>
    <t>Телега</t>
  </si>
  <si>
    <t>четырёхколёсная грузовая повозка.Грузоподъёмность около 750 кг. Собственный вес  250—300 кг, размеры — 2,5 х 1,5 м. Диаметр передних колёс обычно меньше, чем диаметр задних (60 — 70 см и 70 — 100 см соответственно).</t>
  </si>
  <si>
    <t>22.29.25.00.00.00.19.16.2</t>
  </si>
  <si>
    <t>22.29.25.00.00.00.13.24.1</t>
  </si>
  <si>
    <t>Органайзер пластиковый настольный круглый на вращающейся основе,  от 15 до 20 предметов</t>
  </si>
  <si>
    <t>25.99.23.00.00.11.11.17.1</t>
  </si>
  <si>
    <t>Скрепки для бумаг. Размер 33 мм</t>
  </si>
  <si>
    <t>62.02.30.10.20.00.00</t>
  </si>
  <si>
    <t>Услуги по техническому обслуживанию и ремонту вычислительной техники</t>
  </si>
  <si>
    <t>45.20.30.10.10.00.00</t>
  </si>
  <si>
    <t xml:space="preserve">Услуги по печатанию рекламных каталогов, проспектов, постеров и продукции рекламной прочей </t>
  </si>
  <si>
    <t>65.12.21.10.00.00.02</t>
  </si>
  <si>
    <t>Услуги по страхованию (добровольному) автотранспорта</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</si>
  <si>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</si>
  <si>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71.11.24.10.00.00.00</t>
  </si>
  <si>
    <t>Услуги консультационные в области архитектуры</t>
  </si>
  <si>
    <t xml:space="preserve">Услуги консультационные в области архитектуры </t>
  </si>
  <si>
    <t>29.10.23.00.00.00.60.23.1</t>
  </si>
  <si>
    <t>Автомобиль легковой</t>
  </si>
  <si>
    <t>Класса Е, представительский класс, трансмиссия - АКПП не менее 5-ти ступеней. Не менее 6-ти подушек безопасности,ABS,SRS,ГУР,ПЭП, усилитель экстренного торможения, декор.отделка элементов интерьера вставками «под дерево», климат контроль,регулировка руля по углу наклона, мультифункц.руль</t>
  </si>
  <si>
    <t>в течение 45 календарных дней с даты подписания договора</t>
  </si>
  <si>
    <t>26.70.13.00.00.00.22.80.1</t>
  </si>
  <si>
    <t>Камера цифровая</t>
  </si>
  <si>
    <t>Со сменной оптикой. Дальномерные. Число эффективных пикселов: от 22 млн и более.</t>
  </si>
  <si>
    <t>в течение 10 календарных дней с даты подписания договора</t>
  </si>
  <si>
    <t>28.25.12.00.00.00.14.10.1</t>
  </si>
  <si>
    <t>25.99.29.00.01.13.10.10.1</t>
  </si>
  <si>
    <t>ГОСТ 23405-78, тип 1, условный проход 4 мм, номинальное давление 35 Мпа</t>
  </si>
  <si>
    <t>32.91.12.00.00.00.14.10.1</t>
  </si>
  <si>
    <t>Кисть малярная</t>
  </si>
  <si>
    <t>кисть-ручник, предназначена для грунтовки и окраски поверхностей</t>
  </si>
  <si>
    <t>25.73.30.00.00.19.10.13.1</t>
  </si>
  <si>
    <t>Бур</t>
  </si>
  <si>
    <t>ГОСТ 17016-71, БД1 для бурения отверстий диаметром 22 мм, длина 160 мм</t>
  </si>
  <si>
    <t>25.94.13.00.00.10.41.10.1</t>
  </si>
  <si>
    <t>Набор сверл</t>
  </si>
  <si>
    <t>23.91.11.00.00.00.35.10.1</t>
  </si>
  <si>
    <t>Круг отрезной</t>
  </si>
  <si>
    <t>Круг отрезной, ГОСТ 21963-02</t>
  </si>
  <si>
    <t>22.21.29.00.00.33.40.10.1</t>
  </si>
  <si>
    <t>насадка</t>
  </si>
  <si>
    <t>25.73.30.00.00.14.11.10.1</t>
  </si>
  <si>
    <t>Комбинированные</t>
  </si>
  <si>
    <t>25.94.13.00.00.10.37.10.1</t>
  </si>
  <si>
    <t>крестовая, плоская (стандартные размеры)</t>
  </si>
  <si>
    <t>13.99.19.00.00.00.20.12.1</t>
  </si>
  <si>
    <t>Лента поливинилхлоридная</t>
  </si>
  <si>
    <t>ГОСТ 16214-86. Работоспособна при t° от -30°С до +50°С в условиях неагрессивных сред.</t>
  </si>
  <si>
    <t>22.19.34.00.00.15.20.40.1</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</si>
  <si>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</si>
  <si>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25.94.11.00.00.11.10.10.1</t>
  </si>
  <si>
    <t>27.40.39.00.00.00.00.01.1</t>
  </si>
  <si>
    <t>Лампа светодиодная</t>
  </si>
  <si>
    <t>Применяется для обшего освещения, подсветки вывесов, рекламных щитов. Световой поток 880 лм, потребляемая мощность 13 ВТ. Срок службы 50000 ч.</t>
  </si>
  <si>
    <t>27.32.13.00.02.03.06.06.1</t>
  </si>
  <si>
    <t>КВВГ 4*6</t>
  </si>
  <si>
    <t>22.29.25.00.00.00.20.17.1</t>
  </si>
  <si>
    <t>22.29.29.00.00.00.50.10.2</t>
  </si>
  <si>
    <t>Карточка</t>
  </si>
  <si>
    <t>пластиковая</t>
  </si>
  <si>
    <t>27.12.40.18.11.11.11.10.1</t>
  </si>
  <si>
    <t>Пульт управления</t>
  </si>
  <si>
    <t>20.41.44.00.00.00.00.30.1</t>
  </si>
  <si>
    <t>Жидкость незамерзающая</t>
  </si>
  <si>
    <t xml:space="preserve">незамерзающая для омывателя </t>
  </si>
  <si>
    <t>20.59.42.00.00.20.30.10.2</t>
  </si>
  <si>
    <t>Антиобледенительная присадка</t>
  </si>
  <si>
    <t>получают на основе спиртов и добавляют в бензин для предотвращения образования льда в топливной системе</t>
  </si>
  <si>
    <t>19.20.21.00.00.00.11.60.1</t>
  </si>
  <si>
    <t>неэтилированный и этилированный, произведенный для двигателей с искровым зажиганием: АИ-95</t>
  </si>
  <si>
    <t xml:space="preserve">Скобы - №23/10 </t>
  </si>
  <si>
    <t>32.99.81.00.00.10.10.10.1</t>
  </si>
  <si>
    <t>Штрих-лента</t>
  </si>
  <si>
    <t>ленточный корректор в блистере с диспенсером</t>
  </si>
  <si>
    <t xml:space="preserve">Дырокол - 18 л. </t>
  </si>
  <si>
    <t>22.29.25.00.00.00.17.10.1</t>
  </si>
  <si>
    <t>Корзина для бумаг</t>
  </si>
  <si>
    <t>Корзина для бумаг, объем 10 л</t>
  </si>
  <si>
    <t>22.29.25.00.00.00.11.22.1</t>
  </si>
  <si>
    <t>Лоток</t>
  </si>
  <si>
    <t>Лоток для бумаг настольный</t>
  </si>
  <si>
    <t>27.20.11.00.00.00.07.10.2</t>
  </si>
  <si>
    <t>Батарейка</t>
  </si>
  <si>
    <t>Батарейка мизинчиковая типа АА</t>
  </si>
  <si>
    <t>22.29.25.00.00.00.27.11.2</t>
  </si>
  <si>
    <t>с перфорацией для документов, размер 170*215мм</t>
  </si>
  <si>
    <t>Калькулятор, 12 р.</t>
  </si>
  <si>
    <t>17.23.13.35.00.00.00.90.1</t>
  </si>
  <si>
    <t>Книги учета и регистрации</t>
  </si>
  <si>
    <t>Книги учета и регистрации прочие</t>
  </si>
  <si>
    <t>96 л. твердый переплет, в клетку</t>
  </si>
  <si>
    <t>17.23.12.10.00.00.00.50.1</t>
  </si>
  <si>
    <t>формат C4 (229 х 324 мм)</t>
  </si>
  <si>
    <t>17.23.12.10.00.00.00.10.1</t>
  </si>
  <si>
    <t>формат Евро, Е65 (110 х 220 мм)</t>
  </si>
  <si>
    <t>33.12.15.15.00.00.00</t>
  </si>
  <si>
    <t>Обследование грузоподъемных механизмов</t>
  </si>
  <si>
    <t>33.12.15.25.00.00.00</t>
  </si>
  <si>
    <t>Испытание подъемного оборудования</t>
  </si>
  <si>
    <t>Обследование и испытание подъемных агрегатов</t>
  </si>
  <si>
    <t>96.09.19.90.22.00.00</t>
  </si>
  <si>
    <t>Работы по ремонту и обслуживанию сейфов</t>
  </si>
  <si>
    <t>Вызов мастера, ремонт кодового устройства, раскодировка, установка и блокировка кода, изготовление ключа по замку, профилактика, вскрытие</t>
  </si>
  <si>
    <t>Услуги мойки автомашин</t>
  </si>
  <si>
    <t>Услуги по мойке служебных  машин</t>
  </si>
  <si>
    <t>25.61.12.10.00.00.00</t>
  </si>
  <si>
    <t>Услуги по нанесению покрытий неметаллических</t>
  </si>
  <si>
    <t>Нанесение пластмассовых покрытий, эмалирование, лакирование</t>
  </si>
  <si>
    <t>93.11.10.21.00.00.00</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</si>
  <si>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</si>
  <si>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</si>
  <si>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49.20.19.12.20.00.00</t>
  </si>
  <si>
    <t>Услуги железнодорожного транспорта по перевозкам грузов прочих, не включенных в другие группировки междугородные</t>
  </si>
  <si>
    <t>Перевозки междугородные по железной дороге грузов прочих, не включенных в другие группировки</t>
  </si>
  <si>
    <t>Услуги по перевозке грузов в регионы железнодорожным, воздушным и автомобильным транспортом</t>
  </si>
  <si>
    <t>96.09.19.21.10.00.00</t>
  </si>
  <si>
    <t>Услуги по эстетическому оформлению</t>
  </si>
  <si>
    <t>Праздничное оформление зданий и сооружений</t>
  </si>
  <si>
    <t>81.29.13.10.00.00.00</t>
  </si>
  <si>
    <t>Услуги по дератизации</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</si>
  <si>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</si>
  <si>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38.11.69.12.00.00.00</t>
  </si>
  <si>
    <t>Услуги по вывозу отходов оргтехники</t>
  </si>
  <si>
    <t>Выполнение операций по сбору, утилизации, размещению или удалению использованной оргтехники и комплектующих</t>
  </si>
  <si>
    <t>Корпоративтік іс-шаралар ұйымдастыру қызметтері</t>
  </si>
  <si>
    <t>Газеттермен және өзге мерзімдік басыылымдармен байланысты өзге де пошта қызметтері (арнайы әдебиеттерді сатып алу)</t>
  </si>
  <si>
    <t>Услуги почтовые прочие, связанные с газетами и другими периодическими изданиями (приобретение специальной литературы)</t>
  </si>
  <si>
    <t>65.12.49.00.00.00.04</t>
  </si>
  <si>
    <t>Услуги по страхованию имущественному прочему</t>
  </si>
  <si>
    <t>74.90.12.20.13.00.00</t>
  </si>
  <si>
    <t>Услуги по оценке имущества</t>
  </si>
  <si>
    <t xml:space="preserve">Комплекс услуг по оценке имущества </t>
  </si>
  <si>
    <t>74.30.11.80.17.00.00</t>
  </si>
  <si>
    <t>Услуги по письменному переводу с других языков на другие языки</t>
  </si>
  <si>
    <t>Письменный перевод с других языков на другие языки</t>
  </si>
  <si>
    <t>Заң қызметтері</t>
  </si>
  <si>
    <t>Құжаттарды дайындау және рәсімдеумен байланысты заң қызметтері</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</si>
  <si>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</si>
  <si>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</si>
  <si>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</si>
  <si>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</si>
  <si>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</si>
  <si>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18.12.19.31.00.00.00</t>
  </si>
  <si>
    <t>Услуги по печатанию различных отчетов</t>
  </si>
  <si>
    <t>751110000</t>
  </si>
  <si>
    <t>26.20.18.00.03.13.12.11.1</t>
  </si>
  <si>
    <t>Многофункциональное устройство</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</si>
  <si>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600 dpi. </t>
  </si>
  <si>
    <t>Многофункиональное устройство</t>
  </si>
  <si>
    <t>26.20.11.00.00.01.12.20.1</t>
  </si>
  <si>
    <t>Ноутбук</t>
  </si>
  <si>
    <t>Среднего класса, Диагональ экрана - 12" и более. Средняя производительность и мультимедийная функциональность, видеоадаптер — встроенный или дискретный младших серий, процессор — начального или среднего уровня. Среднее время автономной работы. Корпус выполнен из пластика, простой дизайн. Средняя мультимедийная функциональность."</t>
  </si>
  <si>
    <t>26.20.13.00.00.02.11.80.1</t>
  </si>
  <si>
    <t>Компьютер</t>
  </si>
  <si>
    <t>26.20.11.00.00.01.13.20.1</t>
  </si>
  <si>
    <t>Бизнес-ноутбук</t>
  </si>
  <si>
    <t>Диагональ - 12" и более. Высокий уровень общей производительности. Высокий уровень защиты информации (датчики считывания отпечатков пальцев, различные методы шифрования данных и т.д.). Оригинальный и стильный дизайн. Для изготовления корпуса применяются такие материалы как сталь, алюминий, карбон и другие дорогие материалы. Небольшие вес и габариты."</t>
  </si>
  <si>
    <t>Ультрабук высокой производительности</t>
  </si>
  <si>
    <t>26.20.13.00.00.01.51.20.1</t>
  </si>
  <si>
    <t>Сервер</t>
  </si>
  <si>
    <t>Сетевой общего назначения, сверхплотный с горизонтальным масштабированием ресурсов (blade), Предназначен для формирования структурированного серверного пула с максимальной плотностью монтажа компонентов. Предполагает постановку в специальные корпуса-полки с централизованной системой сетевых коммуникаций, энергопитания, охлаждения и управления, которые вынесены и обобщены в корзине для уменьшения занимаемого пространства. Корзина (англ. enclosure) — шасси для блейд-серверов, предоставляющая им доступ к общим компонентам.</t>
  </si>
  <si>
    <t>26.20.21.01.20.00.00.01.1</t>
  </si>
  <si>
    <t>Система хранения данных</t>
  </si>
  <si>
    <t>сетевая, с использованием протокола iSCSI и технологии Fibre Channel</t>
  </si>
  <si>
    <t>26.20.21.01.16.12.10.09.1</t>
  </si>
  <si>
    <t>Ленточная библиотека</t>
  </si>
  <si>
    <t>накопитель типа LTO, число картриджей от 18 до 24</t>
  </si>
  <si>
    <t>26.20.15.00.00.01.11.12.1</t>
  </si>
  <si>
    <t>Клавиатура</t>
  </si>
  <si>
    <t>Промышленная</t>
  </si>
  <si>
    <t>26.30.23.00.00.00.08.02.1</t>
  </si>
  <si>
    <t>Мини-АТС</t>
  </si>
  <si>
    <t>виртуальные (IP-телефония),  ёмкостью 5-50 номеров</t>
  </si>
  <si>
    <t>Резервный сервер IP АТС Avaya S8300</t>
  </si>
  <si>
    <t>26.30.23.00.00.00.08.01.1</t>
  </si>
  <si>
    <t>виртуальные (IP-телефония),  емостью до 5 номеров</t>
  </si>
  <si>
    <t>Медиа шлюз + сервер IP АТС Avaya совместимый с S8300</t>
  </si>
  <si>
    <t>26.30.21.00.01.23.31.10.1</t>
  </si>
  <si>
    <t>Аппарат телефонный</t>
  </si>
  <si>
    <t>IP-телефония, ЖК-дисплей, телефонная трубка, клавиши набора номера (тастатура), разъем для подключения к IP-сетирезервный разъем для подключения к городской телефонной сети (может отсутствовать)</t>
  </si>
  <si>
    <t>26.30.23.00.00.00.08.04.1</t>
  </si>
  <si>
    <t>виртуальные (IP-телефония),  емостью 150-5000 номеров</t>
  </si>
  <si>
    <t>26.30.21.00.02.14.11.30.1</t>
  </si>
  <si>
    <t>Маршрутизатор</t>
  </si>
  <si>
    <t>26.30.21.00.02.13.11.20.1</t>
  </si>
  <si>
    <t xml:space="preserve">Коммутатор сетевой (Switch) </t>
  </si>
  <si>
    <t>Микропроцессорный</t>
  </si>
  <si>
    <t>26.30.23.00.00.00.09.01.1</t>
  </si>
  <si>
    <t>Терминал видеоконференц-связи</t>
  </si>
  <si>
    <t>по любым типам сетей (LAN, MAN, WAN) с одним или более абонентами без использования компьютера, необходимое внешнее устройство отображения (монитор, проектор и т. д.)</t>
  </si>
  <si>
    <t>32.99.61.00.00.00.30.60.1</t>
  </si>
  <si>
    <t>Программное обеспечение</t>
  </si>
  <si>
    <t>Программный продукт - прочий</t>
  </si>
  <si>
    <t>32.99.61.00.00.00.30.70.1</t>
  </si>
  <si>
    <t>62.01.29.00.00.00.00.10.1</t>
  </si>
  <si>
    <t>Оригиналы программных обеспечений прочих</t>
  </si>
  <si>
    <t>32.99.61.00.00.00.30.30.1</t>
  </si>
  <si>
    <t>Услуги по техническому обслуживанию и ремонту техники вычислительной.</t>
  </si>
  <si>
    <t>33.12.18.11.00.00.00</t>
  </si>
  <si>
    <t>Ремонт и техническое обслуживание прецизионных кондиционеров</t>
  </si>
  <si>
    <t>62.02.30.40.00.00.00</t>
  </si>
  <si>
    <t>Услуги консультационные по использованию информационных систем</t>
  </si>
  <si>
    <t>Услуги консультационные по надлежащему использованию информационных систем.</t>
  </si>
  <si>
    <t>62.09.10.40.00.00.00</t>
  </si>
  <si>
    <t>Услуги по обслуживанию АТС</t>
  </si>
  <si>
    <t>Услуги по техническому обслуживанию, настройке автоматических телефонных станций</t>
  </si>
  <si>
    <t>95.11.10.30.00.00.00</t>
  </si>
  <si>
    <t>Ремонт и обслуживание сетевого оборудования</t>
  </si>
  <si>
    <t>Ремонт и техническое обслуживание сетевого оборудования</t>
  </si>
  <si>
    <t>62.01.12.10.00.00.00</t>
  </si>
  <si>
    <t>Услуги по проектированию и разработке  структурированных кабельных систем</t>
  </si>
  <si>
    <t>Услуги по проектированию и разработке универсальных многофункциональных сетей масштаба офиса или здания, предназначеных для передачи компьютерных, телефонных, мультимедийных и видео данных, служебной цифровой и аналоговой информации систем управления</t>
  </si>
  <si>
    <t>62.02.20.40.00.00.00</t>
  </si>
  <si>
    <t>Услуги консультационные по применению программного обеспечения</t>
  </si>
  <si>
    <t>33.13.19.15.00.00.00</t>
  </si>
  <si>
    <t>Ремонт и техническое обслуживание системы электронной очереди</t>
  </si>
  <si>
    <t>Наладка, ремонт и техническое обслуживание системы электронной очереди</t>
  </si>
  <si>
    <t>58.29.50.10.17.00.00</t>
  </si>
  <si>
    <t>Услуги по предоставлению лицензий на право использования   программного обеспечения системного прочего</t>
  </si>
  <si>
    <t>Услуги по предоставлению лицензий на право использования  компьютерного программного обеспечения системного,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</si>
  <si>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33.14.11.31.00.00.00</t>
  </si>
  <si>
    <t>Техническое обслуживание дизель-генераторов</t>
  </si>
  <si>
    <t>61.10.43.01.01.00.00</t>
  </si>
  <si>
    <t>Услуги по доступу к Интернету</t>
  </si>
  <si>
    <t>Услуги, направленные на предоставление доступа к Интернету широкополосному по сетям проводным</t>
  </si>
  <si>
    <t>61.10.13.01.01.00.00</t>
  </si>
  <si>
    <t>Услуги частных сетей по предоставлению линий телекоммуникационных проводных</t>
  </si>
  <si>
    <t>Услуги частных сетей по предоставлению линий телекоммуникационных проводных, аренда местной и прямой линии связи</t>
  </si>
  <si>
    <t>Абонентская плата за  Business Trunk - региональные филиалы</t>
  </si>
  <si>
    <t>74.90.21.15.00.00.00</t>
  </si>
  <si>
    <t>Услуги информационного мониторинга</t>
  </si>
  <si>
    <t>62.02.20.51.00.00.00</t>
  </si>
  <si>
    <t>Услуги технические консультационные</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</si>
  <si>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</si>
  <si>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61.90.10.01.00.00.00</t>
  </si>
  <si>
    <t>Услуги по представлению доменного имени</t>
  </si>
  <si>
    <t>Услуги по представлению и продлению пользования доменным именем</t>
  </si>
  <si>
    <t>77.39.14.10.00.00.00</t>
  </si>
  <si>
    <t>Услуги по предоставлению вычислительных мощностей для физического размещения информации на сервере, постоянно находящемс</t>
  </si>
  <si>
    <t>Предоставление вычислительных мощностей для физического размещения информации на сервере, постоянно находящемся в сети Интернет (хостинг)</t>
  </si>
  <si>
    <t>Штрих - корректор</t>
  </si>
  <si>
    <t>Ручка пластиковая шариковая</t>
  </si>
  <si>
    <t xml:space="preserve"> Маркер пластиковый круглый, ширина линии 1,8 мм</t>
  </si>
  <si>
    <t>25.99.21.00.00.11.10.10.1</t>
  </si>
  <si>
    <t xml:space="preserve">Сейф </t>
  </si>
  <si>
    <t>Сейфы несгораемые металлические</t>
  </si>
  <si>
    <t>Сейф металлический</t>
  </si>
  <si>
    <t>26.40.33.00.00.00.11.10.1</t>
  </si>
  <si>
    <t>Цифровая</t>
  </si>
  <si>
    <t>Видеокамера цифровая</t>
  </si>
  <si>
    <t>26.70.14.00.00.00.62.20.1</t>
  </si>
  <si>
    <t xml:space="preserve"> Цифровой фотоаппарат</t>
  </si>
  <si>
    <t>26.40.32.11.11.11.11.50.1</t>
  </si>
  <si>
    <t>Диктофон</t>
  </si>
  <si>
    <t>цифровой диктофон, формат записи MP3.</t>
  </si>
  <si>
    <t>31.01.12.00.00.03.01.02.1</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</si>
  <si>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</si>
  <si>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Шкафы для папок</t>
  </si>
  <si>
    <t>31.01.12.00.00.04.02.01.1</t>
  </si>
  <si>
    <t>Вешалки</t>
  </si>
  <si>
    <t>вешалка  для одежды стоячая металлическая на 3-х ножках</t>
  </si>
  <si>
    <t>Вешалки для одежды</t>
  </si>
  <si>
    <t>Кресла офисные</t>
  </si>
  <si>
    <t>27.51.25.01.01.00.00.20.1</t>
  </si>
  <si>
    <t xml:space="preserve">диспенсер для воды </t>
  </si>
  <si>
    <t>С функцией нагрева воды. Напольный (с холодильником).</t>
  </si>
  <si>
    <t>31.01.11.00.00.00.02.03.1</t>
  </si>
  <si>
    <t>Шкаф металлический архивный, сварная конструкция, замок, регулируемые полки, полимерное покрытие, двудверный.</t>
  </si>
  <si>
    <t>апрель-май</t>
  </si>
  <si>
    <t>74.90.20.15.00.00.00</t>
  </si>
  <si>
    <t>Маркетинговые услуги</t>
  </si>
  <si>
    <t xml:space="preserve">Услуги, связанные с исследованием, анализом, планированием и прогнозированием в сфере производства и обращения товаров, работ, услуг </t>
  </si>
  <si>
    <t>73.12.19.31.10.00.00</t>
  </si>
  <si>
    <t>Услуги по размещению наружней рекламы</t>
  </si>
  <si>
    <t>на плакатах</t>
  </si>
  <si>
    <t>август-сентябрь</t>
  </si>
  <si>
    <t>74.30.11.20.10.00.00</t>
  </si>
  <si>
    <t>Услуги по письменному переводу с русского языка на казахский язык</t>
  </si>
  <si>
    <t>Письменный перевод с русского языка на казахский язык</t>
  </si>
  <si>
    <t xml:space="preserve">февраль </t>
  </si>
  <si>
    <t>74.90.21.14.00.00.00</t>
  </si>
  <si>
    <t>Услуги независимых экспертов</t>
  </si>
  <si>
    <t>Услуги независимых экспертов, привлекаемых от различных организаций</t>
  </si>
  <si>
    <t>октябрь-ноябрь</t>
  </si>
  <si>
    <t>59.11.12.12.00.00.00</t>
  </si>
  <si>
    <t>Услуги по подготовке и выпуску видеосюжетов на телеканалах</t>
  </si>
  <si>
    <t>услуги по подготовке и выпуску видеосюжетов на телеканалах</t>
  </si>
  <si>
    <t>май-июнь</t>
  </si>
  <si>
    <t>43.21.10.10.20.12.00</t>
  </si>
  <si>
    <t>Услуги по техническому обслуживанию пожарной сигнализации</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</si>
  <si>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</si>
  <si>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43.21.10.10.10.12.00</t>
  </si>
  <si>
    <t>Услуги по техническому обслуживанию охранной сигнализации</t>
  </si>
  <si>
    <t>43.21.10.10.30.12.00</t>
  </si>
  <si>
    <t>Услуги по техническому обслуживанию системы видеонаблюдения</t>
  </si>
  <si>
    <t>80.20.10.11.00.00.00</t>
  </si>
  <si>
    <t>Услуги по обеспечению информационной безопасности</t>
  </si>
  <si>
    <t>Обеспечение информационной безопасности</t>
  </si>
  <si>
    <t>82.91.11.13.11.00.00</t>
  </si>
  <si>
    <t>Услуги по предоставлению отчета о кредитной истории заемщиков</t>
  </si>
  <si>
    <t>66.29.19.00.00.00.01</t>
  </si>
  <si>
    <t>Услуги по предоставлению информации по системе пенсионных взносов</t>
  </si>
  <si>
    <t>Услуги Кредитного бюро по получению выписки из ГЦВП</t>
  </si>
  <si>
    <t>70.22.30.30.30.00.00</t>
  </si>
  <si>
    <t>Услуги по сертификации систем менеджемента</t>
  </si>
  <si>
    <t>18.12.14.10.00.00.00</t>
  </si>
  <si>
    <t>Услуги по печатанию книг</t>
  </si>
  <si>
    <t>63.11.12.20.00.00.00</t>
  </si>
  <si>
    <t>Услуги по информационной поддержке сайтов</t>
  </si>
  <si>
    <t>Услуги по изменению, добавлению текстов, графических элементов сайта.</t>
  </si>
  <si>
    <t>66.19.29.00.00.00.01</t>
  </si>
  <si>
    <t xml:space="preserve">Услуги вспомогательные прочие, связанные с банковскими инвестициями  </t>
  </si>
  <si>
    <t>октябрь, ноябрь, декабрь</t>
  </si>
  <si>
    <t>32.99.85.00.00.00.00.25.1</t>
  </si>
  <si>
    <t>Сувенирная продукция</t>
  </si>
  <si>
    <t xml:space="preserve">подарочная </t>
  </si>
  <si>
    <t>Памятные подарки лучшим сотрудникам</t>
  </si>
  <si>
    <t>73.20.12.10.00.00.00</t>
  </si>
  <si>
    <t>Услуги по изучению рынка: обзоры количественные для конкретных случаев</t>
  </si>
  <si>
    <t>85.59.13.12.00.00.00</t>
  </si>
  <si>
    <t>Услуги по повышению квалификации на курсах по управлению персоналом</t>
  </si>
  <si>
    <t>70.22.11.16.00.00.00</t>
  </si>
  <si>
    <t>Услуги консультационные по оценке деятельности</t>
  </si>
  <si>
    <t>Комплекс консультационных услуг по оценке деятельности структурных подразделений компании либо компании в целом</t>
  </si>
  <si>
    <t>Аренда автомашин для ГО</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</si>
  <si>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</si>
  <si>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Топтамада:  шынтақ қойғышы бар,  өзі  теріден, аяғы хром жалатылған металдан жасалынған кресло, ЛДСП басшы үстелі, металдан жасалынған бір аяқты ЛДСП қосымша үстел,  үш жылжымалы жәшігі және орталық құлпы бар роликті тумба№</t>
  </si>
  <si>
    <t>Мебельный гарнитур</t>
  </si>
  <si>
    <t>Стол журнальный</t>
  </si>
  <si>
    <t>26.70.18.00.00.00.01.40.1</t>
  </si>
  <si>
    <t>26.70.13.00.00.01.11.30.1</t>
  </si>
  <si>
    <t>Со встроенной оптикой. Компактные. Число эффективных пикселов: от 14 до 16 млн.</t>
  </si>
  <si>
    <t>Со встроенной оптикой. Компактные. Число эффективных пикселов от 12 до 14 млн.</t>
  </si>
  <si>
    <t>26.40.33.00.00.00.31.20.1</t>
  </si>
  <si>
    <t>Для видеонаблюдения. Монохромная. Внешнего исполнения (уличная).</t>
  </si>
  <si>
    <t>Маркер пластиковый,пермаментный, скошенный наконечник 1-5 мм.</t>
  </si>
  <si>
    <t>Услуги, связанные с копированием и размножением текста</t>
  </si>
  <si>
    <t>82.30.11.10.00.00.00</t>
  </si>
  <si>
    <t>Услуги по организации конференций</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</si>
  <si>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</si>
  <si>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Су</t>
  </si>
  <si>
    <t>11.07.11.00.00.00.06.20.1</t>
  </si>
  <si>
    <t>Питьевая природная негазированная. Прозрачная. Без посторонних привкусов и запахов. V -  до 0,5 литра.</t>
  </si>
  <si>
    <t>Кондиционеры для ЦОП</t>
  </si>
  <si>
    <t>28.23.23.00.00.00.20.10.1</t>
  </si>
  <si>
    <t>Лопаты копальные остроконечные (штыковые)</t>
  </si>
  <si>
    <t>22.11.17.11.15.12.12.21.1</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</si>
  <si>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</si>
  <si>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22.11.17.00.11.15.11.37.1</t>
  </si>
  <si>
    <t>Размер:215/65R16.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</si>
  <si>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65.12.11.00.00.00.01</t>
  </si>
  <si>
    <t>22.29.25.00.00.00.19.11.1</t>
  </si>
  <si>
    <t>23.44.11.00.00.00.12.10.1</t>
  </si>
  <si>
    <t>Стакан</t>
  </si>
  <si>
    <t>Стакан 1 ГОСТ9147-80.  Сыйымдылығы 25 см3</t>
  </si>
  <si>
    <t>Стакан 1 ГОСТ9147-80.  Номинальная вместимость 25 см3</t>
  </si>
  <si>
    <t>Су ішуге арналған стакан (конференц-зал үшін)</t>
  </si>
  <si>
    <t>25.71.14.00.00.10.15.10.1</t>
  </si>
  <si>
    <t>Ложка</t>
  </si>
  <si>
    <t>Ложки столовые из нержавеющей стали</t>
  </si>
  <si>
    <t>20.41.32.00.00.00.10.10.2</t>
  </si>
  <si>
    <t>Средство для мытья посуды</t>
  </si>
  <si>
    <t>01.19.21.00.00.00.02.10.1</t>
  </si>
  <si>
    <t>Кесілген гүлдер</t>
  </si>
  <si>
    <t>Цветы срезанные</t>
  </si>
  <si>
    <t>Бірінші топтама. Гладиолус, ұзындығы 60 см. кем емес  (ГОСТ 18908.10.73)</t>
  </si>
  <si>
    <t>Первая группа. Гладиолус, длина соцветия и цветоноса не менее 60см (ГОСТ 18908.10.73)</t>
  </si>
  <si>
    <t>18.12.19.11.00.00.00</t>
  </si>
  <si>
    <t>Услуги по изготовлению и печатанию визитных карточек</t>
  </si>
  <si>
    <t>18.12.16.15.00.00.00</t>
  </si>
  <si>
    <t xml:space="preserve"> Кеңселік баспа өнімдерін, оның ішінде беделдік өнімдерді басып шығару қызметтері</t>
  </si>
  <si>
    <t>Услуги по печатанию непосредственно на прочих материалах, не являющихся бумагой</t>
  </si>
  <si>
    <t>18.13.30.11.00.00.00</t>
  </si>
  <si>
    <t>Услуги по подготовке пластин и клише для рельефной штамповки ипечати</t>
  </si>
  <si>
    <t>93.19.19.10.00.00.00</t>
  </si>
  <si>
    <t>Услуги в области спорта и спортивно-оздоровительных мероприятий прочие</t>
  </si>
  <si>
    <t>60.20.13.02.02.01.00</t>
  </si>
  <si>
    <t>Услуги по трансляции  телевизионных программ</t>
  </si>
  <si>
    <t>Услуги по трансляции информационных телевизионных программ по подписке, транслируемых в прямом эфире</t>
  </si>
  <si>
    <t>Жылуэнергиясын тарату қызметтері</t>
  </si>
  <si>
    <t>Сумен және канализациямен  қамтамасыз ету  қызметтері</t>
  </si>
  <si>
    <t xml:space="preserve"> Электрэнергияны тарату қызметтері</t>
  </si>
  <si>
    <t>65.12.12.10.00.00.01</t>
  </si>
  <si>
    <t>Услуги по страхованию от болезней</t>
  </si>
  <si>
    <t>Медицинское страхование работников и членов их семей на случай болезни</t>
  </si>
  <si>
    <t>41.00.20.00.00.00.10.41.1</t>
  </si>
  <si>
    <t>Ғимарат сатып алу</t>
  </si>
  <si>
    <t>Приобретение здания</t>
  </si>
  <si>
    <t>Офис орналастыратын кеңсе</t>
  </si>
  <si>
    <t>Помещение для размещения офиса</t>
  </si>
  <si>
    <t>63.91.12.10.00.00.00</t>
  </si>
  <si>
    <t>Услуги информационных агентств, предоставляемые аудиовизуальным средствам массовой информации</t>
  </si>
  <si>
    <t>Услуги по предоставлению новостей,  фотографий, видео  и  других материалов  аудиовизуальным средствам массовой информации агентствами новостей и другими информационными агентствами.</t>
  </si>
  <si>
    <t>74.20.39.00.00.00.00</t>
  </si>
  <si>
    <t>Услуги в области фотографии, не включенные в другие группировки</t>
  </si>
  <si>
    <t>Прочие услуги в области фотографии, не включенные в другие группировки</t>
  </si>
  <si>
    <t>82.20.10.10.00.00.00</t>
  </si>
  <si>
    <t>Услуги телефонных справочных центров</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</si>
  <si>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</si>
  <si>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73.12.19.30.00.00.00</t>
  </si>
  <si>
    <t>60.20.12.01.02.01.00</t>
  </si>
  <si>
    <t>Услуги по производству  телевизионных программ</t>
  </si>
  <si>
    <t>Услуги по производству информационных телевизионных программ, записываемых на магнитную ленту или другие технические носители информации для последующей трансляции</t>
  </si>
  <si>
    <t>82.30.11.15.00.00.00</t>
  </si>
  <si>
    <t>Услуги по проведению конкурсов</t>
  </si>
  <si>
    <t>Организация проведения конкурсов с сопутствующими услугами</t>
  </si>
  <si>
    <t>59.11.13.10.00.00.00</t>
  </si>
  <si>
    <t>Услуги по производству телевизионных программ прочие</t>
  </si>
  <si>
    <t>85.59.13.13.00.00.00</t>
  </si>
  <si>
    <t>Услуги по повышению квалификации руководителей и специалистов по вопросам менеджмента</t>
  </si>
  <si>
    <t>Повышение квалификации руководителей и специалистов по вопросам менеджмента</t>
  </si>
  <si>
    <t>79.11.19.10.00.00.00</t>
  </si>
  <si>
    <t>Услуги туристских агентств по бронированию транспорта прочие</t>
  </si>
  <si>
    <t>Прочие услуги по предварительному бронированию транспорта для юридических и физических лиц, не включенные в другие группировки</t>
  </si>
  <si>
    <t>82.19.12.00.00.10.00</t>
  </si>
  <si>
    <t>Услуги по составлению списков адресатов и рассылке материалов по ним</t>
  </si>
  <si>
    <t>Составление списков адресатов и рассылка материалов по ним</t>
  </si>
  <si>
    <t>63.11.12.40.00.00.00</t>
  </si>
  <si>
    <t>Услуги по обработке сайтов в Интернете</t>
  </si>
  <si>
    <t>Услуги по созданию, продвижению и содержанию сайтов в рабочем состоянии</t>
  </si>
  <si>
    <t>повышение квалификации руководителей и специалистов по вопросам менеджмента</t>
  </si>
  <si>
    <t>82.99.19.12.00.00.00</t>
  </si>
  <si>
    <t>Услуги по участию в мероприятиях</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</si>
  <si>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</si>
  <si>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79.11.11.10.00.00.00</t>
  </si>
  <si>
    <t>Услуги по бронированию мест в самолетах</t>
  </si>
  <si>
    <t>Предварительное бронирование мест в самолетах для юридических и физических лиц</t>
  </si>
  <si>
    <t>63.11.12.10.00.00.00</t>
  </si>
  <si>
    <t>Услуги по технической поддержке сайтов</t>
  </si>
  <si>
    <t>Услуги по технической поддержке сайта в работоспособном состоянии, улучшению его функциональных возможностей.</t>
  </si>
  <si>
    <t>82.99.19.13.00.00.00</t>
  </si>
  <si>
    <t>Услуги по актуализации нормативных документов</t>
  </si>
  <si>
    <t xml:space="preserve">Услуги по приведению в актуальное состояние нормативных документов </t>
  </si>
  <si>
    <t>Работа</t>
  </si>
  <si>
    <t>94.11.10.10.00.00.00</t>
  </si>
  <si>
    <t>Услуги коммерческих и предпринимательских организаций</t>
  </si>
  <si>
    <t>Разработка типовых бизнес-планов</t>
  </si>
  <si>
    <t>Типографские услуги (открытки)</t>
  </si>
  <si>
    <t>73.11.11.16.00.00.00</t>
  </si>
  <si>
    <t>Услуги по проведению маркетинговых компаний и других рекламных услуг с целью привлечения и удержания клиентов</t>
  </si>
  <si>
    <t xml:space="preserve">оказание услуги в течение 12 месяцев с даты подписания договора </t>
  </si>
  <si>
    <t>в течение 180 календарных дней с даты подписания договора</t>
  </si>
  <si>
    <t>в течение 60 календарных дней с даты подписания договора</t>
  </si>
  <si>
    <t>в течение 30 календарных дней с даты подписания договора</t>
  </si>
  <si>
    <t>в течение 90 календарных дней с даты полписания договора</t>
  </si>
  <si>
    <t>в течение 10 рабочих дней с даты подписания договора</t>
  </si>
  <si>
    <t>в течение 20 рабочих дней с даты подписания договора</t>
  </si>
  <si>
    <t xml:space="preserve">Бутылка </t>
  </si>
  <si>
    <t>Метр</t>
  </si>
  <si>
    <t>Литр</t>
  </si>
  <si>
    <t>Метр погонный</t>
  </si>
  <si>
    <t>Набор</t>
  </si>
  <si>
    <t>15 рабочих дней со дня полписания договора</t>
  </si>
  <si>
    <t>05 Запрос ценовых предложений</t>
  </si>
  <si>
    <t>01 Открытый тендер</t>
  </si>
  <si>
    <t>32.99.86.00.00.00.61.15.1</t>
  </si>
  <si>
    <t>Система контроля и управления доступом</t>
  </si>
  <si>
    <t>2 класса, имеют возможность расширения и включения их в сетевой режим. Данные системы имеют возможность интеграции с оборудованными средствами и системами охранно-пожарной сигнализации для  усиления режима обеспечения безопасности объекта</t>
  </si>
  <si>
    <t>26.40.33.00.00.00.10.01.1</t>
  </si>
  <si>
    <t>с даты подписания договора по 31.03.2014г.</t>
  </si>
  <si>
    <t>с даты подписания  договора по 30.11.2014г.</t>
  </si>
  <si>
    <t>Услуги по организации и проведению выставки и конференции по франчайзингу</t>
  </si>
  <si>
    <t>с даты подписания  договора по 31.10.2014г.</t>
  </si>
  <si>
    <t>Размещение в СМИ рекламной и пост-информации о мероприятии по франчайзингу</t>
  </si>
  <si>
    <t>73.20.14.11.00.00.00</t>
  </si>
  <si>
    <t>Услуги по изучению и анализу рынка</t>
  </si>
  <si>
    <t>Услуги по изучению и анализу определенного  рынка поставки товаров, оказания услуг,  выполнения работ</t>
  </si>
  <si>
    <t>Услуги по разработке, изготовлению, подготовке набора, печатанию  рекламных каталогов, проспектов, постеров и продукции рекламной прочей</t>
  </si>
  <si>
    <t>58.29.50.20.13.00.00</t>
  </si>
  <si>
    <t>Котировкалар базасына қол жеткізуді қамтамасыз ету бойынша қызметтер</t>
  </si>
  <si>
    <t>Услуги по обеспечению доступа к базе котировок</t>
  </si>
  <si>
    <t>Кәсіби бағдарламалық қамтамасыз етуді қолдану құқығына лицензия беру бойынша көрсетілетін қызметтер</t>
  </si>
  <si>
    <t>Услуги по предоставлению лицензий на право использования  программного обеспечения профессионального</t>
  </si>
  <si>
    <t>94.12.10.24.00.00.00</t>
  </si>
  <si>
    <t>Рейтингтік агенттіктердің  қызметтері</t>
  </si>
  <si>
    <t>Услуги рейтингового агентства</t>
  </si>
  <si>
    <t>Кредиттік рейтингті бақылау   қызметтері</t>
  </si>
  <si>
    <t>70.22.12.10.00.00.00</t>
  </si>
  <si>
    <t>Өзіндік құнын анықтау методикасын дайындау қызметтері</t>
  </si>
  <si>
    <t>Кәсіпорынды қаржылай басқару  (корпоративтік салықтан басқасы), бухесеп әдістемесін және ережелерін, есептілікті жүргізу бағдарламаларын, бюджетті бақылау процедураларын жобалау мәселесі бойынша кеңес беру.</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</si>
  <si>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</si>
  <si>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Техническое обслуживание охранно-пожарной сигнализации</t>
  </si>
  <si>
    <t>Аренда производственной базы</t>
  </si>
  <si>
    <t>Электропотребление, включая электроснабжение и горячую водоподготовка</t>
  </si>
  <si>
    <t>33.12.19.25.00.00.00</t>
  </si>
  <si>
    <t>Қауіпсіздік-өрт дабылғышын техникалық қамсыздандыру</t>
  </si>
  <si>
    <t>Аренда автомашин в г. Астана</t>
  </si>
  <si>
    <t>22.19.72.00.00.00.30.40.3</t>
  </si>
  <si>
    <t>Покрытие наружное для лестницы ЦОП в зимнее время</t>
  </si>
  <si>
    <t>29.32.20.00.00.00.60.02.1</t>
  </si>
  <si>
    <t>27.20.21.00.00.00.02.35.1</t>
  </si>
  <si>
    <t>Аккумулятор для служебного автотранспорта</t>
  </si>
  <si>
    <t xml:space="preserve">Аккумулятор для автобуса МЦПП </t>
  </si>
  <si>
    <t>22.21.29.00.00.35.40.10.1</t>
  </si>
  <si>
    <t>Краны сантехнические</t>
  </si>
  <si>
    <t>Услуга по изготовлению пандуса</t>
  </si>
  <si>
    <t>Питьевая вода в пластиковых бутылях</t>
  </si>
  <si>
    <t>Шины: Тойота Карола, 1,6 (зимние)</t>
  </si>
  <si>
    <t>Тумба</t>
  </si>
  <si>
    <t xml:space="preserve">МКҚО үшін консультациялық қызметтері </t>
  </si>
  <si>
    <t>Нотариус қызметтері</t>
  </si>
  <si>
    <t>Кофе-брейк ұйымдастыру қызметтері</t>
  </si>
  <si>
    <t>Сейф ұяшықтарын жалға алу қызметтері</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</si>
  <si>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</si>
  <si>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600 dpi. </t>
  </si>
  <si>
    <t>Орташа сыныпты, экранының диагоналы - 12" және одан көбірек.Өнімділігі орташа және мультимедиялы функционалдылық, бейне адаптер — жапсырылып жасалынған немесе дискретті кіші сериялар, процессор —бастапқы немесе орташа деңгейде. Автономды жұмыстың орташа уақыты. Корпусы пластикадан жасалынған, дизайны қарапайым . Функционалдығы орташа мультимедиялы"</t>
  </si>
  <si>
    <t>моноблок", дисплеймен біріктірілген монитор</t>
  </si>
  <si>
    <t>"моноблок", совмещенный с дисплеем монитор"</t>
  </si>
  <si>
    <t xml:space="preserve"> Форм-фактор моноблок компьютер</t>
  </si>
  <si>
    <t>Диагоналы - 12" және одан үлкендеу. Жалпы өнімділігі жоғары деңгейде. Ақпаратты қорғау деңгейі жоғары (саусақ іздерін есептеу датчиктері, деректерді шифрлеудің әртүрлі әдістері және т.б.). Бірегей және стильді дизайн. Корпусты дайындау үшін болат, алюминий, карбон сияқты материалдар және өзгеде  қымбат материалдар қолданылады. Салмағы мен габариты үлкен емес."</t>
  </si>
  <si>
    <t>Ресурстарды (blade) горизонтальды етіп масштабталған аса берік, жалпы бағыттағы желілік, , құрылымдалған сервер пулын қалыптастыруға тағайындалған компоненттер монтажының максималды  тығыздығымен. Арнайы корпусқа-желілік коммуникациялардың орталықтандырылған жүйесі бар сөрелерге, энергиямен қоректендіруді, суыту және басқаруды алып жатқан орынды азайту үшін кәрзіңкеге шығарылған және жинақталған арнайы корпусқа орналастыруды қарастырады. Кәрзіңке (англ. enclosure) — оларға жалпы компоненттерге қолжеткізуді ұсынатын блейд-серверлер үшін шасси.</t>
  </si>
  <si>
    <t>Жалпы мақсатта қолданылатын желілік, ресурстарды (blade) көлденеңінен масштабтаумен аса тығыз, құрылымдалған сервер пулын компоненттер монтажын барынша тығыздап, барынша қалыптастыруға арналған. желі коммуникацияларының, энергоқоректің, суытудың және басқарудың орталықтандырылған жүйесімен арнайы сөре-корпусқа орнату ұйғарылады, себебі олардың алатын орнын азайту үшін, кәрзіңкеге жинақталған. Кәрзіңке (англ. enclosure) — оларға жалпы компоненттерге қолжеткізуге мүмкіндік беретін блейд-серверге арналған шасси</t>
  </si>
  <si>
    <t>деректерді сақтау жүйесі</t>
  </si>
  <si>
    <t>желілік, iSCSI хаттамасы мен Fibre Channel технологиясын пайдалана отырып</t>
  </si>
  <si>
    <t>Ленталы кітапхана</t>
  </si>
  <si>
    <t>LTO типтес жинақтаушы, число картридждер саны 18-ден 24-дейін</t>
  </si>
  <si>
    <t>Ленталы кітапхана, LTO типтес жинақтаушы, число картридждер саны 18-ден 24-дейін</t>
  </si>
  <si>
    <t>Өнеркәсіптік</t>
  </si>
  <si>
    <t>LCD-KVM консоль 16 порт, в стойку 19'', диагональ не менее 17''</t>
  </si>
  <si>
    <t>Шағын-АТС</t>
  </si>
  <si>
    <t>Медиа шлюз + S8300-мен бірге тіркесетін IP АТС Avaya  сервері</t>
  </si>
  <si>
    <t>Резервті сервер IP АТС Avaya S8300</t>
  </si>
  <si>
    <t>Телефон аппараты</t>
  </si>
  <si>
    <t>IP-телефония, ЖК-дисплей, телефон трубкасы, нөмір теретін клавиштері (тастатура), разъем для подключения к IP-желісіне қосуға арналған сети, резервный разъем для подключения к городской телефонной сети (может отсутствовать)</t>
  </si>
  <si>
    <t>виртуалды (IP-телефония),  сиымдылығы 150-5000 нөмір</t>
  </si>
  <si>
    <t>IP АТС Avaya функционалын кеңейту бойынша аппараттық-бағдарламалық кешен, бастартушылықты арттыру</t>
  </si>
  <si>
    <t>Төменгі сыныпты маршрутизатор (серпінді маршрутизацияны ұйымдастыру)</t>
  </si>
  <si>
    <t xml:space="preserve">Желілік коммутатор (Switch) </t>
  </si>
  <si>
    <t>Микропроцессорлы</t>
  </si>
  <si>
    <t xml:space="preserve">Желілік коммутатор (Switch), КҚКО үшін қолжеткізушілік деңгейін ұйымдастыру </t>
  </si>
  <si>
    <t>Бейнеконференция байланыс терминалы</t>
  </si>
  <si>
    <t>компьютерді пайдаланбастан бір немесе одан да көп абоненттері бар  кезкелген желілер үлгісімен (LAN, MAN, WAN) , шағылыстырып көрсететін қажетті шағылысудың сыртқы құрылысы</t>
  </si>
  <si>
    <t>Бейнеконференцбайланыс жүйесі (бас кеңсе, 15 аймақтық филиал)</t>
  </si>
  <si>
    <t>Е сыныбы, өкілдік сынып, трансмиссия - кемінде 5 баспалдақты  АКПП. Кемінде 6 қауіпсіздік жастығы,ABS,SRS,ГУР,ПЭП, шұғыл тоқтату күшейткіші, «ағашқа ұқсас» етіп жапсырылған декоративті интерьер элементі, климат бақылау, еңкею бұрышына қарай рульді ретке келтіру, мультифункц.рөл</t>
  </si>
  <si>
    <t>Автокөлік сатып алу</t>
  </si>
  <si>
    <t>Төменгі сыныпты</t>
  </si>
  <si>
    <t>Нижнего класса</t>
  </si>
  <si>
    <t>Виртуалды (IP-телефония), сыйымдылығы 5 нөмірге дейін</t>
  </si>
  <si>
    <t>Виртуалды (IP-телефония), сыйымдылығы 5-50 нөмір</t>
  </si>
  <si>
    <t>Желдетуге арналған жабдық</t>
  </si>
  <si>
    <t>Оборудование для кондиционирования</t>
  </si>
  <si>
    <t>Терезеге немесе қабырғаға қойылатын бірыңғай корпусты ауа алмастырғыш кондиционер</t>
  </si>
  <si>
    <t>Оборудование для кондиционирования воздуха оконного или настенного типа в едином корпусе</t>
  </si>
  <si>
    <t>Кондиционерлер</t>
  </si>
  <si>
    <t>Кіруді бақылау және басқару жүйесі</t>
  </si>
  <si>
    <t>2 класты, желіге қосылу және оны кеңейту мүмкіндігі бар. Бұл жүйе объектінің қауіпсіздігін қамтамасыз етуді күшейту үшін қондырғыларға және қорғау-өрт сөндіру дабыл жүйелеріне бірігуге мүмкіндігі бар</t>
  </si>
  <si>
    <t>Бағдарламалық қамтамасыз ету</t>
  </si>
  <si>
    <t>Бағдарлама өнімі- өзгелер</t>
  </si>
  <si>
    <t>Бағдарлама өнімі- жойылған басқару және/немесе конференция үшін</t>
  </si>
  <si>
    <t>Бағдарламалық қамтамасыз ету электронды почтаның сервері</t>
  </si>
  <si>
    <t>Нақты уақытта пайдаланушылар байланысудың әртүрлі түрлерін қолдана отырып бір-бірімен: шұғыл хабарлама, бейне-  және дауыс арқылы сөйлесуге мүмкіндік беретін байланыс серверінің бағдарламалық қамтамасыздығы, жұмыс үстеліне жалпы қолжеткізушілік, конференция, файлдарды табыстау</t>
  </si>
  <si>
    <t>Программный продукт - для удаленного управления и/или конференции</t>
  </si>
  <si>
    <t>Серверді виртуалдаудың бағдарламалық қамтамасыздығы</t>
  </si>
  <si>
    <t>Телефон арқылы сөйлесулердің биллинг жүйесі, бағдарламалық-аппарат кешені</t>
  </si>
  <si>
    <t>Өзгелердің бағдарламалық қамтамасыздығының түпнұсқалары</t>
  </si>
  <si>
    <t xml:space="preserve"> web-трафикті фильтрлеудің бағдарламалық-аппараттық кешені </t>
  </si>
  <si>
    <t>Бағдарлама өнімі-құжатайналымын автоматтандыру жүйесі</t>
  </si>
  <si>
    <t>Бағдарламалық өнімге лицензия</t>
  </si>
  <si>
    <t>Бағдарламалық өнімге (пайдалану құқығы) лицензия</t>
  </si>
  <si>
    <t>CRM Terrasoft XRM үшін лицензия</t>
  </si>
  <si>
    <t xml:space="preserve">Microsoft Windows Server Standard 2012 лицензиялық бағдарламалық қамтамасыздығы </t>
  </si>
  <si>
    <t xml:space="preserve">Microsoft office лицензиялық бағдарламалық қамтамасыздығы </t>
  </si>
  <si>
    <t xml:space="preserve">Microsoft SQL Server Enterprise 2012 бағдарламалық қамтамасыздығы </t>
  </si>
  <si>
    <t xml:space="preserve"> pdf форматындағы құжаттармен жұмыс үшін бағдарлама қамтамасыздығы </t>
  </si>
  <si>
    <t>Антивирусқа қарсы қорғаудың бағдарламалық қамтамасыздығына лицензия (1 жыл, қорғау нысандары 520)</t>
  </si>
  <si>
    <t>Құбыр</t>
  </si>
  <si>
    <t>Фанды құбыр  110 мм, 90 град</t>
  </si>
  <si>
    <t>Фанды құбыр</t>
  </si>
  <si>
    <t>вентиль</t>
  </si>
  <si>
    <t>ГОСТ 23405-78, 1 типті, шартты өту 4 мм, атаулы қысым 35 Мпа</t>
  </si>
  <si>
    <t xml:space="preserve"> У-30М маркалы, ГОСТ 13489-79</t>
  </si>
  <si>
    <t>бояу жаққыш</t>
  </si>
  <si>
    <t>бояу жаққыш, үстіңгі бетті грунттау және бояуға арналған</t>
  </si>
  <si>
    <t>75 мм-лік бояужаққыш</t>
  </si>
  <si>
    <t>38 мм-лік бояужаққыш</t>
  </si>
  <si>
    <t>Бұрғы</t>
  </si>
  <si>
    <t>ГОСТ 17016-71, БД1 диаметрі 22 мм, ұзындығы 160 мм   саңылауды бұрғылау үшін</t>
  </si>
  <si>
    <t>Бетонға арналған бұрғы</t>
  </si>
  <si>
    <t>Бұрандалар жиынтығы</t>
  </si>
  <si>
    <t>Кескіш дөңгелек, ГОСТ 21963-02</t>
  </si>
  <si>
    <t>саптама</t>
  </si>
  <si>
    <t>өзге топтарға кіргізілмеген тағы басқалар</t>
  </si>
  <si>
    <t>Бұрандалы шегені айналдыратын саптама</t>
  </si>
  <si>
    <t>тістеуік</t>
  </si>
  <si>
    <t>құрастырылған</t>
  </si>
  <si>
    <t>бұрауыштар жиынтығы</t>
  </si>
  <si>
    <t>кресті, жалпақ (стандартты өлшемдер)</t>
  </si>
  <si>
    <t>қол ара</t>
  </si>
  <si>
    <t>Ножовка</t>
  </si>
  <si>
    <t>ағаш кескіш</t>
  </si>
  <si>
    <t>Поливинилхлоридті лента</t>
  </si>
  <si>
    <t>ГОСТ 16214-86. 30°С -ден +50°С-дейін ыстықта жұмыс істей алады.</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</si>
  <si>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</si>
  <si>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тырма</t>
  </si>
  <si>
    <t>Грабля</t>
  </si>
  <si>
    <t>алдын ала қопсытылған жердің кесектерін тегістеу, қазылып алынған арам шөптердің тамырынан тазарту, өсімдіктер арасын соңғы рет жеңіл жұмсарту</t>
  </si>
  <si>
    <t>Бұрандалы шеге</t>
  </si>
  <si>
    <t>Қара металдан жасалынған басы төртбұрышты бұрандалы шегелер</t>
  </si>
  <si>
    <t>Қара металдан жасалынған( басы төртбұрыштылардан бөлек) бұрандалы шегелер</t>
  </si>
  <si>
    <t>Бекітуге арналған бұрандалы шеге</t>
  </si>
  <si>
    <t>Люминесцентті лампалар</t>
  </si>
  <si>
    <t>Люминесцентті лампа, цоколі G24-d-2, қуаттылығы 22 Ватт</t>
  </si>
  <si>
    <t>Жарықдиодты лампа</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</si>
  <si>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</si>
  <si>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энергияүнемдейтін лампа</t>
  </si>
  <si>
    <t xml:space="preserve"> Фарфордан, қыштан, ағаштан, теріден, рәзіңкеден, металдан, тоздан, картоннан, көбіне пластикадан жасалынған заттарды желімдеу үшінтилцианакрилат негізінде </t>
  </si>
  <si>
    <t>сұйық желім</t>
  </si>
  <si>
    <t>Құбыр іспеттес люминесцентті лампалар үшін, 80С-220, ГОСТ 8799-90 типті</t>
  </si>
  <si>
    <t>Өсімдік материалынан жасалынған</t>
  </si>
  <si>
    <t>Қар жинайтын күрек</t>
  </si>
  <si>
    <t>бұрандалы құлып өзегі</t>
  </si>
  <si>
    <t>ұстағыш</t>
  </si>
  <si>
    <t>өзге топтарға кіргізілмегендер</t>
  </si>
  <si>
    <t>есік ұстағыш</t>
  </si>
  <si>
    <t>парақтарды жедел түрде металл қапсырмалармен бекітетін қондырғы</t>
  </si>
  <si>
    <t>пластикалық</t>
  </si>
  <si>
    <t>Қашықтық карточка (прокси-карта)</t>
  </si>
  <si>
    <t>басқару пульты</t>
  </si>
  <si>
    <t>кондиционер пульты</t>
  </si>
  <si>
    <t>тоңбайтын сұйық</t>
  </si>
  <si>
    <t>жууға арналған тоңбайтын сұйықтық</t>
  </si>
  <si>
    <t>жууға арналған сұйықтық</t>
  </si>
  <si>
    <t>Мұздап қалуға қарсы сұйықтық</t>
  </si>
  <si>
    <t>спирт негізінде алады және жылыту жүйесінде мұз болмас үшін бензинге қосады</t>
  </si>
  <si>
    <t>дизель отынына арналған антигель</t>
  </si>
  <si>
    <t>Қасық</t>
  </si>
  <si>
    <t>Болаттан жасалған асханалық қасықтар</t>
  </si>
  <si>
    <t>Шай қасықтары</t>
  </si>
  <si>
    <t>Газдалмаған табиғи ауызсу. Мөлдір. Бөзде иіссісіз және бөгде дәмсіз. V -  0,5 литр-ге дейін.</t>
  </si>
  <si>
    <t>Ішуге арналған су, 0,5 л.</t>
  </si>
  <si>
    <t>Ыдыстарды жууға араналған сайман</t>
  </si>
  <si>
    <t>Гелеобразное вещество для мытья посуды</t>
  </si>
  <si>
    <t>Гел тәріздес ыдысты жууға араналған заттар</t>
  </si>
  <si>
    <t>Средства для мытья посуды по 500 мл.</t>
  </si>
  <si>
    <t>Ыдыстарды жууға араналған сайман 500 мл.  ден</t>
  </si>
  <si>
    <t>Гүлдер</t>
  </si>
  <si>
    <t>Мөлшері:215/60R16.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</si>
  <si>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Шина: Тойота Камри, 3.5 (қыстық)</t>
  </si>
  <si>
    <t>Шина: Тойота Камри, 2.4 (қыстық)</t>
  </si>
  <si>
    <t>Шина: Тойота Карола, 1,6 (қыстық)</t>
  </si>
  <si>
    <t>Шина: микроавтобус (жаздық)</t>
  </si>
  <si>
    <t>дизель отыны</t>
  </si>
  <si>
    <t>жаздық, тығыздығы 20 °С 860 кг/м3 аспайды, қатып қалу температурасы -10°С аспайды</t>
  </si>
  <si>
    <t>летнее, плотность при 20 °С не более 860 кг/м3, температура застывания не выше -10°С</t>
  </si>
  <si>
    <t>этилдірілденбеген және этилдірілген, шағылысып жану двигательдер үшін шығарылған: АИ-95</t>
  </si>
  <si>
    <t>тіркелім</t>
  </si>
  <si>
    <t xml:space="preserve"> картоннан немесе қағаздан жасалынған тіркеуіш, А4 форматы бойынша</t>
  </si>
  <si>
    <t>А4 70мм тіркеуші</t>
  </si>
  <si>
    <t>А4 50мм тіркеуші</t>
  </si>
  <si>
    <t>А4 форматы үшін мұрағаттық папка, 320x230x40мм, А4 форматы</t>
  </si>
  <si>
    <t>жалпақ, 3 см асады</t>
  </si>
  <si>
    <t>жабысқақ лента - 48ммх66м мөлдір</t>
  </si>
  <si>
    <t xml:space="preserve">жабысқақ лента - </t>
  </si>
  <si>
    <t xml:space="preserve">№10 Степлер </t>
  </si>
  <si>
    <t xml:space="preserve">№24/6.26/6 Степлер </t>
  </si>
  <si>
    <t xml:space="preserve"> №23/6.23/8-23/10 Степлер </t>
  </si>
  <si>
    <t>кеңсеге арналған темір қапсырмалар</t>
  </si>
  <si>
    <t>№10  қапсырма</t>
  </si>
  <si>
    <t xml:space="preserve"> №24/6 қапсырма</t>
  </si>
  <si>
    <t xml:space="preserve"> №23/10 қапсырма </t>
  </si>
  <si>
    <t>Штрих-түзеткіш</t>
  </si>
  <si>
    <t>бояужаққышымен және араластырғышымен</t>
  </si>
  <si>
    <t>түзеткіш сұйықтық, білігімен</t>
  </si>
  <si>
    <t>диспенсері бар блистердегі лента түзеткіші</t>
  </si>
  <si>
    <t xml:space="preserve">Түзеткіш лента </t>
  </si>
  <si>
    <t>қағазтескі</t>
  </si>
  <si>
    <t>қағазға саңлау жасауға арналған құрылғы</t>
  </si>
  <si>
    <t>қағазтескі- 18п.</t>
  </si>
  <si>
    <t>қағазтескі- 70п.</t>
  </si>
  <si>
    <t>қағаз қыстырғыш. Мөлшері 19 мм</t>
  </si>
  <si>
    <t>Зажимы для бумаг. Размер 19 мм</t>
  </si>
  <si>
    <t>19мм қысқыш</t>
  </si>
  <si>
    <t>қағаз қыстырғыш. Мөлшері 32 мм</t>
  </si>
  <si>
    <t>Зажимы для бумаг. Размер 32 мм</t>
  </si>
  <si>
    <t xml:space="preserve">қысқыш - 32мм </t>
  </si>
  <si>
    <t>қағазға арналған кәрзіңке</t>
  </si>
  <si>
    <t>қағазға арналған кәрзіңке, көлемі 10 л</t>
  </si>
  <si>
    <t>лоток</t>
  </si>
  <si>
    <t>қағазға арналған үстел лотогы</t>
  </si>
  <si>
    <t xml:space="preserve">вертикалды лоток </t>
  </si>
  <si>
    <t>батарейка</t>
  </si>
  <si>
    <t>АА типтес кішкентай батарея</t>
  </si>
  <si>
    <t>Батарея, ААА</t>
  </si>
  <si>
    <t>өзге топтарға кіргізілміеген тағы басқалар</t>
  </si>
  <si>
    <t>мәтін маркері</t>
  </si>
  <si>
    <t>файл-қосымша бет</t>
  </si>
  <si>
    <t>перфорациясымен құжаттарға арналған, мөлшері 170*215мм</t>
  </si>
  <si>
    <t>қаламсап</t>
  </si>
  <si>
    <t>пластикадан жасалынған шарикті қаламсап</t>
  </si>
  <si>
    <t>түрлі*түсті қағаздан (қысқажазбаға арналған қағаз блогы)</t>
  </si>
  <si>
    <t>үстелде тұратын компакт калькулятор</t>
  </si>
  <si>
    <t>калькулятор настольный компактный</t>
  </si>
  <si>
    <t>12 разрядты компакты үстел калькуляторы</t>
  </si>
  <si>
    <t>настольный компактный 12 разрядный</t>
  </si>
  <si>
    <t>есепке алу және тіркеу кітабы</t>
  </si>
  <si>
    <t>тағы басқаларды есепке алу және тіркеу кітабы</t>
  </si>
  <si>
    <t>96 п. қатты түптеу, тор</t>
  </si>
  <si>
    <t>форматы C4 (229 х 324 мм)</t>
  </si>
  <si>
    <t>Евро формат, Е65 (110 х 220 мм)</t>
  </si>
  <si>
    <t>ернеуі жабысқақ, белгі үшін</t>
  </si>
  <si>
    <t>5 түсті стикерлер</t>
  </si>
  <si>
    <t>сыйлық үшін</t>
  </si>
  <si>
    <t>үздік қызметкерлерге ескерткіш сыйлықтар</t>
  </si>
  <si>
    <t>Есептеу техникасына техникалық қызмет көрсету жөндеу қызметтері</t>
  </si>
  <si>
    <t>компьютер жабдықтарын жөндеу қызметтері</t>
  </si>
  <si>
    <t>Принтердің құрастырма бөліктерін ауыстыру бойынша көрсетілетін қызметтер</t>
  </si>
  <si>
    <t>Картридждерді және басқада принтер жасақтарын ауыстыру қызметтері</t>
  </si>
  <si>
    <t xml:space="preserve"> оргтехниканы жөндеу қызметтері, картридждерді ауыстыру</t>
  </si>
  <si>
    <t xml:space="preserve">Кеңсе машиналары мен жабдықтарына техникалық қызмет көрсетужәне оларды жөндеу қызметін көрсету </t>
  </si>
  <si>
    <t>Gamatronic 20 кВа және 100 кВа үздіксіз қамтамасыз ету жүйесіне техникалық қолдау көрсету</t>
  </si>
  <si>
    <t>Прецизиондық кондиционерлерге жөндеу және оларға техникалық қызмет көрсету</t>
  </si>
  <si>
    <t xml:space="preserve">Өнеркәсіптік және жартылай өнеркәсіптік кондиционерлерге техникалық қызмет көрсету </t>
  </si>
  <si>
    <t xml:space="preserve">Ақпараттық жүйені пайдаланғаны үшін консультациялық қызмет көрсету </t>
  </si>
  <si>
    <t xml:space="preserve">Ақпараттық жүйені тиісті деңгейде пайдаланғаны үшін консультациялық қызмет көрсету </t>
  </si>
  <si>
    <t>Terrasoft XRM техникалық қолдау көрсету</t>
  </si>
  <si>
    <t>АТС қызмет көрсету</t>
  </si>
  <si>
    <t>Автоматты телефон стансаларына техникалық қызмет көрсету және жөндеу жұмыстары бойынша қызмет көрсету</t>
  </si>
  <si>
    <t xml:space="preserve"> IP АТС,оған қоса Call-орталығына техникалық қолдау көрсету</t>
  </si>
  <si>
    <t>Желілік жабдықтарды жөндеу және оларға қызмет көрсету</t>
  </si>
  <si>
    <t xml:space="preserve"> Cisco smartnet 8x5xnbd желілік жабдыққа техникалық қолдау көрсету</t>
  </si>
  <si>
    <t>Құрылымдалған кабель жүйелерін жобалау және әзірлеу бойынша қызмет көрсету</t>
  </si>
  <si>
    <t xml:space="preserve"> компьютерлік, телефон, мультимедиялық және  сандық және  аналогты басқару жүйесінің ақпаратын, бейне деректерді беруге арналған Кеңсенің немесе ғимараттың әмбебап көпфункционалды желілер масштабын жобалау және әзірлеу қызметтері  </t>
  </si>
  <si>
    <t xml:space="preserve"> желі жабдығын икемдеу бойынша қызметтер, желіні оңтайландыру, бастарту төзімділігін арттыру </t>
  </si>
  <si>
    <t>Бағдарламалық қамтамасыз етуді қолдану бойынша консультациялық қызмет</t>
  </si>
  <si>
    <t>«1С:Предприятие» ақпараттық-технологиялық құамтамасыз ету</t>
  </si>
  <si>
    <t>Электронды кезек жүйесін жөндеу және оған техникалық қызмет көрсету</t>
  </si>
  <si>
    <t xml:space="preserve"> электронды кезек жүйесіне қызмет көрсету</t>
  </si>
  <si>
    <t xml:space="preserve">  Жүйелік бағдарламалық қамьтамасыз етуді пайдалану құқығына лицензия беру бойынша көрсетілетін қызметтер</t>
  </si>
  <si>
    <t xml:space="preserve"> Аталмыш бағдарламалық қамтамасыздықты ЭВМ лицензиатында пайдалануға құқық беретін компьютерлік бағдарламалық қамтамасыз ету жүйесін пайдалану құқығына лицензия беру бойынша көрсетілетін қызметтер.Осы ретте лицензиат қандай да бір авторлық немесе мүліктік құқыққа ие болмайды</t>
  </si>
  <si>
    <t xml:space="preserve"> Enterprise Agreement Microsoft CoreCAL (CoreCAL ALNG LicSAPk MVL DvcCAL), оған қоса Software Assurance бағдарламасы бойынша бағдарламалық қамтамасыз етуді жалдау</t>
  </si>
  <si>
    <t xml:space="preserve"> Enterprise Agreement Microsoft SQL Server Standard (SQLSvrStdCore ALNG LicSAPk MVL 2Lic CoreLic), оған қоса Software Assurance бағдарламасы бойынша қосымша бағдарламалық өнімдерді жалдау</t>
  </si>
  <si>
    <t>Enterprise Agreement Microsoft System Center (SysCtrStd ALNG LicSAPk MVL 2Proc), оған қоса Software Assurance бағдарламасы бойынша қосымша өнімдерді жалдау</t>
  </si>
  <si>
    <t>Enterprise Agreement Microsoft Windows Remote Desktop (WinRmtDsktpSrvcsCAL ALNG LicSAPk MVL DvcCAL), оған қоса Software Assurance бағдарламасы бойынша қосымша бағдарламалық өнімдерді жалдау</t>
  </si>
  <si>
    <t>Дизель-генераторларға техникалық қызмет көрсету</t>
  </si>
  <si>
    <t>Бас кеңсенің ДГБ қызмет көрсету</t>
  </si>
  <si>
    <t>Өрт дабылдамасына техникалық қызмет көрсету</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</si>
  <si>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</si>
  <si>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Өрт дабылдамасына қызмет көрсету</t>
  </si>
  <si>
    <t>Күзет дабылдамасына техникалық қызмет көрсету</t>
  </si>
  <si>
    <t>Күзет дабылдамасына қызмет көрсету</t>
  </si>
  <si>
    <t>Бейнебақылау жүйесіне техникалық қызмет көрсету</t>
  </si>
  <si>
    <t>Бейнебақылау жүйесіне қызмет көрсету</t>
  </si>
  <si>
    <t>Қолжеткізуді бақылау жүйесіне қызмет көрсету</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</si>
  <si>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</si>
  <si>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</si>
  <si>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ақпарат қауіпсіздігін қамтамасыз ету бойынша көрсетілетін қызметтер</t>
  </si>
  <si>
    <t xml:space="preserve">ақпарат қауіпсіздігін қамтамасыз ету </t>
  </si>
  <si>
    <t>ақпарат қауіпсіздігі бойынша бағдарламалық қамтамасыз етуге қызмет көрсету</t>
  </si>
  <si>
    <t>Лифті жөндеу және оған техн.қызмет көрсету</t>
  </si>
  <si>
    <t>Шлагбаумды жөндеу</t>
  </si>
  <si>
    <t>Вентиляция және кондиционерлеу жүйесіне техникалық қызмет көрсету</t>
  </si>
  <si>
    <t>тұрмыстық кондиционерлерге техн. қызмет көрсету және оларды жөндеу</t>
  </si>
  <si>
    <t>Мастер шақыру, қондырғысын жөндеу, кодты ауыстыру, орнату және жауып тастау, құлыпқа арнайы кілт дайындау, профилактика, ашу</t>
  </si>
  <si>
    <t xml:space="preserve"> автомобильдердің мотор бөлігін және жеңіл автокөлік құралдарына диагностика</t>
  </si>
  <si>
    <t xml:space="preserve"> жеңіл автомашиналарды жөндеу және оларға қызмет көрсету</t>
  </si>
  <si>
    <t xml:space="preserve"> жол көлік құралдарын техникалық бақылау (қарап шығу) қызметтері</t>
  </si>
  <si>
    <t>Металл емес жабулармен жабу бойынша көрсетілетін қызметтер</t>
  </si>
  <si>
    <t>Пластмассалық жабуларды жабу, эмаль, лак жағу</t>
  </si>
  <si>
    <t>Тұрақты белгілеу</t>
  </si>
  <si>
    <t>фирмалық бланкілер дайындау</t>
  </si>
  <si>
    <t>түптеу қызметері</t>
  </si>
  <si>
    <t>визиткалар дайындау</t>
  </si>
  <si>
    <t>есік маңдайшаларын дайындау</t>
  </si>
  <si>
    <t>мөртабан, мөр, факсимеле дайындау</t>
  </si>
  <si>
    <t>Типографиялық қызметтер</t>
  </si>
  <si>
    <t>Визит карталарын дайындау мен баспадан шығару қызметтері</t>
  </si>
  <si>
    <t>Релефті штаптар мен мөрлерге пластина және клише дайындау  қызметтері</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</si>
  <si>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</si>
  <si>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</si>
  <si>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Жалпы мазмұндық хабарландыруларды бұқараттық ақпарат құралдарына орналастыру қызметтері</t>
  </si>
  <si>
    <t>Сатып алу хабарландыруларын  бұқараттық ақпарат құралдарына орналастыру қызметтері</t>
  </si>
  <si>
    <t>Қызметкерлердің біліктіліктілігін арттыруға бағытталған шығындар</t>
  </si>
  <si>
    <t>Жүргізушісі бар жеңіл автомобиль жалдау қызметі</t>
  </si>
  <si>
    <t>Жүргізушісі бар жеңіл автомобиль жалдау</t>
  </si>
  <si>
    <t>БК үшін автомашина жалдау</t>
  </si>
  <si>
    <t>қызметкерлерді сауықтыруға бағытталған қызметтер</t>
  </si>
  <si>
    <t>Спорт және спортпен сауықтандыру саласындағы басқа да іс-шаралық қызметтер</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</si>
  <si>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</si>
  <si>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Ғимаратты комплексті жинау қызметтері</t>
  </si>
  <si>
    <t>Көшірме қызметі</t>
  </si>
  <si>
    <t>Тексттерді көбейту және көшіру қызметтері</t>
  </si>
  <si>
    <t>Өзге халықаралық топтарға кірістірілмеген өзге де жүктерді тасымалдау бойынша теміржол көлігінің қызметтері</t>
  </si>
  <si>
    <t>Өзге топтарға кірістірілмеген жүктерді темір жол арқылы халықаралық тасымалдаулар</t>
  </si>
  <si>
    <t>Жүктерді өңірлерге теміржолмен,әуе көлігімен және автомобиль көлігімен жеткізу бойынша қызметтер</t>
  </si>
  <si>
    <t>Нормативтік құжаттарды актуализациялау қызметтері</t>
  </si>
  <si>
    <t>Нормативтік құжаттарды актуалды жағдайға жеткізу қызметтері</t>
  </si>
  <si>
    <t>ТЖҚ БНА анықтамасын акуализациялау қызметтерінің құны</t>
  </si>
  <si>
    <t>Қазақстан Даму банкінің банктік сараптама өткізу бойынша қызметтері</t>
  </si>
  <si>
    <t xml:space="preserve">банк инвестициясымен байланысты қосымша өзге де қызметтер  </t>
  </si>
  <si>
    <t>құнды қағаз ұстаушылардың тізілімін жүргізу бойынша қызметтер</t>
  </si>
  <si>
    <t>64.19.14.50.30.00.00</t>
  </si>
  <si>
    <t>Услуги по ведению системы реестров держателей ценных бумаг</t>
  </si>
  <si>
    <t>Құнды қағаз ұстаушылардың тізілімін жүйелі жүргізу бойынша қызметтер</t>
  </si>
  <si>
    <t>Эстетикалық рәсімдеу қызметтері</t>
  </si>
  <si>
    <t>Ғимарат пен құрылысты мерекелік ресімдеу</t>
  </si>
  <si>
    <t>Ғимаратты мерекелік іс-шараларға  ресімдеу</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</si>
  <si>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</si>
  <si>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</si>
  <si>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Жай ішін дератизациялау және дезинсекциялау қызметтері</t>
  </si>
  <si>
    <t>басып шығару қызметтері</t>
  </si>
  <si>
    <t>әртүрлі есептерді басу қызметтері</t>
  </si>
  <si>
    <t>жылдық есептің дизайнын, оның аударылуын, терілуін және дайындалуын әзірлеу бойынша қызметтер</t>
  </si>
  <si>
    <t>полиграфиямен байланысты өзге де қызметтер</t>
  </si>
  <si>
    <t>күнтізбе және өзге кеңсе баспа өнімдерін, оның ішінде имидждік өнімдерді әзірлеу, дайындау, теру және басуға дайындау бойынша қызметтер</t>
  </si>
  <si>
    <t xml:space="preserve"> брендтелген фирмалық корпоративтік өнімді дайындау қызметтері</t>
  </si>
  <si>
    <t xml:space="preserve"> оргтехника қоқыстарын шығарып тастау қызметі</t>
  </si>
  <si>
    <t>пайдаланылған оргтехниканы және оның жасақтарын жинау, пайдалану, орналастыру немесе жойып жіберу операцияларын орындау</t>
  </si>
  <si>
    <t>есептен шығарылған мүлікті кәдеге жарату қызметтері</t>
  </si>
  <si>
    <t>Банер дайындау мен баспадан шығару қызметтері</t>
  </si>
  <si>
    <t>Банер дайындау қызметтері</t>
  </si>
  <si>
    <t>бас кеңсе ғимаратын қорғау қызметі</t>
  </si>
  <si>
    <t xml:space="preserve">Корпоративтік іс-шаралар </t>
  </si>
  <si>
    <t xml:space="preserve"> Интернетке қолжеткізу бойынша қызметтер</t>
  </si>
  <si>
    <t>жеткізгіштер желілері бойынша Интернетке қолжеткізуге бағытталған қызметтер</t>
  </si>
  <si>
    <t>Интернет желісіне жылдамдығы 32 Мбит/ Unlimited-пен  қолжеткізу- бас кеңсе</t>
  </si>
  <si>
    <t>Интернет желісіне жылдамдығы 8Мбит/ Unlimited-пен  қолжеткізу- бас кеңсе</t>
  </si>
  <si>
    <t>Интернет желісіне жылдамдығы  2Мбит/ Unlimited-пен  қолжеткізу- аймақтық филиалдар</t>
  </si>
  <si>
    <t>телекоммуникациялық жеткізушілер желілерін ұсыну бойынша жеке желілер қызметтері</t>
  </si>
  <si>
    <t>телекоммуникациялық жеткізушілер желілерін ұсыну бойынша жеке желілер қызметтері, жергілікті және тіке желіні жалдау</t>
  </si>
  <si>
    <t>IP VPN шлюздің өткізу мүмкіндігімен 8 Мбит/с қолжеткішу қызметі - бас кеңсе</t>
  </si>
  <si>
    <t>IP VPN шлюздің өткізу мүмкіндігімен 512 Кбит/с қолжеткішу қызметі -аймақтық филиалдар</t>
  </si>
  <si>
    <t>телефон байланысы қызметтері</t>
  </si>
  <si>
    <t>белгіленген жергілікті, халықаралық, қалааралық телефон байланыс қызметте рі  - қолжеткізу және пайдалану</t>
  </si>
  <si>
    <t>Business Trunk үшін абоненттік төлем- бас кеңсе</t>
  </si>
  <si>
    <t>Business Trunk үшін абоненттік төлем- аймақтық филиалдар</t>
  </si>
  <si>
    <t>ақпараттық мониторинг қызметтері</t>
  </si>
  <si>
    <t xml:space="preserve"> IP VPN кеңейтілген мониторинг желісінің қызметіне қолжеткізу</t>
  </si>
  <si>
    <t>техникалық консультация беру қызметтері</t>
  </si>
  <si>
    <t>жобаларды іске асыру бойынша технологиялық шешімдерді бағалау (алайда шектелмейді) , жан-жақты талдау және ұсыныс әзірлеу кіретін қызметтер</t>
  </si>
  <si>
    <t>персоналдандырылған техникалық қолдау қызметін пайдаланғаны үшін абоненттік төлем</t>
  </si>
  <si>
    <t xml:space="preserve"> телефон (бас кеңсенің сондай желілері) үшін абонтөлем</t>
  </si>
  <si>
    <t xml:space="preserve"> Toll Free зияткерлік нөміп үшін абонплата</t>
  </si>
  <si>
    <t>Жаңаөзен қ. IP VPN арна үшін абоненттік төлем</t>
  </si>
  <si>
    <t>домендік ат ұсыну қызметі</t>
  </si>
  <si>
    <t>домендік ат ұсыну және оны пайдалануды ұзарту қызметі</t>
  </si>
  <si>
    <t>домен аттарын қолдау</t>
  </si>
  <si>
    <t>Интернет желісінде (хостинг) үнемі тұратын ақпаратты серверге орналастыру үшін есептеу қуаттылығын ұсыну қызметтері</t>
  </si>
  <si>
    <t>хостинг қызметтері</t>
  </si>
  <si>
    <t>Арнайы байланыс қызметтері</t>
  </si>
  <si>
    <t>Кабельді теледидар қызметтері</t>
  </si>
  <si>
    <t>Телебағдарламаларды тарату қызметтері</t>
  </si>
  <si>
    <t>Ақпараттық телебағдарламаларды тікелей эфирде тарату қызметтері</t>
  </si>
  <si>
    <t>сумен қамтамасыз ету және канализацияны пайдалану қызметі</t>
  </si>
  <si>
    <t xml:space="preserve">Орталық жүйені пайдалана отырып суық сумен қамтамасыз ету </t>
  </si>
  <si>
    <t xml:space="preserve">Орталық жүйені пайдалана отырып суық суды беру, тарату қызметтері </t>
  </si>
  <si>
    <t>мерзімдік өзге басылымдарға жазылу қызметі</t>
  </si>
  <si>
    <t>"Head Hunter" сайтына жазылу</t>
  </si>
  <si>
    <t>Мерзімдік өзге басылымдарға жазылу қызметі</t>
  </si>
  <si>
    <t>ПАРАГРАФ (ЮРИСТ) ақпараттық жүйе</t>
  </si>
  <si>
    <t>Арнайы әдебиет сатып алу</t>
  </si>
  <si>
    <t>Нарықты оқып үйрену бойынша қызметтер: нақты жағдайлар үшін сандық шолулар</t>
  </si>
  <si>
    <t xml:space="preserve"> Еңбек ақыға шолу жасау</t>
  </si>
  <si>
    <t>Менеджемент жүйесін сертификаттау бойынша қызметтер</t>
  </si>
  <si>
    <t>Өзге топтарға кірістірілмеген тағы басқалар</t>
  </si>
  <si>
    <t>Сапа менеджменті жүйесін енгізу бойынша қызметтер</t>
  </si>
  <si>
    <t>Повышение квалификации на курсах по управлению персоналом</t>
  </si>
  <si>
    <t>Персоналды басқару курстарында біліктілікті арттыру бойынша қызметтер</t>
  </si>
  <si>
    <t xml:space="preserve">Персоналды басқару курстарында біліктілікті арттыру </t>
  </si>
  <si>
    <t>компанияның құрылымдық бөлімшелерінің қызметін немесе жалпы компанияны бағалау бойынша консультациялық қызметтер кешені</t>
  </si>
  <si>
    <t xml:space="preserve">16 өңірлік филиалдарға мамандандырылған бағалау жүйесі арқылы командалық аудит жүргізу (Томас жүйесі) </t>
  </si>
  <si>
    <t>қарыз алушылардың кредит тарихы туралы есеп ұсыну бойынша қызметтер</t>
  </si>
  <si>
    <t>Кредит бюросының қызметтері</t>
  </si>
  <si>
    <t>Қызметті бағалау бойынша консультациялық қызмет</t>
  </si>
  <si>
    <t>Қарыз алушылардың кредит тарихы туралы есеп ұсыну бойынша қызметтер</t>
  </si>
  <si>
    <t>зейнеткерлік жарналар жүйесі бойынша ақпарат беру бойынша қызметтер</t>
  </si>
  <si>
    <t>ЗТМО-дан көшірме үзінді алу жөніндегі Кредит бюросының қызметтері</t>
  </si>
  <si>
    <t>Өзге дереккөздерден ақпараттық қызметтер алу</t>
  </si>
  <si>
    <t>Аудиторлық қызметтер</t>
  </si>
  <si>
    <t>Брокерлік қызметтер және құнды қағаздарды атаулы ұстау</t>
  </si>
  <si>
    <t>Салық аудиті</t>
  </si>
  <si>
    <t>69.20.10.10.00.00.00</t>
  </si>
  <si>
    <t>Услуги по проведению ревизий финансовых</t>
  </si>
  <si>
    <t>Услуги по проведению ревизий финансовых (аудита)</t>
  </si>
  <si>
    <t>Қаржылық ревизия жүргізу қызметтері</t>
  </si>
  <si>
    <t>Қаржылық ревизия жүргізу қызметтері (аудит)</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</si>
  <si>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</si>
  <si>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</si>
  <si>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</si>
  <si>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Салық салу саласындағы аудит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</si>
  <si>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</si>
  <si>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66.12.11.00.00.00.01</t>
  </si>
  <si>
    <t>Услуги по брокерским операциям с ценными бумагами</t>
  </si>
  <si>
    <t>Услуги по брокерским операциям с ценными бумагами, осуществляемые за собственный счет</t>
  </si>
  <si>
    <t>Бағалы қағаздармен опрациялар жүргізудегі брокерлік қызметтер</t>
  </si>
  <si>
    <t>қызметкерлерді медициналық ерікті сақтандыру</t>
  </si>
  <si>
    <t xml:space="preserve">Қызметкерлер және оның жануя мүшелерін аурудан медициналық сақтандыру </t>
  </si>
  <si>
    <t>Аурудан сақтандыру қызметтері</t>
  </si>
  <si>
    <t>Қордың әкімшілік ғимаратын сақтандыру</t>
  </si>
  <si>
    <t>Мүлікті  сақтандыру бойынша қызметтер</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</si>
  <si>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</si>
  <si>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Қор  автомашиналарын орталықтандырылған ерікті сақтандыру</t>
  </si>
  <si>
    <t>Автокөлікті ерікті  сақтандыру бойынша қызметтер</t>
  </si>
  <si>
    <t>Мүлікті бағалау қызметі</t>
  </si>
  <si>
    <t>Мүлікті бағалау бойынша кешенді қызметтер</t>
  </si>
  <si>
    <t>Бағалау бойынша көрсетілетін қызметтер</t>
  </si>
  <si>
    <t>аударма қызметі</t>
  </si>
  <si>
    <t>Бір тілден екінші тілге жазбаша аудару қызметі</t>
  </si>
  <si>
    <t>Бір тілден екінші тілге жазбаша аудару</t>
  </si>
  <si>
    <t>Аударма қызметі</t>
  </si>
  <si>
    <t>Маркетингтік қызметтер</t>
  </si>
  <si>
    <t xml:space="preserve">Өндіріс, тауар, жұмыс, қызметтер айналымы саласындағы зерттеумен, жоспарлаумен және болжамдаумен байланысты қызметтер </t>
  </si>
  <si>
    <t>Шағын және орта кәсіпкерлік субъектілерінің даму ахуалын маркетингтік зерттеулер қызметі</t>
  </si>
  <si>
    <t>Мемлекеттік қолдау шараларын БАҚ толықтай жариялау</t>
  </si>
  <si>
    <t>18.12.12.10.00.00.00</t>
  </si>
  <si>
    <t>Жарнамалық каталогтар, проспекттер, постерлер және басқа да жарнамалық өнімдерді жасаудағы баспалық қызметтері</t>
  </si>
  <si>
    <t xml:space="preserve"> ақпараттық-талдамалық матриалдар кешенін дайындау (пресс-кит)</t>
  </si>
  <si>
    <t>Бұқаралық ақпарат құралдары арқылы жаңалықтар, фотосуреттер, видео және басқа да аудиовизуалды ақпараттық агенттік қызметтері</t>
  </si>
  <si>
    <t>Бұқаралық ақпарат құралдары арқылы аудиовизуалды қызмет көрсететін ақпараттық агенттік қызметтері</t>
  </si>
  <si>
    <t>Басқа топтамаларда көрсетілмеген фотосурет саласындағы қызметтер</t>
  </si>
  <si>
    <t>аймақтық және республикалық БАҚ инфографиканы (ұлбалар мен суреттердің) дайындау және орналастыру</t>
  </si>
  <si>
    <t>кәсіпкерлерге мемлекеттік қолдау ұсыну шарттарын түсіндіру үшін, Call-орталығының- Оператордың қызметін ұйымдастыру</t>
  </si>
  <si>
    <t>Телефон анықтамалық орталықтарының қызметтері</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</si>
  <si>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</si>
  <si>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ШОБ  секторы бойынша үнемі берілетін есептерді , оған қоса Қазақстандағы және оның өңірлеріндегі ШОБ даму ахуалы туралы жылсайынғы есепті әзірлеу</t>
  </si>
  <si>
    <t>Басып шығару қызметтері</t>
  </si>
  <si>
    <t>Әртүрлі есептерді басу қызметтері</t>
  </si>
  <si>
    <t xml:space="preserve"> Ақпараттық-насихат материалдарын бұқаралық ақпарат құралдарына орналастыру бойынша қызметтер</t>
  </si>
  <si>
    <t>Услуги по размещению информационно-агитационных материалов в средствах массовой информации</t>
  </si>
  <si>
    <t>Телебағдарламаларды дайындау қызметтері</t>
  </si>
  <si>
    <t>Магниттық лентаға немесе басқа да техникалық тасмалдағыштар арқылы ақпараттық телебағдарламаларды дайындау және тарату</t>
  </si>
  <si>
    <t>Конкурстарды өткізу қызметтері</t>
  </si>
  <si>
    <t>Конкурстарды қосалқы қызметтері мен ұйымдастыр және өткізу</t>
  </si>
  <si>
    <t>Полиграфиямен байланысты өзге де қызметтері</t>
  </si>
  <si>
    <t>Басқа да телебағдарламаларды дайындау қызметтері</t>
  </si>
  <si>
    <t>Форум өткізу қызметтері</t>
  </si>
  <si>
    <t>Форум ұйымдастыру бойынша қызметтер кешені (мамандарды шақыра отырып, форум өткізу, оқыту, тренингтер, іскерлік ойындар, семинарлар өткізу)</t>
  </si>
  <si>
    <t>«Іскерлік байланыстар» жобасы бойынша оқу бағдарламасын әзірлеу</t>
  </si>
  <si>
    <t>Интернет сайттарын өңдеу қызметтері</t>
  </si>
  <si>
    <t>Сайттарды жасау, қолдау және жұмыс жағдайында ұстау қызметтері</t>
  </si>
  <si>
    <t xml:space="preserve">Әлеуметтік желілерде қоғамдар құру, форумдарды, интернет блогтарды, сайттарда кәсіпкерлікке байланысты каналдарды жүргізу  </t>
  </si>
  <si>
    <t>Мамандар мен  басшылардың менеджмен мәселелері бойынша біліктіліктерін арттыру қызметтері</t>
  </si>
  <si>
    <t>Мамандар мен  басшылардың менеджмен мәселелері бойынша біліктіліктерін арттыру</t>
  </si>
  <si>
    <t>Туристік агенттіктердің көліктерге алдын ала тапсырыс беру қызметтері</t>
  </si>
  <si>
    <t>Заңды және жеке тұлғалар үшін көліктерге алдын ала тапсырыс беру басқа  да қызметтері</t>
  </si>
  <si>
    <t>Шет ел оқытушы құрамы бойынша көлік шығындары</t>
  </si>
  <si>
    <t xml:space="preserve">оқу материалдарын дайындау </t>
  </si>
  <si>
    <t>Адресат тізбесін жасау және сол арқылы материалдарды жолдау</t>
  </si>
  <si>
    <t>Адресат тізбесін жасау және сол арқылы материалдарды жолдау қызметтері</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</si>
  <si>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</si>
  <si>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вэб-семинарлар өткізу, онлайн консультация, бағдарламаның интернет ресурсына қызмет көрсету</t>
  </si>
  <si>
    <t>тағылымдама үміткерлерінің сауалнамаларын жинау, ұсынылған сауалнамаларға алдын ала скрининг</t>
  </si>
  <si>
    <t>ҚР экономика саласындағы басшы жұмыскерлер мен менеджерлердің біліктілігін арттыру бағдарламасының қазақстан-германия басқару комитетінің кезекті отырысын ұйымдастыруға қатысу. Қазақстан-Германия басқарушылық комитетін өткізу</t>
  </si>
  <si>
    <t>Іс шараларға қатысу қызметтері</t>
  </si>
  <si>
    <t>Іс шараларға қатысу үшін төлем төлеу (көрме, конференция, бағдарламалар, форумдар, симпозиумдар және т.б) және басқа да осындай іс шаралармен байланысты шығындарды төлеу</t>
  </si>
  <si>
    <t>Ұшақ орындарына алдын ала тапсырыс беру қызметтері</t>
  </si>
  <si>
    <t xml:space="preserve">Жеке тұлғалар мен заңды тұлғалар үшін ұшақ орындарына алдын ала тапсырыс беру қызметтері </t>
  </si>
  <si>
    <t>Конференция ұйымдастыру қызметтері</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</si>
  <si>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</si>
  <si>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Ақпараттық мониторинг қызметтері</t>
  </si>
  <si>
    <t>«Іскерлік байланыстар» жобасының іске асырылуына мониторинг өткізу</t>
  </si>
  <si>
    <t xml:space="preserve"> Атқарушы өкілінің Германиядағы Серіктестік конференциясына қатысуы</t>
  </si>
  <si>
    <t>Бейтарап сарапшылардың қызметі</t>
  </si>
  <si>
    <t>Әр түрлі ұйымдардан шақырылатын бейтарап сарапшылардың қызметі</t>
  </si>
  <si>
    <t>Сайттарды ақпараттық қамсыздандыру қызметтері</t>
  </si>
  <si>
    <t>Сайт тексттеріне өзгерістер, толықтырулар, графикалық элементтер енгізу қызметтері</t>
  </si>
  <si>
    <t>сайтты мемлекеттік тілде контент-қолдау (екі м аманға есептеп)</t>
  </si>
  <si>
    <t>сайтты орыс тілінде контент-қолдау (екі маманға есептеп)</t>
  </si>
  <si>
    <t>Сайтты жұмыс істей алатын жағдайда техникалық жағынан қолдау, оның функционалдық мүмкіндіктерін жақсарту бойынша қызметтер</t>
  </si>
  <si>
    <t xml:space="preserve">Сайтты жұмыс істей алатын жағдайда техникалық жағынан қолдау </t>
  </si>
  <si>
    <t>сайтқа техникалық қолдау көрсету</t>
  </si>
  <si>
    <t>нормативтік құжаттардың деректер базасы</t>
  </si>
  <si>
    <t>кәсіпкерлер үшін бизнес-порталды жаңғырту</t>
  </si>
  <si>
    <t>кітап басып шығару қызметтері</t>
  </si>
  <si>
    <t>ҚР Статистика жөніндегі агенттіктің  деректер қорын Қордың ГАЖ экспорттау бойынша қызметтер</t>
  </si>
  <si>
    <t>франчайзинг бойынша ақпараттық-әдістемелік сипаттағы брошураларды әзірлеу және тираждау</t>
  </si>
  <si>
    <t xml:space="preserve">франчайзинг нарығын зерделеу және талдау бойынша қызметтер </t>
  </si>
  <si>
    <t>Тауар жеткізу, қымет атқару, жұмыстарды атқару нарығын талдау</t>
  </si>
  <si>
    <t>Нарықты оқып үйрену және талдау қызметтері</t>
  </si>
  <si>
    <t>ЖКМ жарнамалық материалдарын әзірлеу және тираждау бойынша қызметтер</t>
  </si>
  <si>
    <t>"Бизнес-Кеңесші-2" жобасы аясында "Оқытушыларды оқыту" мастер-класс ұйымдастыру және өткізу бойынша қызметтер</t>
  </si>
  <si>
    <t>брошураларды, құжаттама журналдары мен сол сияқты өнімдер басып шығару бойынша қызметтер</t>
  </si>
  <si>
    <t>таратпа материалдарды дайындау бойынша қызметтер</t>
  </si>
  <si>
    <t xml:space="preserve">өңірлердің басымдықты салаларында қолданбалы маркетингтік зерттеулер қызметтері </t>
  </si>
  <si>
    <t>Үлгі  бизнез-жоспарлар әзірлеу</t>
  </si>
  <si>
    <t>Коммерциялық және кәсіпкерлік ұйымдардың қызметтері</t>
  </si>
  <si>
    <t>Сыртқы жарнаманы орналастыру бойынша қызметтер</t>
  </si>
  <si>
    <t>плакаттарға</t>
  </si>
  <si>
    <t>"Бизнес-Кеңесші" бағдарламасы бойынша жарнамалық плакаттар дайындау бойынша қызметтер</t>
  </si>
  <si>
    <t>Орыс тілінен қазақ тіліне аудару қызметтері</t>
  </si>
  <si>
    <t>орыс тілінен қазақ тіліне жазбаша аударма</t>
  </si>
  <si>
    <t xml:space="preserve">тәуелсіз сарапшылардың Қордың Бизнес-Кеңесші жобасы бойынша жылдық есебіне қорытынды әзірлеу бойынша қызметері </t>
  </si>
  <si>
    <t>"Бизнес-Кеңесші" жобасының тиімділігіне талдау жүргізу</t>
  </si>
  <si>
    <t>телеарналарда бейнесюжеттер дайындау және көрсету қызметтері</t>
  </si>
  <si>
    <t xml:space="preserve"> «Бизнес-Кеңесші-2» жобасы бойынша жарнамалық бейнеролик жасау</t>
  </si>
  <si>
    <t>плакаттарда</t>
  </si>
  <si>
    <t>Форум ұйымдастыру бойынша қызметтер</t>
  </si>
  <si>
    <t>Форум ұйымдастыру бойынша кешенді қызметтер ( мамандарды шақырып форум өткізу, тренингтер, іскерлік ойындар, семинарлар өткізу)</t>
  </si>
  <si>
    <t>шағын қалалардағы Кәсіпкерлікті қолдау орталықтары үшін таратпа материалдардың дизайнын жасау және басып шығару қызметтері</t>
  </si>
  <si>
    <t>Жүргізушісімен бірге жеіңл автокөлікті жалға алу қызметтері</t>
  </si>
  <si>
    <t>Жеіңл автокөлікті жалға беру жүргізуші қызметімен бірге</t>
  </si>
  <si>
    <t>Астана қ. Автокөлік жалдау</t>
  </si>
  <si>
    <t>710000000</t>
  </si>
  <si>
    <t>231000000</t>
  </si>
  <si>
    <t>271000000</t>
  </si>
  <si>
    <t>391600000</t>
  </si>
  <si>
    <t>392400000</t>
  </si>
  <si>
    <t>751710000</t>
  </si>
  <si>
    <t>515420100</t>
  </si>
  <si>
    <t>511000000</t>
  </si>
  <si>
    <t>111000000</t>
  </si>
  <si>
    <t>Заңды тұлғалардың мүлкін қорғау бойынша күзетшілер қызметтері</t>
  </si>
  <si>
    <t>кепілзат мүлкін қорғау қызметі</t>
  </si>
  <si>
    <t>КҚМО автобусын жуу, әрлеу және т.с.с. Қызметтер</t>
  </si>
  <si>
    <t>Машиналарды жуу, әрлеу және т.с.с. Кызметтер</t>
  </si>
  <si>
    <t>Автомашиналарды жуу бойынша қызметтер</t>
  </si>
  <si>
    <t xml:space="preserve"> Кызметтік машиналарды жуу қызметі</t>
  </si>
  <si>
    <t>Нысандарға кешенді қызмет көрсету</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</si>
  <si>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</si>
  <si>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Ғимаратқа қызмет көрсету (қора тазалаушының , ағаш ұстасының, электриктің қызметтері)</t>
  </si>
  <si>
    <t>Форум ұйымдастыру қызметі</t>
  </si>
  <si>
    <t>Пресс-тур ұйымдастыру қызметі</t>
  </si>
  <si>
    <t>Шыға отырып қызмет көрсету (кейтеринг)</t>
  </si>
  <si>
    <t>Кофе-брейк ұйымдастыру бойынша қызметтер</t>
  </si>
  <si>
    <t>Организация и проведение кофе-брейков</t>
  </si>
  <si>
    <t>Қосымша ағартушылық қызметтер</t>
  </si>
  <si>
    <t>Лекторлар іріктеу қызметі және оларды "Бизнес- Кеңесші" бағдарламсының іске асырылуына қатысуын қамтамасыз ету</t>
  </si>
  <si>
    <t>Лекторлар іріктеу қызметі және оларды "Бизнес- Кеңесші 2" бағдарламсының іске асырылуына қатысуын қамтамасыз ету қызметтері</t>
  </si>
  <si>
    <t>Сыйақы үшін немесе шарт негізінде ұсынылатын жылжымайтын мүлікті бағалау/сараптау бойынша қызметтер</t>
  </si>
  <si>
    <t>Кепілзат мүлкін бағалау қызметі</t>
  </si>
  <si>
    <t>Әкімшілік кеңсесінің кешенді қызметтері</t>
  </si>
  <si>
    <t xml:space="preserve">Шарт негізінде немесе үнемі төлеп отыру негізінде әкімшілік кеңсе қызметтерінің күнделікті кешенді қызметтері (хат-хабарларды алу, қаржылық жоспарлау, төлемге шот ұсыну, услуги в отношении персонал мен постағы қызметтерге қатысты қызметтер) </t>
  </si>
  <si>
    <t>Ресепшн үшін персонал ұсыну қызметі</t>
  </si>
  <si>
    <t>Өзге топтарға кірістірілмеген ақпараттық қызметтер</t>
  </si>
  <si>
    <t>Ақпаратық қызмет өзге қызмет түрлері</t>
  </si>
  <si>
    <t>Анықтамалық, статистикалық, аналитикалық ақпарат беру және құжаттарды тіркеу қызметтері</t>
  </si>
  <si>
    <t>Автомобиль көліктері үшін қосымша өзге қызметтер</t>
  </si>
  <si>
    <t>Аймақтық филиалдың автокөлік жүргізушілерінің қызметтері</t>
  </si>
  <si>
    <t>КҚМО  автобусын жөндеу қызметі</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</si>
  <si>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</si>
  <si>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</si>
  <si>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Автокөлікке техникалық қызмет көрсету (май, сұйықтықты, тежеуіш қалыптарын, оталдыру білтесін, белдіктерді  ауыстыру)</t>
  </si>
  <si>
    <t>Жеңіл машиналарды жөндеу және оларға қызмет көрсету</t>
  </si>
  <si>
    <t>Кеңсе жабдықтарына техникалық қызмет көрсету және жөндеу жұмыстарын жүргізу</t>
  </si>
  <si>
    <t>Негізгі құралдар мен бейматериал активтерді жөндеу және оларға қызмет көрсету</t>
  </si>
  <si>
    <t>Кеңсе машиналары мен жабдықтарына техникалық қызмет көрсету және жөндеу жұмыстарын жүргізу</t>
  </si>
  <si>
    <t>КҚКО оргтехникасына техникалық қызмет көрсету</t>
  </si>
  <si>
    <t>Ғимаратты жалпы жиыстыру қызметі</t>
  </si>
  <si>
    <t>Ғимаратты жалпы жиыстыру</t>
  </si>
  <si>
    <t>Жайларды жалпы жиыстыру қызметі</t>
  </si>
  <si>
    <t>Телефон байланысы қызметі</t>
  </si>
  <si>
    <t>Белгіленген жергілікті, қалааралық, халықаралық телефон байланысы - қолжеткізу және пайдалану қызметтері</t>
  </si>
  <si>
    <t>Қордың проблемалы несие портфелі бойынша берешекті өндіріп алуға қызмет көрсету үшін өзге ұйымдардың қызметтері</t>
  </si>
  <si>
    <t>Төлемқабілетсіздікке және берешекті өндіріп алуға байланысты қызметтер</t>
  </si>
  <si>
    <t>КҚМО автобусы үшін тұрақ қызметі</t>
  </si>
  <si>
    <t>Автокөлік үшін тұрақтар қызметі</t>
  </si>
  <si>
    <t>Автокөліктер үшін тұрақ қызметі</t>
  </si>
  <si>
    <t>Файлдар</t>
  </si>
  <si>
    <t>Шам</t>
  </si>
  <si>
    <t>ГОСТ 4677-82,  тока көзі Б-с құрғақ электрохимикалық элементермен</t>
  </si>
  <si>
    <t>Сандық камера</t>
  </si>
  <si>
    <t>Ауыспалы оптикалы. Ұзақ өзшемді. Тиімді пикселдер:  22 млн -нан бастап, одан да көбірек.</t>
  </si>
  <si>
    <t>Құрылған оптикасымен бірге. Қолайлы. Тиімді пикселдер: 12 ден 14 млн.</t>
  </si>
  <si>
    <t>Айналық фотоаппарат</t>
  </si>
  <si>
    <t>Құрылған оптикасымен бірге. Қолайлы. Тиімді пикселдер: 14 ден 16 млн.</t>
  </si>
  <si>
    <t>Киім шкафы</t>
  </si>
  <si>
    <t>Құжаттарға арналған шкаф</t>
  </si>
  <si>
    <t>Құжаттарға арналған темір шкаф</t>
  </si>
  <si>
    <t>Бух. темір шкаф</t>
  </si>
  <si>
    <t>Құжаттарға арналған сөрелі шкаф</t>
  </si>
  <si>
    <t xml:space="preserve">Құжаттарға арналған әйнекті шкаф </t>
  </si>
  <si>
    <t>Темір шкаф</t>
  </si>
  <si>
    <t>Құжаттарға арналған  шкаф</t>
  </si>
  <si>
    <t>Папкаларға арналған шкаф</t>
  </si>
  <si>
    <t>Шкаф металлический, архивный</t>
  </si>
  <si>
    <t>Темір мұражайлық шкаф</t>
  </si>
  <si>
    <t>ЛДСПдан жасалған шкаф. Қаңқасы орталық сөресімен. Шкафтың жоғарғы жағында әйнекті есіктерімен. Жоғарғы жағында аспалы 2 сөресі бар</t>
  </si>
  <si>
    <t>Мұражайлық темір шкаф, құйылмалы конструкция, замок, сөрелері реттелмелі, полимермен қапталған, екі есікті</t>
  </si>
  <si>
    <t>Электроэнергияны сату бойынша агенттердің қызметтері, электр тарататын желілерден, басқа бірліктермен шығарылған</t>
  </si>
  <si>
    <t>Электрқуатын пайдалану, электрмен қамсыздандыру және ыстық сумен жіберу</t>
  </si>
  <si>
    <t>МКҚО автобустарына автошина</t>
  </si>
  <si>
    <t>Мөлшері:235/55R18.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18. Жазға арналған шина</t>
  </si>
  <si>
    <t>Жеңіл автокөлікке арналған автошина</t>
  </si>
  <si>
    <t>Қызметтік авто көлікке аккумулятор</t>
  </si>
  <si>
    <t>МКҚО автобусы үшін аккумулятор</t>
  </si>
  <si>
    <t>Аккумулятор</t>
  </si>
  <si>
    <t>ГОСТ 959-2002 марка 6СТ-120| кислотный, стартерный, напряжением 12 В, емкостью 120 А*час</t>
  </si>
  <si>
    <t>ГОСТ 959-2002 маркасы 6СТ-120| күкір қышқылды, стартерлі, қуаты 12 В, көлемі 120 А*сағат</t>
  </si>
  <si>
    <t>Бухгалтерлік темір шкаф, құйылмалы конструкция, болат, 2 алмалы сөрелерімен, құлып, полимермен қапталды</t>
  </si>
  <si>
    <t>Жұмыс үстелі</t>
  </si>
  <si>
    <t>Қызметкер креслосы</t>
  </si>
  <si>
    <t xml:space="preserve">Диван - Софа </t>
  </si>
  <si>
    <t>Үстел комп.-принт</t>
  </si>
  <si>
    <t>Мобильді тумба</t>
  </si>
  <si>
    <t>Кресло, натуральная кожа с деревянными подлокотниками</t>
  </si>
  <si>
    <t>Былғары кресло. Шынтақсүйегіші мен аяқтары ағаштан.</t>
  </si>
  <si>
    <t xml:space="preserve">Кресло, натуральная кожа </t>
  </si>
  <si>
    <t>Былғарыдан жасалға кресло</t>
  </si>
  <si>
    <t>Домалақ кресло</t>
  </si>
  <si>
    <t>Кресло круглое</t>
  </si>
  <si>
    <t>Қабылдау бөлмесіне үстел</t>
  </si>
  <si>
    <t>Директор кабинетіне диван</t>
  </si>
  <si>
    <t>КҚО кондиционерлер</t>
  </si>
  <si>
    <t>31.01.12.00.00.01.01.05.2</t>
  </si>
  <si>
    <t>Жиһаз гарнитуры</t>
  </si>
  <si>
    <t>Басшы жиһазы</t>
  </si>
  <si>
    <t>Консультации по экспортно-импортным операциям/ таможенному законодательству</t>
  </si>
  <si>
    <t>Экспорт-импорт операциялары/кеден заңнамалары бойынша кеңестер</t>
  </si>
  <si>
    <t>Журнал үстелі</t>
  </si>
  <si>
    <t>Проекциялық аппарат</t>
  </si>
  <si>
    <t>Проекционный аппарат</t>
  </si>
  <si>
    <t>мультимедиалы (сандық)</t>
  </si>
  <si>
    <t>Мультимедийный (цифровой)</t>
  </si>
  <si>
    <t>Мультимедиялы проектор</t>
  </si>
  <si>
    <t>Пакетті, кеңсе сериясынан</t>
  </si>
  <si>
    <t>Пакетный, офисной серии</t>
  </si>
  <si>
    <t>28.99.11.00.00.00.01.01.1</t>
  </si>
  <si>
    <t>Оборудование переплетное, включая брошюровочные машины</t>
  </si>
  <si>
    <t>Машины фальцевальные для обработки листов и тетрадей</t>
  </si>
  <si>
    <t>Түптеу құрылғысы, брошюрлау машиналарын қосқанда</t>
  </si>
  <si>
    <t>Парақтар мен дәптерлерді өңдеуге арналға бүктеу машинасы</t>
  </si>
  <si>
    <t>Түптеу машинасы</t>
  </si>
  <si>
    <t>Үстел приставкасымен (директор кабинетіне)</t>
  </si>
  <si>
    <t>Қызметкерлердің жұмыс үстелі</t>
  </si>
  <si>
    <t>Тумба выкатная</t>
  </si>
  <si>
    <t>Жылжымалы тумба</t>
  </si>
  <si>
    <t>Ашылмалы үстел</t>
  </si>
  <si>
    <t>Кеңсе үстелі</t>
  </si>
  <si>
    <t>Қызметкерлердің кеңсе креслосы</t>
  </si>
  <si>
    <t>Конфернц зал үшін кресло</t>
  </si>
  <si>
    <t>Кеңсе диваны келушілер үшін</t>
  </si>
  <si>
    <t>Едендік кондиционер</t>
  </si>
  <si>
    <t>Мұражайлық сөрелер</t>
  </si>
  <si>
    <t>Құжаттарға арналған сөрелер</t>
  </si>
  <si>
    <t>Стеллаж для документов</t>
  </si>
  <si>
    <t>үстел</t>
  </si>
  <si>
    <t>Бұрышты үстел. ДСП жасалынған. Жүйелік блокқа арналған жапсырма үстелімен және аспалы тумбасы бар. Габариттері (ені/ұзындығы) 1000/1600 мм. Қисық желілі жұмыс панелі. Столешницаның жуандығы 15-30мм, ПВХ 2-4 мм</t>
  </si>
  <si>
    <t>Қабылдау бөлмесіне арналған ресепшен</t>
  </si>
  <si>
    <t>Тумбалар</t>
  </si>
  <si>
    <t>Басшы креслосы</t>
  </si>
  <si>
    <t>Кеңсе креслосы</t>
  </si>
  <si>
    <t>Қызметерге арналған басқойғышы бар, арқасы пластикадан, матамен қапталған  кеңсе креслосы,бұрылуға болатын көтеретін механизмі бар. Шынтақсүйегіші пластикадан жасалынған</t>
  </si>
  <si>
    <t>Былғары алмастырғыштан жасалған кеңсе креслосы. Аяқтары және қол тірегіштері ағаштан. Бұрылуға болатын көтеретін механизмі бар</t>
  </si>
  <si>
    <t>Былғары алмастырғыштан жасалған кеңсе креслосы. Аяқтары қара темірден. Орындық қол сүйегіштерінсіз</t>
  </si>
  <si>
    <t xml:space="preserve"> Бейнекамера</t>
  </si>
  <si>
    <t>Бейнебақылау үшін. Монохромды. Сыртта қолдану үшін</t>
  </si>
  <si>
    <t>Отын дизел</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</si>
  <si>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</si>
  <si>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</si>
  <si>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МКҚО автобустарына дизель отыны</t>
  </si>
  <si>
    <t>Жууға арналған смеситель</t>
  </si>
  <si>
    <t>ВМП типтес-  үйінді сырлаушыстерімен қапталған, едендерді лакбояуы бар құраммен сырлауға арналған, ГОСТ 10831-87</t>
  </si>
  <si>
    <t>Қол ара</t>
  </si>
  <si>
    <t>Ағашқа арналған ара</t>
  </si>
  <si>
    <t>По дереву</t>
  </si>
  <si>
    <t>Шыны жіптерден</t>
  </si>
  <si>
    <t xml:space="preserve">Из стеклянных нитей </t>
  </si>
  <si>
    <t>Күрек</t>
  </si>
  <si>
    <t>Үшкір басты қазуға арналған күрек (найза ұшты)</t>
  </si>
  <si>
    <t>Үшкір басты қазуға арналған күрек (найза ұшты), Жинауға арналған күрек (күрекше)</t>
  </si>
  <si>
    <t>Канцелярлық - қаламша желім</t>
  </si>
  <si>
    <t>Маркерлі-магнитті тақта</t>
  </si>
  <si>
    <t>Тақта-флипчарт</t>
  </si>
  <si>
    <t>Қысқыш</t>
  </si>
  <si>
    <t>Құлып</t>
  </si>
  <si>
    <t>Бұранда 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</si>
  <si>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</si>
  <si>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Кіліттік (сувальды, беріктігі жоғары)</t>
  </si>
  <si>
    <t xml:space="preserve"> Кеңсе машиналары мен жабдықтарын жөндеу және техникалық қызмет көрсету</t>
  </si>
  <si>
    <t>Кондиционерлерді сұйықтықпен қамтамасыз ету</t>
  </si>
  <si>
    <t>KX-A228XJ(KX-TA228XJ)  - қуат көзіне қосу үшін</t>
  </si>
  <si>
    <t>Қатты-жұмсақ грифелімен қара қаламдар</t>
  </si>
  <si>
    <t>Этилцианакрилата негізінде жасалға барлық заттарды жапыстыруға фарфор, керамика, ағаш, былғары, резина, темір, пробка, картон, пластиктің көп тірін</t>
  </si>
  <si>
    <t>Желім ПВА</t>
  </si>
  <si>
    <t>маркасы ДФ 50/5Н, ГОСТ 18992-80</t>
  </si>
  <si>
    <t>Резинадан жасалған ковралан</t>
  </si>
  <si>
    <t>Конверттер (А4)</t>
  </si>
  <si>
    <t>Формат C5 (162 х 229 мм)</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</si>
  <si>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</si>
  <si>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</si>
  <si>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Мемлекттік органдар және екінші деңгейдегі банктермен арақатынастарына кеңестер</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</si>
  <si>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</si>
  <si>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</si>
  <si>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Қоғамның бағдарламалары бойынша кеңестер</t>
  </si>
  <si>
    <t xml:space="preserve"> IT технологиялар және мемлекеттік сатып алу бойынша кеңестер</t>
  </si>
  <si>
    <t>Бухгалтерлік есеп бойынша кеңес беру қызметтері</t>
  </si>
  <si>
    <t>Бухгалтерлік және салықтық есеп бойынша кеңес беру қызметтері</t>
  </si>
  <si>
    <t>Мемлекеттік сатып алу және сатып алу ұлттық компаниялар және кенөндірушілер жөнінде кеңестер</t>
  </si>
  <si>
    <t>Мемлекеттік және басқа да сатып алу сұрақтары бойынша кеңес беру</t>
  </si>
  <si>
    <t>Мемлекеттік сатып алу мен байланысты сұрақтар бойынша кеңес беру</t>
  </si>
  <si>
    <t>Рұқсатнамалық құжаттарын алуға байланысты сұрақтар бойынша кеңес беру</t>
  </si>
  <si>
    <t>ЕДБ қаржылану үшін құжаттарды дайындау барысын туындаған сұрақтар бойынша кеңестер және мемлекеттік сатып алу бойынша</t>
  </si>
  <si>
    <t>Архитектура саласы бойынша кеңестер</t>
  </si>
  <si>
    <t>Архитектура және азаматтық құрылыс саласында рұқсатнамалық процедуралары бойынша кеңестер</t>
  </si>
  <si>
    <t>Бояужаққышымен және араластырғышымен</t>
  </si>
  <si>
    <t>С кисточкой и разбавителем</t>
  </si>
  <si>
    <t>Сантехникалық кран</t>
  </si>
  <si>
    <t>Шамшырақ</t>
  </si>
  <si>
    <t>Люминесцентті лампа, цоколі G13, қуаттылығы 80 Ватт</t>
  </si>
  <si>
    <t>ГОСТ 17677-82, жарық көзі (лампа) Л - тік труба типтес люминисцентті</t>
  </si>
  <si>
    <t>Таспа</t>
  </si>
  <si>
    <t>ЛЭС 0,15*15 ГОСТ 5937-81.   Электроизоляциялық таспа шыны жіптерден маркасы ЛЭС қалыңдығы 0,15 мм, ені 15 мм.</t>
  </si>
  <si>
    <t>ЛЭС 0,15*30 ГОСТ 5937-81.  Электроизоляциялық таспа шыны жіптерден маркасы ЛЭС қалыңдығы 0,15 мм, ені 30 мм.</t>
  </si>
  <si>
    <t>Саты-баспалдақ</t>
  </si>
  <si>
    <t>Алюминнен жасалынған саты-баспалдақ</t>
  </si>
  <si>
    <t>Қар жинауға арналған күрек</t>
  </si>
  <si>
    <t>Жинауға арналған күрек (күрекше)</t>
  </si>
  <si>
    <t>Металургиялық күрек</t>
  </si>
  <si>
    <t>Пластикадан жасалынған перманентті маркер, ұшы доғалдау келген 1-5мм</t>
  </si>
  <si>
    <t>Пластикадан жасалынған перманентті (өшпейтін) маркер, ұшы доғалақ келген 1,5мм</t>
  </si>
  <si>
    <t xml:space="preserve">Маркер </t>
  </si>
  <si>
    <t>Пластиктен жасалған домалақ маркер, сызық ені 1,8 мм</t>
  </si>
  <si>
    <t>Тақта маркері</t>
  </si>
  <si>
    <t>Қалааралық, халықаралық ұялы келіссөздер</t>
  </si>
  <si>
    <t>Халықаралық телефон байланысы бойынша қызметтер- қолжеткізу және пайдалану</t>
  </si>
  <si>
    <t>Халықаралық телефон байланысы бойынша қызметтер</t>
  </si>
  <si>
    <t>Құрал-сайман</t>
  </si>
  <si>
    <t>Жәшіктегі құрал-сайман жиынтығы</t>
  </si>
  <si>
    <t>Құрал-сайман жиынтығы</t>
  </si>
  <si>
    <t>Набор инструментов в ящике</t>
  </si>
  <si>
    <t>Флипчарт тақтаға арналған</t>
  </si>
  <si>
    <t>Жазуға арналған қабырға блокноттары</t>
  </si>
  <si>
    <t>МКҚО автобусын міндетті сақтандыру</t>
  </si>
  <si>
    <t>Авто көлікті міндетті сақтандыру</t>
  </si>
  <si>
    <t>Жылыту жүйесін тексеру бойынша қызметтер</t>
  </si>
  <si>
    <t>басқа топтамаға қосылмаған басқа заттар</t>
  </si>
  <si>
    <t>Домалақ столға арналған органайзер, 10 нан 15 затқа дейін</t>
  </si>
  <si>
    <t>Домалақ столға арналған органайзер айналма негізде, 15 тен 20 затқа дейін</t>
  </si>
  <si>
    <t>Кескіш дөңгелек</t>
  </si>
  <si>
    <t>Лобовое стекло</t>
  </si>
  <si>
    <t>переднее, сталинит, для легковых автомобилей</t>
  </si>
  <si>
    <t>алдыңғы, сталинит, жеңіл автокөліктер үшін</t>
  </si>
  <si>
    <t>Переднее лобовое стекло на служ.автотранспорт</t>
  </si>
  <si>
    <t>Алдыңғы әйнек</t>
  </si>
  <si>
    <t>Қызметтік автокөлікке алдыңғы әйнек</t>
  </si>
  <si>
    <t>Пластикалық бутылкадағы ішуге арналған су, 19 л.</t>
  </si>
  <si>
    <t>Пластикалық бутылкадағы ішуге арналған су</t>
  </si>
  <si>
    <t xml:space="preserve">Мерзімді басылымдарға жазылу </t>
  </si>
  <si>
    <t>Ковролан резинадан</t>
  </si>
  <si>
    <t>Қысқы мерзімде КҚО текпешегіне жабу</t>
  </si>
  <si>
    <t>Калибрлі қауіпсіздендіргіш</t>
  </si>
  <si>
    <t>куаты 220В, ток 250А</t>
  </si>
  <si>
    <t>Ток қуатынан қауіпсіздендіргіш</t>
  </si>
  <si>
    <t>Жарнамаларды БАҚ орналастыру қызметтері</t>
  </si>
  <si>
    <t>Хабарландыруларды бұқаралық ақпарат құралдарында жариялау</t>
  </si>
  <si>
    <t>Күзетшілердің Заңды тұлғалардың мүлкін қорғау бойынша  қызметтері</t>
  </si>
  <si>
    <t>Кеңсені қорғау шығындары</t>
  </si>
  <si>
    <t>Жарнама шығындары</t>
  </si>
  <si>
    <t>Кондицинерлерді жөндеу және қызмет көрсету</t>
  </si>
  <si>
    <t>Шарикті пластикалық қалам</t>
  </si>
  <si>
    <t>Шарикті қалам логотипімен бірге</t>
  </si>
  <si>
    <t>Шарикті қалам ауыспалы стержендері (болончиктерімен)</t>
  </si>
  <si>
    <t>Құлыптың өзегі</t>
  </si>
  <si>
    <t>Сейф</t>
  </si>
  <si>
    <t>Темір өртке төзімді сейф</t>
  </si>
  <si>
    <t>Темір сейф</t>
  </si>
  <si>
    <t>Құжат тігілетін папка</t>
  </si>
  <si>
    <t>Құжат тігілетін картон папка- ақ</t>
  </si>
  <si>
    <t>Қыстырғыш</t>
  </si>
  <si>
    <t>Жұқа, 3 см дейін</t>
  </si>
  <si>
    <t>Енді, 3 см жоғары</t>
  </si>
  <si>
    <t>Қағаз қыстырғыш. Мөлшері 22 мм</t>
  </si>
  <si>
    <t>Қағаз қыстырғыш. Мөлшері 33 мм</t>
  </si>
  <si>
    <t>Қағаз қыстырғыш. Мөлшері 32 мм</t>
  </si>
  <si>
    <t>Қағаз қыстырғыш. Мөлшері 26 мм</t>
  </si>
  <si>
    <t>Су құйғышқа қопсалауыш</t>
  </si>
  <si>
    <t>Стартер типтес СТ</t>
  </si>
  <si>
    <t>Трубка типтес люминесценттік лампа, түрі - 80С-220, ГОСТ 8799-90</t>
  </si>
  <si>
    <t>Люминесцентной лампаның қуаты 140 Вт жоғары</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</si>
  <si>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</si>
  <si>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</si>
  <si>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Жиһаз степлері</t>
  </si>
  <si>
    <t>Қоқыс арбасы</t>
  </si>
  <si>
    <t>Гидравликалық жүк арбасы</t>
  </si>
  <si>
    <t>Жүк арба</t>
  </si>
  <si>
    <t>Төрт дөңгелекті жүк арбасы. Жүк көтергіш қуаты шамамен 750 кг. Жеке салмағы - 2,5х1,5 м. Алдыңғы дөңгелек диаметрі артқы дөңгелек диаметірінен кем (60 - 70 см және 70 - 100 см)</t>
  </si>
  <si>
    <t>Жүк тасымалдау арбасы</t>
  </si>
  <si>
    <t>Ручная, грузоподъемность до 1400 кг</t>
  </si>
  <si>
    <t>Қол арба, жүк көтергіштігі 1400 кг. Дейін</t>
  </si>
  <si>
    <t>Көлік қызметтері</t>
  </si>
  <si>
    <t>Селиконды герметик</t>
  </si>
  <si>
    <t>этилдірілденбеген және этилдірілген, шағылысып жану двигательдер үшін шығарылған: АИ-92</t>
  </si>
  <si>
    <t>қаламшасымен</t>
  </si>
  <si>
    <t>Қағаз А4</t>
  </si>
  <si>
    <t>Қысқа жазбаға арналған қағаз</t>
  </si>
  <si>
    <t>Бір шеті жабысқан, мөлшері 76х76 мм</t>
  </si>
  <si>
    <t xml:space="preserve"> Территорияны көренктеу </t>
  </si>
  <si>
    <t>Ғимаратты қорғау қызметі</t>
  </si>
  <si>
    <t>Күзетшілердің заңды тұлғалардың мүліктерін қорғау бойынша қызметтер</t>
  </si>
  <si>
    <t>Қоғамның іскерлік кеңесіннің отырысын ұйымдастыру қызметтері</t>
  </si>
  <si>
    <t>Барлық өңірлік оқу орталықтары тыңдаушыларының деректер базасын, оқытушылар құрамының деректер базасын құру және жаңғырту</t>
  </si>
  <si>
    <t>Өңірлік оқу орталықтарында сабақ және консультация өткізу, қазақстан тренерлерін іссапарға жіберу</t>
  </si>
  <si>
    <t>Сабақ кезінде кофе-брейк ұйымдастыру</t>
  </si>
  <si>
    <t xml:space="preserve"> Сайт хостингі</t>
  </si>
  <si>
    <t>Аналитикалық кітап шығару</t>
  </si>
  <si>
    <t xml:space="preserve">Жүргізушісімен бірге жеіңл автокөлікті жалға алу </t>
  </si>
  <si>
    <t>"Бизнес-кеңесші" жыне "Бизнес-Кеңесші-2" бағдарламасы аясында лекторлар үшін автокөлік жалдау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</si>
  <si>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</si>
  <si>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Рұқсатнамалық құжаттарын алуға байланысты сұрақтар бойынша кеңес беру, газбенқамсыздандыру/ электрмен қамсыздандыру/ сумен қамсыздандыру/ телефонмен камсыздандыру туралы техникалық жағдайларына, сонмен бірге жер учаскесін алу (аукцион өткізуді қоспағанда) және мемлекеттік органдарда жер учаскесінің мақсатын өзгерту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</si>
  <si>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</si>
  <si>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Қосқыш</t>
  </si>
  <si>
    <t>екі жолақты</t>
  </si>
  <si>
    <t>Есіктерді жеткізгіш</t>
  </si>
  <si>
    <t>120 кг дейінгі жеткізгіш</t>
  </si>
  <si>
    <t>68.20.12.00.00.00.02</t>
  </si>
  <si>
    <t>Услуги по аренде производственного помещения</t>
  </si>
  <si>
    <t>Өндірістік ғимараттарды жалға алу</t>
  </si>
  <si>
    <t>Өндірістік базаны жалға алу</t>
  </si>
  <si>
    <t>Сандық</t>
  </si>
  <si>
    <t>Сандық диктафон, жазу форматы МР3</t>
  </si>
  <si>
    <t>Су диспенсері</t>
  </si>
  <si>
    <t>Диспенсер для воды</t>
  </si>
  <si>
    <t>Суды ысыту функциясымен. Едендік (холодильнигімен).</t>
  </si>
  <si>
    <t>Ілгекше</t>
  </si>
  <si>
    <t>Киімге арналған ілгекше, темірден 3 аяқты</t>
  </si>
  <si>
    <t>Киімге ілгекше</t>
  </si>
  <si>
    <t>Басқа топтамаларда көрсетілмеген қызметтер мен жұмыстар (штор тігу)</t>
  </si>
  <si>
    <t>Услуги и работы различные прочие, не включенные в другие группировки (пошив штор)</t>
  </si>
  <si>
    <t>Басқа топтамаларда көрсетілмеген қызметтер мен жұмыстар</t>
  </si>
  <si>
    <t>Пандус дайындау қызметтері</t>
  </si>
  <si>
    <t xml:space="preserve">Услуга по изготовлению гардеробной для ЦОП </t>
  </si>
  <si>
    <t>КҚКО гардероб дайындау қызметтері</t>
  </si>
  <si>
    <t>Қол арба, жүк көтергіштігі 800 кг. дейін</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</si>
  <si>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</si>
  <si>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</si>
  <si>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</si>
  <si>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</si>
  <si>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</si>
  <si>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</si>
  <si>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</si>
  <si>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</si>
  <si>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</si>
  <si>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План закупок товаров, работ и услуг АО "Фонд развития предпринимательства "Даму" на  2014 год</t>
  </si>
  <si>
    <t>Орта сыныпты ноутбук</t>
  </si>
  <si>
    <t>Жоғары өнімді ультрадыбыс</t>
  </si>
  <si>
    <t>Кепілзат мүлкін қорғау қызметі</t>
  </si>
  <si>
    <t xml:space="preserve">Клиенттерді тарту және жинау мақсатында маркетингтік кампаниялар және басқа да  жарнамалық қызмет көрсету бойынша қызметтер  </t>
  </si>
  <si>
    <t>Услуги по проведению маркетинговых кампаний и других рекламных услуг с целью привлечения и удержания клиентов</t>
  </si>
  <si>
    <t xml:space="preserve">Клиенттерді тарту және жинау мақсатында маркетингтік компанияның және басқа да  жарнамалық қызмет көрсету бойынша қызмет  </t>
  </si>
  <si>
    <t>Франчайзинг жөнінде іс-шаралар туралы жарнамалық және болған ақпаратты БАҚ жариялау</t>
  </si>
  <si>
    <t xml:space="preserve">Басқа да көмекші ағартушылық қызметтері </t>
  </si>
  <si>
    <t>Басқа да көмекші ағартушылық қызметтері</t>
  </si>
  <si>
    <t>Сертификат табыстаумен ЖКМ семинарлары мен Идеялар жәрмеңкелерін ұйымдастыру мен өткізу қызметтері</t>
  </si>
  <si>
    <t xml:space="preserve">Услуги по организации и проведению семинаров ШМП и Ярмарок идей с предоставлением сертификатов </t>
  </si>
  <si>
    <t>Бизнес жоспары туралы кеңес беру және оны жасау</t>
  </si>
  <si>
    <t>Консультации по разработке и составлению бизнес планов</t>
  </si>
  <si>
    <t>Кәсіпорынның маркетингтік стратегиясын жасау жөніндегі кеңес</t>
  </si>
  <si>
    <t>Консультации по разработке маркетинговой стратегии предприятия</t>
  </si>
  <si>
    <t>с даты подписания договора по 31.10.2014г.</t>
  </si>
  <si>
    <t>22.11.17.11.16.13.11.08.1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</si>
  <si>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</si>
  <si>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Мөлшері:235/65R17.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</si>
  <si>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КҚО үшін кеңсе жайларын жалға алу</t>
  </si>
  <si>
    <t>Аренда офисных помещений для ЦОП</t>
  </si>
  <si>
    <t>Услуги по размещению объявлений в печатных изданиях</t>
  </si>
  <si>
    <t>А4 файлы</t>
  </si>
  <si>
    <t xml:space="preserve">Оказание услуги в течение 12 месяцев с даты подписания договора </t>
  </si>
  <si>
    <t>Труба</t>
  </si>
  <si>
    <t>Сейфтерді жөндеу және оларға қызмет көрсету</t>
  </si>
  <si>
    <t>Сейфтерді жөндеуге шыққан шығыстар</t>
  </si>
  <si>
    <t xml:space="preserve"> Автомобильдердің мотор бөлігін және жеңіл автокөлік құралдарына техникалық қызмет көрсету</t>
  </si>
  <si>
    <t xml:space="preserve"> Жол көлік құралдарын техникалық бақылау (қарап шығу) қызметтері</t>
  </si>
  <si>
    <t>Жүккөтеретін механизмдерді зерттеу</t>
  </si>
  <si>
    <t>Көтергіш жабдықтарды сынақтан өткізу</t>
  </si>
  <si>
    <t>Көтергіш агрегаттарды зерттеу және оларды сынақтан өткізу</t>
  </si>
  <si>
    <t>МОӨД үшін кеңсе жайларын жалдау бойынша қызметер</t>
  </si>
  <si>
    <t>Аренда помещений для ДВГО </t>
  </si>
  <si>
    <t>с 01.01.2014г. по 31.12.2014г.</t>
  </si>
  <si>
    <t>27.90.32.00.00.01.05.25.1</t>
  </si>
  <si>
    <t>82.19.11.10.00.00.00</t>
  </si>
  <si>
    <t>VII Астана экономикалық форумы аясында ШОБ бойынша сессия ұйымдастыру және өткізу бойынша қызметтер</t>
  </si>
  <si>
    <t>Услуги по организации и проведению Сессии по МСБ, в рамках VII Астанинского экономического форума</t>
  </si>
  <si>
    <t>43.21.10.16.00.10.00</t>
  </si>
  <si>
    <t>Телекоммуникациялық жүйелерді орнату қызметтері</t>
  </si>
  <si>
    <t>Услуги по прокладке телекоммуникаций</t>
  </si>
  <si>
    <t xml:space="preserve">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 </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</si>
  <si>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</si>
  <si>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Услуги по монтажу СКС в здании ЦОП</t>
  </si>
  <si>
    <t>КҚО ғимаратына ҚКЖ орнату қызметтері</t>
  </si>
  <si>
    <t>с даты подписания договора по 31.01.2014г.</t>
  </si>
  <si>
    <t>41.00.40.20.60.00.00</t>
  </si>
  <si>
    <t>Ғимаратты жөндеу жұмыстары</t>
  </si>
  <si>
    <t>Работы строительные по ремонту помещения</t>
  </si>
  <si>
    <t>Брошураларды, құжаттама журналдары мен сол сияқты өнімдер басып шығару бойынша қызметтер</t>
  </si>
  <si>
    <t>Услуги по печатанью рекламных постеров</t>
  </si>
  <si>
    <t>Жарнамалық постерлерді баспадан шығару</t>
  </si>
  <si>
    <t>с даты подписания договора по 10.03.2014г.</t>
  </si>
  <si>
    <t>73.11.11.15.00.00.00</t>
  </si>
  <si>
    <t>Стенділер және көрмелік өзге құрылымдар мен сайттар құру бойынша қызметтер</t>
  </si>
  <si>
    <t>Услуги по созданию стендов и других выставочных структур и сайтов</t>
  </si>
  <si>
    <t>Қызмет атқарулар ша жаралғанға стенд және сырттың көрменің құрылымдарының және сайттардың(ішкі рәсімде-: көлемді логотип және әріптер соң ресепшеном, пресстена, навигация, ақпараттық стендтер)</t>
  </si>
  <si>
    <t>Услуги по созданию стендов и других выставочных структур и сайтов (внутреннее оформление: объемный логотип и буквы за ресепшеном, пресстена, навигация, информационные стенды)</t>
  </si>
  <si>
    <t>Услуги по разработке и изготовлению рекламных х-banner стендов</t>
  </si>
  <si>
    <t>Жарнамалық х-banner стендтерін дайындау қызметтері</t>
  </si>
  <si>
    <t>Услуги по разработке и изготовлению рекламных стендов для буклетов</t>
  </si>
  <si>
    <t>Буклеттер үшін стендтер дайындау қызметтері</t>
  </si>
  <si>
    <t>58.13.32.10.00.00.00</t>
  </si>
  <si>
    <t>Электронды түрде газеттерде  жарнамалық ақпараттарды орналастыру үшін орындар сату қызметтері</t>
  </si>
  <si>
    <t>Услуги по продаже места для размещения рекламных объявлений в газетах, в электронном виде</t>
  </si>
  <si>
    <t xml:space="preserve">Электронды түрде газеттерде (көбінесе Интернет жүйесінде орналасқан) жарнамалық ақпараттарды орналастыру </t>
  </si>
  <si>
    <t>Размещение рекламных объявлений в газетах, в электронном виде (преимущественно, размещенных в сети Интернет)</t>
  </si>
  <si>
    <t>Размещение рекламных материалов в электронном виде</t>
  </si>
  <si>
    <t xml:space="preserve">Электронды түрде  жарнамалық ақпараттарды орналастыру </t>
  </si>
  <si>
    <t>Актуализация бизнес-идей</t>
  </si>
  <si>
    <t>Бизнес-идеяларды жаңғырту</t>
  </si>
  <si>
    <t>45 календарных дней с даты подписания договора</t>
  </si>
  <si>
    <t>Разработка путеводителя (бизнес-идей) для начинающих бизнесменов</t>
  </si>
  <si>
    <t xml:space="preserve">Жаңадан бастаушы бизнесмендерге жолнұсқаулықтар (бизнес-идея) дайындау </t>
  </si>
  <si>
    <t>66.19.32.00.00.00.01</t>
  </si>
  <si>
    <t>Услуги по хранению</t>
  </si>
  <si>
    <t>Сақтау қызметтері</t>
  </si>
  <si>
    <t>Қызметтік автокөлікті  техникалық бақылау (қарап шығу) қызметтері</t>
  </si>
  <si>
    <t>Услуги по техническому контролю (осмотру) служебного автотранспорта</t>
  </si>
  <si>
    <t xml:space="preserve">Товар </t>
  </si>
  <si>
    <t>31.01.12.00.00.02.07.01.1</t>
  </si>
  <si>
    <t>Стол</t>
  </si>
  <si>
    <t>Стол для ресепшена</t>
  </si>
  <si>
    <t>Ресепшнге арналған үстел</t>
  </si>
  <si>
    <t>15 календарных дней с даты подписания договора</t>
  </si>
  <si>
    <t>13.92.15.00.00.50.10.03.2</t>
  </si>
  <si>
    <t>Аралас маталардан жасалған перделер</t>
  </si>
  <si>
    <t>Шторы из смешанных тканей</t>
  </si>
  <si>
    <t xml:space="preserve">Аралас маталардан жасалған ілгекті классикалық перде.  Айцна бойымен жылжытқанда тік бүрмелер құрылатын перделеу. Негізгі және қосымша маталардан жасалған ілгектер арқылы декаративті карнизге орнатылады </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</si>
  <si>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</si>
  <si>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20 календарных дней с даты подписания договора</t>
  </si>
  <si>
    <t>Стол для ресепшна, материал – ЛДСП,  внешняя часть отделки со шпоном с хромированными полосками, внутренняя часть отделки: ДСП</t>
  </si>
  <si>
    <t>Стол для ресепшна, материал – ЛДСП, толщина 16 мм</t>
  </si>
  <si>
    <t xml:space="preserve">Для опечатывания и хранения ключей. </t>
  </si>
  <si>
    <t>Урна для анкет из алюминиевого профиля, корпус из оргстекла</t>
  </si>
  <si>
    <t>Классические шторы с тюлью из смешанных тканей</t>
  </si>
  <si>
    <t>Ресепшнге арналған үстел, материал - ЛДСП, сыртқы жағында хромдалған жолақтары бар шпондармен, ішкі жағы: ДСП</t>
  </si>
  <si>
    <t>Ресепшнге арналған үстел, материал - ЛДСП, қалыңдығы 16 мм</t>
  </si>
  <si>
    <t>Пенал для ключей</t>
  </si>
  <si>
    <t>25.99.21.00.00.15.10.10.1</t>
  </si>
  <si>
    <t>Кілттерге арналған пенал</t>
  </si>
  <si>
    <t xml:space="preserve">Металлический, для опечатывания и хранения ключей. </t>
  </si>
  <si>
    <t>Темірден, кілттерді жабуға және сақтауға арналған</t>
  </si>
  <si>
    <t>32.99.86.00.00.00.71.01.1</t>
  </si>
  <si>
    <t>Урна для голосования</t>
  </si>
  <si>
    <t>Дауыс беруге арналған урна</t>
  </si>
  <si>
    <t>Стационарная, имеет щель сделанную специально для опускания бюллетеней для голосования</t>
  </si>
  <si>
    <t>Стационарлы, дауыс беру бюлетендерін тастауға арналған саңлауы бар</t>
  </si>
  <si>
    <t>Алюмини профильді, қабырғалары әйнектен жасалған, анкеталарға арналған урна</t>
  </si>
  <si>
    <t xml:space="preserve">Аралас маталардан жасалған   классикалық перде, тюльмен бірге.  </t>
  </si>
  <si>
    <t>Бейне бақылау жүйесі</t>
  </si>
  <si>
    <t>Комплекс оборудования для видеонаблюдения</t>
  </si>
  <si>
    <t>Бейне бақылауға арналға құрылғылардың комплексі</t>
  </si>
  <si>
    <t>26.30.50.00.00.00.02.12.1</t>
  </si>
  <si>
    <t>Оборудование системы охранной сигнализации</t>
  </si>
  <si>
    <t>Күзет дабылдамасы жүйесінің құрылғылары</t>
  </si>
  <si>
    <t>Комплекс технических средств для системы охранной сигнализации с подключением к централизованному пульту наблюдения (пультовая охрана)</t>
  </si>
  <si>
    <t>26.30.50.00.00.00.02.13.1</t>
  </si>
  <si>
    <t>Оборудрование системы пожарной сигнализации</t>
  </si>
  <si>
    <t>Комплекс технических средств, которые служат для своевременного обнаружения очага  задымления или возгорания на объекте</t>
  </si>
  <si>
    <t>Өрт дабылдамасы жүйесінің құрылғылары</t>
  </si>
  <si>
    <t>Объектіде өрт немесе түтін ошағын дер кезінде анықтауға арналған техникалық құралдардың комплексі</t>
  </si>
  <si>
    <t xml:space="preserve">Орталық бақылау пультіне қосылған күзет дабылдамасы жүйесіне арнлаған техникалық құралдардың комплексті </t>
  </si>
  <si>
    <t>80.10.12.19.00.00.00</t>
  </si>
  <si>
    <t>Услуги по охранному мониторингу средств тревожной сигнализации</t>
  </si>
  <si>
    <t>Күзет дабыл құралдарын сақтау мониторингі қызметтері</t>
  </si>
  <si>
    <t>41.00.40.20.10.00.00</t>
  </si>
  <si>
    <t>Работы строительные по ремонту административного здания</t>
  </si>
  <si>
    <t>Әкімшілік ғимаратты жөндеу жұмыстары</t>
  </si>
  <si>
    <t>Комплекс работ по ремонту административного здания офисного типа</t>
  </si>
  <si>
    <t>Әкімшілік ғимаратты жөндеудегі комплексті жұмыстар</t>
  </si>
  <si>
    <t>укладка ламината, разборка покрытия пола из керамической плитки, устройство перегородок из ГКЛ, отделка, окраска, левкас потолков и т.д.</t>
  </si>
  <si>
    <t xml:space="preserve">Ламинат төсеу, керамикалық плитадан жасалған еден жабуларын бұзу, ГКЛдан қабырғалармен бөлмелерді бөлу, сырлау, бояу, бөлме төбелерін левкастау және т.б. </t>
  </si>
  <si>
    <t>26.40.20.12.13.11.11.11.1</t>
  </si>
  <si>
    <t xml:space="preserve">Телевизор </t>
  </si>
  <si>
    <t>Сандық, сұйықкристалды телевизор (LCD)</t>
  </si>
  <si>
    <t>Жидкокристаллический (LCD), цифровой</t>
  </si>
  <si>
    <t>30 календарных дней с даты подписания договора</t>
  </si>
  <si>
    <t>26.40.31.14.12.11.11.11.1</t>
  </si>
  <si>
    <t>Система акустическая</t>
  </si>
  <si>
    <t>Многополосная, т.е. содержит два и более излучателей, каждый из которых создаёт звуковое давление в своей частотной полосе. Содержит один усилитель (и пассивные фильтры) либо несколько усилителей равное числу полос аккустической системы.</t>
  </si>
  <si>
    <t>Акустикалық жүйе</t>
  </si>
  <si>
    <t>Көп дауысты, демек екі немесе одан көп сауле шығарғышы бар, әр қайсысы өзінің жиілік жолында дауыстық қысым жасайды. Бір (және пассивті филтірі) немесе бірнеше күшейкіші бар,  акустикалық жүйенің жиілік  жолдарына байланысты</t>
  </si>
  <si>
    <t>33.20.60.11.00.00.00</t>
  </si>
  <si>
    <t>Монтаж, пусконаладочные работы  видеосистемы</t>
  </si>
  <si>
    <t>Комплексные работы по реализации проекта «под ключ» на поставку и внедрение системы видеоконференц связи</t>
  </si>
  <si>
    <t>180 календарных дней с даты подписания договора</t>
  </si>
  <si>
    <t>Бейне жүйені құру, ендіруге байланысты жұмыстар</t>
  </si>
  <si>
    <t>Бейнеконференц байланыс жүйесін жеткізу және ендіруге байланысты "кілітке дейін" жобаны іске асыру бойынша комплексті жұмыстар</t>
  </si>
  <si>
    <t>Услуги по созданию цикла видеоматериалов на основе серии рассказов об участниках Программы «Дорожная карта бизнеса 2020» («Истории успеха»), произведенных в 2013 году</t>
  </si>
  <si>
    <t>Услуги по созданию цикла видеоматериалов на основе серии телепередач с участием экспертов, предпринимателей, общественных деятелей, зарубежных специалистов («Территория бизнеса»), произведённых в 2013 году</t>
  </si>
  <si>
    <t>Сарапшылардың, кәсіпкерлердің, қоғам қайраткерлерінің, шет ел мамандарының қатысуымен  2013 жылы түсірілген телехабарлар сериясының негізінде  (Бинес территориясы) бейне материалдар циклын дайындап шығару қызметтері</t>
  </si>
  <si>
    <t>«Жол бизнес картасы 2020» бағдарламсының қатысушылары жөнінде 2013 жылы жасалған сериалардың негізінде («Сәттілік тарихы») бейнематериалдар циклын дайындап шығару қызметтері</t>
  </si>
  <si>
    <t>431000000</t>
  </si>
  <si>
    <t>27.51.26.01.01.00.00.11.1</t>
  </si>
  <si>
    <t>Жылының желеуі</t>
  </si>
  <si>
    <t>Тепловая завеса</t>
  </si>
  <si>
    <t>әуе кедергінің жаралғаны үшін зонаның шекарасында әртүрлі қызумен</t>
  </si>
  <si>
    <t>для создания воздушного барьера на границе зон с разной температурой</t>
  </si>
  <si>
    <t>10 рабочих дней с даты подписания договора</t>
  </si>
  <si>
    <t>311000000</t>
  </si>
  <si>
    <t>74.10.19.13.00.00.00</t>
  </si>
  <si>
    <t>Услуги по дизайну специализированному прочие</t>
  </si>
  <si>
    <t>Прочий дизайн специализированный, не включенный в другие группировки</t>
  </si>
  <si>
    <t>Басқа мамандандырылған дизайн қызметтері</t>
  </si>
  <si>
    <t>Өзге топтамаларға ендірілмеген басқа да мамандандырылған дизайн қызметтері</t>
  </si>
  <si>
    <t>Услуги по разработке дизайна рекламно-раздаточных материалов</t>
  </si>
  <si>
    <t>Жарнамалық-таратылым материалдарының дизайындарын дайындау қызметтері</t>
  </si>
  <si>
    <t>18.12.14.15.00.00.00</t>
  </si>
  <si>
    <t>Услуги по печатанию открыток почтовых</t>
  </si>
  <si>
    <t>Баспа қызметтері</t>
  </si>
  <si>
    <t>Пошталық ашық хаттарды баспадан шығару қызметтері</t>
  </si>
  <si>
    <t>Услуги по изготовлению  поздравительных открыток</t>
  </si>
  <si>
    <t>Құттықтау ашық хаттарын дайындау қызметтері</t>
  </si>
  <si>
    <t>77.33.12.15.00.00.00</t>
  </si>
  <si>
    <t>Услуги по аренде прочей вычислительной техники и оборудования</t>
  </si>
  <si>
    <t>Краткосрочная, среднесрочная или долгосрочная аренда (прокат) прочей вычислительной техники и оборудования, не включенной в другие группировки</t>
  </si>
  <si>
    <t>Услуги аренды синхронного оборудования на 80 человек</t>
  </si>
  <si>
    <t>Басқа есептегіш және техникалық құралдарды жалға алу қызметтері</t>
  </si>
  <si>
    <t xml:space="preserve">Өзге топтамаларға енгізілмеген басқа есептегіш және техникалық құралдарды қысқа, орта және ұзақ мерзімге жалға алу </t>
  </si>
  <si>
    <t>80 адамға арналған синхрондық құралды жалға алу қызметтері</t>
  </si>
  <si>
    <t>Услуги по изготовлению актов землепользования</t>
  </si>
  <si>
    <t>84.11.19.11.00.00.00</t>
  </si>
  <si>
    <t>Изготовление актов землепользования</t>
  </si>
  <si>
    <t>Жерпайдалану актілерін дайындау қызметтері</t>
  </si>
  <si>
    <t xml:space="preserve">Жерпайдалану актілерін дайындау </t>
  </si>
  <si>
    <t>84.11.19.10.00.00.00</t>
  </si>
  <si>
    <t>Услуги по паспортизации здания</t>
  </si>
  <si>
    <t>паспортизация здания</t>
  </si>
  <si>
    <t>Ғимаратқа паспорт  дайындау қызметтері</t>
  </si>
  <si>
    <t xml:space="preserve">Ғимаратқа паспорт  дайындау </t>
  </si>
  <si>
    <t>35.22.10.13.00.00.00</t>
  </si>
  <si>
    <t>Услуги по поставке  природного газа</t>
  </si>
  <si>
    <t>Услуги по транспортировке сухого (отбензиненного) природного газа</t>
  </si>
  <si>
    <t>Табиғи газ беру қызметтері</t>
  </si>
  <si>
    <t>Құрғақ (бензині шығарылған) табиғи газды тасымалдау қызмметтері</t>
  </si>
  <si>
    <t>Услуги аренды 2-х  автотранспортных средств (легковая автомашина и мироавтобус) на обслуживание иностранных делегаций</t>
  </si>
  <si>
    <t>Шет ел делегациясына тасымалдау қызметін көрсету   үшін 2-і автокөлік (жеңіл көлік және микроавтобус) жалдау</t>
  </si>
  <si>
    <t>Высокопроизводительный, отказоустойчивый кластер на базе блейд-серверов, включая систему хранения данных, вертикальную и горизонтальные коммуникационные инфраструктуры</t>
  </si>
  <si>
    <t xml:space="preserve">Блейд-сервер базасының негізіндегі қабыл аламауға шыдамды, жоғары өнімді кластер, вертикалды және горизонталды коммуникациондық инфраструктура мен мәлметтерді сақтау жүйесін қосқанда </t>
  </si>
  <si>
    <t>90 календарных дней с даты подписания договора</t>
  </si>
  <si>
    <t>Расходы на повышение квалификации консультантов ЦПП в 27 моногородах</t>
  </si>
  <si>
    <t>27 моноқалалардағы  КҚО кеңесшілердің біліктіліктілігін арттыруға бағытталған шығындар</t>
  </si>
  <si>
    <t>Стол для консультантов ЦПП в моногородах</t>
  </si>
  <si>
    <t>Компьютер для консультантов ЦПП в моногородах</t>
  </si>
  <si>
    <t xml:space="preserve">Моноқалалардағы КҚО кеңесшілерге арналған үстел </t>
  </si>
  <si>
    <t xml:space="preserve">Моноқалалардағы КҚО кеңесшілеріне арналған үстел </t>
  </si>
  <si>
    <t>Моноқалалардағы КҚО кеңесшілеріне арналған компьютер</t>
  </si>
  <si>
    <t xml:space="preserve">Моноқалаларға КҚО кәсіпкерлік сұрақтары бойынша кеңесшілердің қызметтері </t>
  </si>
  <si>
    <t>Актуализация учебно-методических пособий проекта «Бизнес-Советник»</t>
  </si>
  <si>
    <t>Актуализация типовых бизнес-планов</t>
  </si>
  <si>
    <t>"Бизнес-Кеңесші" жобасының оқу-әдістемелік құралдарын актуализациялау</t>
  </si>
  <si>
    <t>Типтік бизнес-жобаларды актуализациялау</t>
  </si>
  <si>
    <t>Консультации по общим вопросам открытия, закрытия и  ведения бизнеса. Консультирование по правовым вопросам.</t>
  </si>
  <si>
    <t>Бизнесті ашу, жабу және жүргізу бойынша жалпы кеңестер. Құқықтық мәселелербойынша кеңестер</t>
  </si>
  <si>
    <t>Кресло офисное для консультантов ЦПП в моногородах</t>
  </si>
  <si>
    <t>Моноқалалардағы КҚО кеңесшілеріне арналған кеңсе креслосы</t>
  </si>
  <si>
    <t>35.15.11.20.00.00.00</t>
  </si>
  <si>
    <t>Услуги по обеспечению работоспособности (эксплуатации) систем для передачи электроэнергии от места производства к распределительным системам</t>
  </si>
  <si>
    <t>Электроэнергияны өндірілген орыннан тарату жүйесіне дейін беру үшін электроэнергия жүйелерінің жұмыс қабілеттілігін қамсыздандыру қызметтері</t>
  </si>
  <si>
    <t>74.90.12.20.11.00.00</t>
  </si>
  <si>
    <t>Услуги по оценке интеллектуальной собственности, стоимости нематериальных активов</t>
  </si>
  <si>
    <t xml:space="preserve">Обязательная и инициативная оценка интеллектуальной собственности, стоимости нематериальных активов </t>
  </si>
  <si>
    <t>Зияткерлік меншікті, бейматериалдық активтердің құнын бағалау қызметтері</t>
  </si>
  <si>
    <t xml:space="preserve">Зияткерлік меншікті, бейматериалдық активтердің құнын міндетті және өзіндік бастамамен бағалау </t>
  </si>
  <si>
    <t>Қаламсап</t>
  </si>
  <si>
    <t>Шрикті қаламсап логотипімен</t>
  </si>
  <si>
    <t>Емкость – 8,5 Гб, записываемый (однократно), в упаковке 100 штук</t>
  </si>
  <si>
    <t>26.80.12.00.00.22.11.50.1</t>
  </si>
  <si>
    <t>Көлемі - 8,5 Гб, жазбалы (бір рет), қорапта 100 дана</t>
  </si>
  <si>
    <t>26.20.13.00.00.02.11.20.1</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</si>
  <si>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</si>
  <si>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Арнайы әмбебап. Көптеген міндеттерді шешуге есептік, сонымен қатар мультимедиямен жұмыс жасауға бағытталған,. Күрделі есептеулермен жұмыс жасауда жоғары шешімділік</t>
  </si>
  <si>
    <t>73.12.11.10.00.00.00</t>
  </si>
  <si>
    <t>Услуги по продаже и аренде места для рекламы, предоставляемые за вознаграждение или на договорной основе, в печатных средствах информации</t>
  </si>
  <si>
    <t>Размещение рекламно-информационных материалов</t>
  </si>
  <si>
    <t>73.12.13.10.00.00.00</t>
  </si>
  <si>
    <t>Размещение рекламных веб-баннеров на  новостном портале</t>
  </si>
  <si>
    <t>Размещение рекламных веб-баннеров на информационном портале</t>
  </si>
  <si>
    <t>Размещение рекламных веб-баннеров на специализированном портале для предпринимателей</t>
  </si>
  <si>
    <t>73.11.19.12.00.00.00</t>
  </si>
  <si>
    <t>Услуги в области рекламы прочие</t>
  </si>
  <si>
    <t>Размещение рекламы на транспорте (наружная и внутренняя реклама на транспорте)</t>
  </si>
  <si>
    <t>351000000</t>
  </si>
  <si>
    <t>73.12.19.31.16.00.00</t>
  </si>
  <si>
    <t>Размещение рекламы в метро</t>
  </si>
  <si>
    <t>Тиражирование рекламных буклетов по гарнатиям, субсидиям, ЦОП, ДКБ</t>
  </si>
  <si>
    <t>58.14.32.10.00.00.00</t>
  </si>
  <si>
    <t>Услуги по продаже места для размещения рекламных объявлений в журналах и изданиях периодических,  в  электронном виде</t>
  </si>
  <si>
    <t>Размещение рекламных объявлений в журналах и изданиях периодических,  в  электронном виде</t>
  </si>
  <si>
    <t>Размещение веб-баннера по продуктам гарантии, субсидии, цоп</t>
  </si>
  <si>
    <t>60.10.30.01.01.00.00</t>
  </si>
  <si>
    <t>Услуги по продаже времени на радио</t>
  </si>
  <si>
    <t>Услуги по продаже рекламного времени на радио</t>
  </si>
  <si>
    <t>Размещение рекламных роликов на радио по программам господдержки</t>
  </si>
  <si>
    <t xml:space="preserve">Производство рекламного тв-ролика </t>
  </si>
  <si>
    <t>73.12.12.10.00.00.00</t>
  </si>
  <si>
    <t>Услуги по продаже и аренде места или времени для рекламы на телевидении, предоставляемые за вознаграждение или на договорной основе</t>
  </si>
  <si>
    <t>Размещение рекламных тв-роликов в кинотеатрах перед киносеансами</t>
  </si>
  <si>
    <t>Сыйақы үшін немесе шарт негізінде баспа ақпарат құралдарында жарнамаға араналған орындарды сату немесе жалға беру қызметтері</t>
  </si>
  <si>
    <t>Сыйақы үшін немесе шарт негізінде Интернетте жарнамаға араналған орындарды сату немесе жалға беру қызметтері</t>
  </si>
  <si>
    <t>Жарнамалық-ақпараттық материалдарды орналастыру</t>
  </si>
  <si>
    <t>Ақпараттық порталда жарнамалық веб-банер орналастыру</t>
  </si>
  <si>
    <t>Кәсіпкерлерге арналаған мамандандырылған порталда жарнамалық веб-банер орналастыру</t>
  </si>
  <si>
    <t>Жарнама саласындағы басқа-да қызметтер</t>
  </si>
  <si>
    <t>Көлікке жарнама орналастыру (көліктің сырты мен ішіне жаранама орналастыру)</t>
  </si>
  <si>
    <t>Сыртқы жарнама орнату қызметтері</t>
  </si>
  <si>
    <t>Услуги по размещению наружной рекламы</t>
  </si>
  <si>
    <t>Сыртқы жарнаманың бірнеше түрінде -плакаттарда, стендтерде, саулелік таблоларда, билбордтарда</t>
  </si>
  <si>
    <t>На нескольких видах наружней рекламы - плакатах, стендах, световых табло, билбордах</t>
  </si>
  <si>
    <t>Метрода жарнама орналастыру</t>
  </si>
  <si>
    <t xml:space="preserve">ЖКБ, КҚО, субсидиялар, кепілдіктер бойынша жарнамалық буклеттердің таралымын көбейту </t>
  </si>
  <si>
    <t>Организация заочного обучения в г. Астана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</si>
  <si>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Организация заочного обучения в г. Алматы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</si>
  <si>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 xml:space="preserve">Услуги по созданию рекламных аудио и видео роликов по проекту «Деловые связи» </t>
  </si>
  <si>
    <t xml:space="preserve">Размещение информации в СМИ о начале и ходе реализации проекта «Деловые связи» </t>
  </si>
  <si>
    <t>73.12.19.20.00.00.00</t>
  </si>
  <si>
    <t>Услуги по размещению объявлений в средствах массовой информации</t>
  </si>
  <si>
    <t>Услуги по размещению объявлений в средствах массовой информации (радио, телевидение, интернет и др.)</t>
  </si>
  <si>
    <t>Содействие в создании Ассоциаций, клубов выпускников-участников Проекта посредством проведения для них семинаров, мастер-классов, лекций по развитию бизнеса, с привлечением ведущих бизнес-тренеров (в гг. Астана, Алматы и четырех регионах – восток-запад-север-юг)</t>
  </si>
  <si>
    <t>Отправка участников на зарубежную стажировку (авиабилеты)</t>
  </si>
  <si>
    <t>85.60.10.10.00.00.00</t>
  </si>
  <si>
    <t>Услуги по образовательным консультациям</t>
  </si>
  <si>
    <t>63.11.30.10.00.00.00</t>
  </si>
  <si>
    <t>Услуги по предоставлению места  или времени для рекламы в Интернете</t>
  </si>
  <si>
    <t>Услуги включают медийную и контекстную рекламу, рассылки, поисковую оптимизацию, размещение в каталогах.</t>
  </si>
  <si>
    <t>Интернетте жарнама орналастыру үшін уақыт немесе орын беру қызметтері</t>
  </si>
  <si>
    <t xml:space="preserve">Медийндік және мәнмәтіндік жарнамаларды, жарнама таратуды, іздестіруді оңтайландыруды, каталогтарда орналастыру қызметтерін қамтиды   </t>
  </si>
  <si>
    <t>Услуги по продаже и аренде места для рекламы, предоставляемые за вознаграждение или на договорной основе</t>
  </si>
  <si>
    <t>Сыйақы үшін немесе шарт негізінде жарнамаға араналған орындарды сату немесе жалға беру қызметтері</t>
  </si>
  <si>
    <t>Услуги по продаже и аренде места для рекламы в Интернете, предоставляемые за вознаграждение или на договорной основе</t>
  </si>
  <si>
    <t>Размещение рекламных модулей на почтовом Интернет портале</t>
  </si>
  <si>
    <t>Пошталық Интернет  порталында жарнамалық модульдер орналастыру</t>
  </si>
  <si>
    <t>Услуги по изготовлению лайтбоксов</t>
  </si>
  <si>
    <t>Алматы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</si>
  <si>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Астана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</si>
  <si>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"Іскерлік байланыстар" жобасы бойынша аудио және бейне роликтер дайындау қызметтері</t>
  </si>
  <si>
    <t>Хабарландыруларды бұқараттық ақпарат құралдарына орналастыру қызметтері (радио, теледидар, интернет және т.б.)</t>
  </si>
  <si>
    <t xml:space="preserve">"Іскерлік байланыстар" жобасының басталуы және оның іске асырылу барысы бойынша ақпараттарды БАҚ орналастыру </t>
  </si>
  <si>
    <t>Жоба қатысушыларына жетекші бизнес-тренерлердің қатысуымен семинарлар, мастер-класстар, бизнесті даму туралы лекциялар ұйымдастыру арқылы Ассоциация, бітірушілер клубын құруға көмек көрсету (Астана, Алматы қ.  және 4 аймақта - шығыс-батыс-солтүстік-оңтүстік)</t>
  </si>
  <si>
    <t>Оқытушылар құрамының жолы мен іс-сапар шығындары (визаларды рәсімдеу, шет ел бизнес-тренерлерінің медициналаық сақтандыруларын, көлік шығындары мен қазақстандық және шет ел бизнес-тренерлерінің өмір сүру шығындарын төлеуді қосқанда)</t>
  </si>
  <si>
    <t xml:space="preserve">Қатысушыларды шетелдік тағылымдамаға жіберуге дайындық(авиабилеттер) </t>
  </si>
  <si>
    <t xml:space="preserve">Қатысушыларды шетелдік тағылымдамаға жіберу (авиабилеттер) </t>
  </si>
  <si>
    <t>Білім беруге арналған ұйымдардың: ережелер мен әдістемелік нұсқаулықтарды дайындаудағы, курстың оқу жоспарын дайындау мен бекітудегі, "Іскерлік байланыстар" жобасы аясында бизнес-тренерлерге  мастер-класстар ұйымдастыру мен өткізудегі қызметтері. Сонымен бірге әкімшілік-басқарушылық шығындары, төлем ақы мен тренер-кеңесшілермен келісу қызметтер бойынша салықтық төлемдері,  бизнес-тренингтердің жобасын дайынау, бактік счетті жүргізудегі банк қыметтері бойынша шығындары</t>
  </si>
  <si>
    <t>Білім беруге қатысты кеңес беру қызметтері</t>
  </si>
  <si>
    <t>Журналдар мен мерзімдік басылымдарда жарнамалық ақпараттарды электронды орналастыру үшін орындар сату қызметтері</t>
  </si>
  <si>
    <t xml:space="preserve">Журналдар мен мерзімдік басылымдарда жарнамалық ақпараттарды электронды түрде орналастыру </t>
  </si>
  <si>
    <t>Кепілдік, субсидия, КҚКО өнімдері бойынша веб-баннерді орналастыру</t>
  </si>
  <si>
    <t>Радиода уақыт сату қызметтері</t>
  </si>
  <si>
    <t>Радиода жарнамалық уақытты сату қызметтері</t>
  </si>
  <si>
    <t>Мемдекеттік қолдау бағраламалары туралы роликтерді радиоға орналастыру қызметтері</t>
  </si>
  <si>
    <t>Теледидар бағдарламаларын шығару қызметтері</t>
  </si>
  <si>
    <t xml:space="preserve">Трансляцияға шығару үшін магниттік лентаға немесе басқа техникалық құралдарға жазылған ақпараттық теледидар бағдарламаларын шығару қызметтері, </t>
  </si>
  <si>
    <t>Жарнамалық тв-роликтерді шығару</t>
  </si>
  <si>
    <t>Сыйақы үшін немесе шарт негізінде, телидидарда жарнамаға араналған орындарды сату немесе жалға беру қызметтері</t>
  </si>
  <si>
    <t>Жарнамалық тв-роликтерді кинотеатрларды киносенстардың алдында орналастыру</t>
  </si>
  <si>
    <t>Лайтбокстарды дайындау қызметтері</t>
  </si>
  <si>
    <t xml:space="preserve">Участие в I Региональном инвестиционно-экономическом Форуме "Эксперт-Западный Казахстан" </t>
  </si>
  <si>
    <t>модернизация сайта www.damu.kz (разработка дизайна, разработка мобильного приложения)</t>
  </si>
  <si>
    <t>"Эксперт-Батыс Қазақстан" І Аймақтық инвестициялық-экономикалық Форуға қатысу</t>
  </si>
  <si>
    <t>Услуги по изменению, добавлению текстов, графических элементов сайта</t>
  </si>
  <si>
    <t>www.damu.kz сайтын қайта құру (дизайн дайындау, мобильдік қосымша дайындау)</t>
  </si>
  <si>
    <t>74.90.13.10.00.00.00</t>
  </si>
  <si>
    <t>Услуги консультационные в области экологии по природоохранному проектированию, нормированию</t>
  </si>
  <si>
    <t>Консультации в области экологии по природоохранному проектированию, разработке системы правил (норм), количественных и качественных показателей (нормативов) состояния окружающей среды и степени воздействия на нее</t>
  </si>
  <si>
    <t>Услуги по оформлению разришительных документов на эмиссий в окружающую среду "Нормативов предельно допустимых выбрасов" для Административного здания</t>
  </si>
  <si>
    <t xml:space="preserve">30 календарных дней с даты подписания договора </t>
  </si>
  <si>
    <t>Экология саласында табиғатты қорғауды жобалау, норма қою бойынша кеңестік қызметтер</t>
  </si>
  <si>
    <t>Экология саласында табиғатты қорғауды жобалау, қоршаған ортаның сандық және сапалық көсеткіштері (нормативтері) және оған әсер ету бойынша ереже жүйесін (нормаларын) дайындауда кеңестік қызметтер</t>
  </si>
  <si>
    <t>Әкімшілік ғимаратқа "Шығыстардың шекті мөлшер нормативтеріне" сәйкес қоршаған ортаға эмиссиялары бойынша рұқсат құжаттарын рәсімдеу қызметтері</t>
  </si>
  <si>
    <t>26.70.17.00.00.03.12.10.1</t>
  </si>
  <si>
    <t>Экран проекционный</t>
  </si>
  <si>
    <t>Подпружиненный с ручным приводом на штативе</t>
  </si>
  <si>
    <t>Проекциялық экран</t>
  </si>
  <si>
    <t>Штативте қолмен іске келтіретін пружинасымен</t>
  </si>
  <si>
    <t>Доска-флипчарт, маркерно-магнитная, тренога с регулировкой высоты в высату до 185 см, размер доски 60х90 см</t>
  </si>
  <si>
    <t>Тақта-флипчарт, маркерлі-магнитті, 185 см биіктікке дейін реттеуге келетін үшаяғымен, тақта көлемі 60х90 см</t>
  </si>
  <si>
    <t>Ручка шариковая с логотипом, пластиковая, автоматическая</t>
  </si>
  <si>
    <t>Шарикті қалам логотипімен бірге, пластиктен, автоматты</t>
  </si>
  <si>
    <t>Разработка дизайна, распечатка и оклейка на окнах ЦОП рекламных изображений на перфорированной пленке</t>
  </si>
  <si>
    <t>Дизайн дайындау, перфорирлік пленкада жасалған суреттерді шығару және КҚКО әйнектеріне жапыстыру</t>
  </si>
  <si>
    <t>с даты подписания договора по 31.07.2014г.</t>
  </si>
  <si>
    <t>Расходы на проезд и командирование преподавательского состава в г. Астана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</si>
  <si>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Расходы на проезд и командирование преподавательского состава в г. Алматы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</si>
  <si>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Күзет дабылдамасын орнатумен байланысты қызметтер</t>
  </si>
  <si>
    <t>Услуги по устройству охранной сигнализации</t>
  </si>
  <si>
    <t>Нысанға күзет дабылдамасын орнатумен байланысты қызметтер</t>
  </si>
  <si>
    <t>Услуги, связанные с устройством охранной сигнализации на объекте</t>
  </si>
  <si>
    <t>43.21.10.10.10.11.00</t>
  </si>
  <si>
    <t>Участие в выставке "Услуги для малого и среднего бизнеса" в рамках "Стартап форум - 2014"</t>
  </si>
  <si>
    <t xml:space="preserve">Организация  очного обучения в г. Астана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</si>
  <si>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Организация  очного обучения в г. Алматы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</si>
  <si>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Астана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</si>
  <si>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 xml:space="preserve">Алматы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</si>
  <si>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Подготовка учебных материалов в г. Астана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</si>
  <si>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Астана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</si>
  <si>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Подготовка учебных материалов в г. Алматы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</si>
  <si>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Алматы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</si>
  <si>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Услуги образовательного учреждения в г. Алматы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</si>
  <si>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Услуги образовательного учреждения в г. Астана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</si>
  <si>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51.10.13.10.00.00.00</t>
  </si>
  <si>
    <t>Услуги по перевозкам пассажирские воздушным транспортом на международных линиях, подчиняющиеся расписанию</t>
  </si>
  <si>
    <t>Услуги по перевозкам пассажирским воздушным транспортом на международных линиях, подчиняющиеся расписанию</t>
  </si>
  <si>
    <t>Халықаралық жолдармен кестеге сәйкес әуе кемелері арқылы жолаушыларды тасымалдау қызметтері</t>
  </si>
  <si>
    <t>01.19.21.00.00.00.04.10.1</t>
  </si>
  <si>
    <t>Өсімдіктер бөлмелі</t>
  </si>
  <si>
    <t>Растения комнатные</t>
  </si>
  <si>
    <t>Цветы комнатные</t>
  </si>
  <si>
    <t>Гүл бөлмелі</t>
  </si>
  <si>
    <t>Гүл және өсімдіктер бөлмелі горшоқтарда</t>
  </si>
  <si>
    <t>Цветы и растения комнатные в горшках</t>
  </si>
  <si>
    <t>23.49.11.00.00.00.00.31.1</t>
  </si>
  <si>
    <t>Горшок</t>
  </si>
  <si>
    <t>Тауар қаптайтын горшоктар</t>
  </si>
  <si>
    <t>Горшки для упаковки товаров</t>
  </si>
  <si>
    <t xml:space="preserve">Гүлге арналған горшоктар  (үлкен) </t>
  </si>
  <si>
    <t>Горшки для цветов (большой)</t>
  </si>
  <si>
    <t>22.22.19.00.00.10.20.01.1</t>
  </si>
  <si>
    <t>Пластмасадан жасалған басқада қаптағыш заттар</t>
  </si>
  <si>
    <t>Изделия упаковочные прочие из пластмасс</t>
  </si>
  <si>
    <t>Басқа топтамаларда көрсетілмеген, басқа да заттар</t>
  </si>
  <si>
    <t>Пластиктен  жасалған мусорға арналған урна, ішкі</t>
  </si>
  <si>
    <t>Урна пластиковая для мусора внутренняя</t>
  </si>
  <si>
    <t>43.21.10.11.00.00.00</t>
  </si>
  <si>
    <t>Работы по установке электропроводки</t>
  </si>
  <si>
    <t>Работы, связанные с прокладыванием электропроводки в здании (помещении)</t>
  </si>
  <si>
    <t>Монтаж электрического кабеля с подключением лифтового оборудования дизель-генераторной установке</t>
  </si>
  <si>
    <t>Лифтіні дизель-генератор құрылғысына қосу үшін электро кабельді жүргізу жұмыстары</t>
  </si>
  <si>
    <t>Услуги по страхованию от несчастных случаев</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</si>
  <si>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</si>
  <si>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Оқыс жағдайлардан сақтандыру қызметтері</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</si>
  <si>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</si>
  <si>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Электро желілерді құру жұмыстары</t>
  </si>
  <si>
    <t>Ғимарат (жайларға) электро желілерді құрумен байланысты жұмыстар</t>
  </si>
  <si>
    <t>73.20.20.20.00.00.00</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</si>
  <si>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</si>
  <si>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</si>
  <si>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</si>
  <si>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</si>
  <si>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33.20.70.15.00.00.00</t>
  </si>
  <si>
    <t>Установка прибора учета тепловой энергии</t>
  </si>
  <si>
    <t>Жылу энергиясын есепке алу құрылғысын орнату</t>
  </si>
  <si>
    <t xml:space="preserve">45 календарных дней с даты подписания договора </t>
  </si>
  <si>
    <t xml:space="preserve">"Стартап форум - 2014" аясындағы "Кіші және орта бизнеске қызмет" көрмесіне қатысу қызметтері </t>
  </si>
  <si>
    <t>Күнтізбе және өзге кеңсе баспа өнімдерін, оның ішінде имидждік өнімдерді әзірлеу, дайындау, теру және басуға дайындау бойынша қызметтер</t>
  </si>
  <si>
    <t>Разработка и тиражирование печатной продукции по условиям и механизмам мер государственной поддержки (по компоненту "Бизнес-Насихат")</t>
  </si>
  <si>
    <t>Мемлекеттік қолдау шараларының тетіктері мен талаптары бойынша баспа өнімін әзірлеу және тираждау ("Бизнес-Насихат" компоненті бойынша)</t>
  </si>
  <si>
    <t>Подготовка фотогалереи проводимых мероприятий по поддержке предпринимательства (по компоненту "Бизнес-Насихат")</t>
  </si>
  <si>
    <t>Кәсіпкерлікті қолдау бойынша өткізілеітін іс-шаралар фотогалереясын дайындау ("Бизнес-Насихат" компоненті бойынша)</t>
  </si>
  <si>
    <t>Разработка и размещение в СМИ рассказов об участниках Программы («Истории успеха»)  (по компоненту "Бизнес-Насихат")</t>
  </si>
  <si>
    <t>«Сәттілік тарихы» атты бағдарламаның қатысушылары туралы БАҚ әңгімелер дайындау және орналастыру ("Бизнес-Насихат" компоненті бойынша)</t>
  </si>
  <si>
    <t>Разработка и запуск цикла передач в жанре «Специального репортажа» на региональных и республиканских телеканалах  (по компоненту "Бизнес-Насихат")</t>
  </si>
  <si>
    <t>«Арнайы репортажа» жанрында өңірлік және республикалық телеарналардан хабарлар циклын дайындау және шығару ("Бизнес-Насихат" компоненті бойынша)</t>
  </si>
  <si>
    <t>Тиражирование и распространение информационно-аналитических справочников и учебно-методических пособий для предпринимателей по основам предпринимательской деятельности, подготовленных с привлечением организаций, специализирующихся в вопросах законодательства и регулирования в сфере предпринимательства  (по компоненту "Бизнес-Насихат")</t>
  </si>
  <si>
    <t>заң мәселелері  және кәсіпкерлік саласын реттеу мәселелері бойынша маманданып жүрген ұйымдарды тарта отырып дайындалған кәсіпкерлік қызмет негіздері бойынша кәсіпкерлерге арналған ақпараттық-аналитикалық анықтамалар мен оқу-әдістемелік оқулықтарды тираждау және тарату ("Бизнес-Насихат" компоненті бойынша)</t>
  </si>
  <si>
    <t>Организация серии телепередач с участием экспертов, предпринимателей, общественных деятелей, зарубежных специалистов (по компоненту "Бизнес-Насихат")</t>
  </si>
  <si>
    <t>Сарапшылардың, кәсіпкерлердің, қоғам қайраткерлерінің, шет ел мамандарының қатысуымен телехабарлар сериясын ұйымдастыру ("Бизнес-Насихат" компоненті бойынша)</t>
  </si>
  <si>
    <t>Проведение открытых лекций, мастер-классов для начинающих предпринимателей (по компоненту "Бизнес-Насихат")</t>
  </si>
  <si>
    <t>Кәсібін жаңа бастаған кәсіпкерлер үшін ашық лекциялар, мастер-кластар өткізу ("Бизнес-Насихат" компоненті бойынша)</t>
  </si>
  <si>
    <t>Организация рубрики по предпринимательству в печатном деловом издании (по компоненту "Бизнес-Насихат")</t>
  </si>
  <si>
    <t>Іскерлік баспа басылымында кәсіпкерлік бойынша айдар ұйымдастыру ("Бизнес-Насихат" компоненті бойынша)</t>
  </si>
  <si>
    <t xml:space="preserve">Ақпараттық іс-шаралар өткізу (форумдар, конференциялар, сессия, семинарлар, кеңестер және т.б.) </t>
  </si>
  <si>
    <t xml:space="preserve">Услуги по повышению квалификации руководящих работников и менеджеров в области внедрения новых методов управления и технологии по реализации компонента "Страшие сеньоры" </t>
  </si>
  <si>
    <t>"Аға сеньорлар" компоненті бойынша басқарушы қызметкерлер  мен менеджерлердің басқару және технологияларға байланысты жаңа әдістерді ендіру саласында біліктілігін көтеру қызметтері</t>
  </si>
  <si>
    <t>Мониторинг реализации проекта "Деловые связи"</t>
  </si>
  <si>
    <t>Организация и проведение мастер-классов в рамках Финансового Клуба</t>
  </si>
  <si>
    <t>41.00.40.30.10.00.00</t>
  </si>
  <si>
    <t>Работы строительные по реконструкции административного здания</t>
  </si>
  <si>
    <t>Әкімшілік ғимаратты қайта құру жұмыстары</t>
  </si>
  <si>
    <t>Комплекс работ по реконструкции административного здания офисного типа</t>
  </si>
  <si>
    <t>Әкімшілік ғимаратты қайта құрудағы комплексті жұмыстар</t>
  </si>
  <si>
    <t>Установка перегородок, перил, зеркал, покраска стен и потолков, демонтаж ограждений, асфальта, монтаж асфальта и бордюр</t>
  </si>
  <si>
    <t xml:space="preserve"> Конференц залға арнлаған стол</t>
  </si>
  <si>
    <t>Стол для конференц зала</t>
  </si>
  <si>
    <t>Конференц-стол из закаленного стекла толщиной 100 мм, 3000*1400*750 мм</t>
  </si>
  <si>
    <t>31.01.12.00.00.00.04.01.1</t>
  </si>
  <si>
    <t>ДСП жасалынған журнал үстелі</t>
  </si>
  <si>
    <t>Стол журнальный. ДСП.</t>
  </si>
  <si>
    <t>Каркас ДСП, столещница из закаленного стекла 1000*500*450 мм</t>
  </si>
  <si>
    <t>31.02.10.00.00.01.03.02.1</t>
  </si>
  <si>
    <t>Для посуды с выдвижными ящиками</t>
  </si>
  <si>
    <t>Шкаф для посуды / бар из массива древесины. Внутри располагаются полки и выдвижные ящики (для салфеток, скатертей, полотенец). Распашные дверцы обиты кожей (квадратные детали сшиты вручную) или полностью выполнены из древесины. Фасады снабжены металлическими ручками.</t>
  </si>
  <si>
    <t>Цветы, листья и фрукты искусственные и их части</t>
  </si>
  <si>
    <t>Цветы искусственные</t>
  </si>
  <si>
    <t>Фито-модуль 2*1 м с логотипом, система автотоплива, дренаж, удобрения, комплект труб</t>
  </si>
  <si>
    <t>01.19.21.00.00.00.03.90.1</t>
  </si>
  <si>
    <t>Горшоктағы гүл мен өсімдіктер бөлмелі</t>
  </si>
  <si>
    <t>Написанная маслом, 70*150*2,8 см</t>
  </si>
  <si>
    <t>Картина</t>
  </si>
  <si>
    <t>26.52.14.00.00.00.04.20.1</t>
  </si>
  <si>
    <t>Часы настольные</t>
  </si>
  <si>
    <t>Электрические</t>
  </si>
  <si>
    <t>13.92.15.00.00.50.20.03.2</t>
  </si>
  <si>
    <t>Аралас маталардан жасалған жалюздер</t>
  </si>
  <si>
    <t>Жалюзи из смешанных тканей</t>
  </si>
  <si>
    <t>Мақта маталардане жасалған жалюздердің басқа түрлері</t>
  </si>
  <si>
    <t>Прочие виды жалюзи из ткани из волокон хлопка</t>
  </si>
  <si>
    <t>Жалюзи вертикальные, роликовые, горизонтальные</t>
  </si>
  <si>
    <t>Вертикальная, стальная, 20 л</t>
  </si>
  <si>
    <t>Канистра</t>
  </si>
  <si>
    <t>25.91.12.00.00.10.14.10.1</t>
  </si>
  <si>
    <t>Цветочная компазиция</t>
  </si>
  <si>
    <t>27.12.31.16.11.11.11.10.1</t>
  </si>
  <si>
    <t>Ящик для счетчика электроэнергии</t>
  </si>
  <si>
    <t>30 рабочих дней с даты подписания договора</t>
  </si>
  <si>
    <t>27.12.22.91.11.11.11.10.1</t>
  </si>
  <si>
    <t>Выключатель автоматический</t>
  </si>
  <si>
    <t>52.21.19.40.13.00.00</t>
  </si>
  <si>
    <t>Услуги по проведению энергетической экспертизы технического состояния электроустановок</t>
  </si>
  <si>
    <t>Демонтаж кровельного покрытия, монтаж колонн входной группы,  ферм, связей и прогонов входной группы, устройство кровельного покрытия профнастилом, установка галтелей фасадных колонн и полуколонн капителей</t>
  </si>
  <si>
    <t>26.51.63.14.13.11.11.11.1</t>
  </si>
  <si>
    <t xml:space="preserve">Счетчик электрической энергии </t>
  </si>
  <si>
    <t xml:space="preserve">Счетчик электрической энергии типа «Дала» СА4-Э720 ТХР PLC IP </t>
  </si>
  <si>
    <t>27.40.22.00.00.11.10.14.1</t>
  </si>
  <si>
    <t xml:space="preserve">Прожектор </t>
  </si>
  <si>
    <t>Для освещения здания (архитектурный):</t>
  </si>
  <si>
    <t>73.11.11.17.00.00.00</t>
  </si>
  <si>
    <t>Услуги по маркетинговым консультациям</t>
  </si>
  <si>
    <t>Маркетингтік кеңес беру қызметтері</t>
  </si>
  <si>
    <t>«Іскерлік байланыстар» жобасының іске асрылуының мониторингі</t>
  </si>
  <si>
    <t>Қаржылық клуб аясында мастер-класстар ұйымдастыру және өткізу</t>
  </si>
  <si>
    <t>Аралық қабырғалар, баспалдақ таяныштарын, айналар құру, қабырға едендерді сырлау, асфальт бордюрларды бұзу қайта құру</t>
  </si>
  <si>
    <t>32.99.55.00.00.00.00.15.1</t>
  </si>
  <si>
    <t>Изделия, сделанные из искусственных цветов, листьев и фруктов (например, букеты, гирлянды, венки, растения)</t>
  </si>
  <si>
    <t>Жасанды гүл, жапырақ және жемістер, олардың бөлшектері</t>
  </si>
  <si>
    <t>Жасанды гүлден жасалған заттар (мысалы, букеттер, гирляндалар, веноктар, өсімдіктер)</t>
  </si>
  <si>
    <t>Жасанды гүлдер</t>
  </si>
  <si>
    <t>Басқа материалдардан қабырғалық</t>
  </si>
  <si>
    <t>Настенная из прочих материалов</t>
  </si>
  <si>
    <t>Маймен жаэылған, 70*150*2,8 см</t>
  </si>
  <si>
    <t>Үстелге арналған сағат</t>
  </si>
  <si>
    <t>Электрические. С механизмом часовым, отличным от обычного (для систем часовых электрических).</t>
  </si>
  <si>
    <t>Электронды. Қалыпты сағаттық механизмнен бөлек (электронды сағат жүйесі үшін)</t>
  </si>
  <si>
    <t>Электронды</t>
  </si>
  <si>
    <t>Вертикалды жалюздер, роликтермен, горизонталды</t>
  </si>
  <si>
    <t>Канистры для любых веществ (кроме газов) вместимостью менее 50 л из черных металлов</t>
  </si>
  <si>
    <t>Барлық сұйықтықтарға арналған канистра (газдан бөлек), қара темірден жасалған көлемі 50 л кем емес</t>
  </si>
  <si>
    <t>Вертикалды, болат 20 л</t>
  </si>
  <si>
    <t>Готовая цветочная композиция из цветов одного вида или сборная</t>
  </si>
  <si>
    <t>Гүл компазициясы</t>
  </si>
  <si>
    <t>Бір түрлі немесе әр түрлі гүлдерден жасалған компазиция</t>
  </si>
  <si>
    <t>Фито-модуль 2*1 м логотипімен, автотоплива жүйесі, дренаж, трубалар комплекті</t>
  </si>
  <si>
    <t>Шыңдалған шыныдан жасалған конференц-үстел, көлемі 100 мм, 3000*1400*750 мм</t>
  </si>
  <si>
    <t>Қабырғалары ДСП, үстел беті шыңдалған шыны 1000*500*450 мм</t>
  </si>
  <si>
    <t>Ыдысқа арналған шкаф/массивті ағаштан жасалған бар. Ішінде жылжымалы қобдишалары бар (салфеткалар, дастархандарға, қол шашықтарға арналған). Ашылмалы есіктері былғарымен қапталған (квадратты бөлшектері қолдан тігілген) немесе толық ағаштан жасалған. Фассады темір ашқыштармен жабдықталған</t>
  </si>
  <si>
    <t>Ыдысқа арналған жылжымалы қобдишасымен</t>
  </si>
  <si>
    <t>типа ЯАЕ, для защиты от перегрузок и токов короткого замыкания электрических установок, питаемых от сетей переменного тока, для нечастых оперативных включений и отключений этих устаноновок. Номинальный ток от 10 до 63 А</t>
  </si>
  <si>
    <t>Электроэнергия есептегішіне арналған қобдиша</t>
  </si>
  <si>
    <t>Басқалар</t>
  </si>
  <si>
    <t>Прочий</t>
  </si>
  <si>
    <t>Техникалық жағдайына энергетикалық сараптама жүргізу қызметтері</t>
  </si>
  <si>
    <t>Энергетическая экспертиза технического состояния электроустановок</t>
  </si>
  <si>
    <t>Электроқондырғылардың техникалық жағдайына энергетикалық сараптама жүргізу қызметтері</t>
  </si>
  <si>
    <t xml:space="preserve">Жабу құралдарын бұзу, кіру топтамасының колонналарын құру, ферм, жабу құралдарын профнастилмен қайта құру, кіру топтамасындағы фассад коллонналарының галтелдерін құру </t>
  </si>
  <si>
    <t>СЭТ-4ТМ.03. Трехфазный многотарифный цифровой счетчик с последовательным цифровым интерфейсом передачи данных, трансформаторного включения (ТТ и ТН), прямого и обратного направления, активной и реактивной энергии. Соответствуют ГОСТ 30206-94</t>
  </si>
  <si>
    <t>СЭТ-4ТМ.03. Үш фазалы көптарифтік сандық счетчик, мәліметтерді жолдауға  сандық интерфейсі бар, трансформаторлық қосқыш (ТТ и ТН), тікелей және қайта бағыттағыш, активті және реактивті энергии. ГОСТ 30206-94 сәйкес</t>
  </si>
  <si>
    <t>Электр энергиясының счетчигі</t>
  </si>
  <si>
    <t xml:space="preserve">Электр энергиясының счетчигі «Дала» СА4-Э720 ТХР PLC IP типті </t>
  </si>
  <si>
    <t>ГОСТ 6047-90, К-лампы ксеноновые</t>
  </si>
  <si>
    <t>ГОСТ 6047-90, К-лампы ксеноннан</t>
  </si>
  <si>
    <t>Ғимаратты жарықтандыру үшін (архитиктуралы)</t>
  </si>
  <si>
    <t>ЯАЕ типтес, кезекті ток желілеріне қосылған, электр қондырғыларды токтың қысқа тұйықталуынан,шамадан тыс берілуінен қорғауға арналған, осы қондырғыларды жылдам және опреативті қосу үшін. Номиналды ток 10 нан 63 А дейн</t>
  </si>
  <si>
    <t>14.19.22.00.00.00.10.10.1</t>
  </si>
  <si>
    <t>Костюм спортивный</t>
  </si>
  <si>
    <t>Костюмы спортивные мужские из хлопчатобумажных тканей</t>
  </si>
  <si>
    <t>Футболки, шорты, гетры, вратарская экипировка</t>
  </si>
  <si>
    <t>Спорттық костюмдер</t>
  </si>
  <si>
    <t>Ерлерге арналған мақта-мата кездемесінен жасалған спорттық костюмдер</t>
  </si>
  <si>
    <t>Футболкалар, шорты, гетры, қақпашы экипировкасы</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</si>
  <si>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</si>
  <si>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</si>
  <si>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</si>
  <si>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обработке и анализу данных анкетирования предпринимателей и представления результатов</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</si>
  <si>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</si>
  <si>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</si>
  <si>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Кәсіпкерлерден алынған сауалнамаларды өңдеу және талдау, оның нәтижелерін беру қызметтері</t>
  </si>
  <si>
    <t>27.12.22.11.15.12.11.10.1</t>
  </si>
  <si>
    <t>Автоматты ажырақыш</t>
  </si>
  <si>
    <t>Үш полисті нейтральмен бірге, магниттік ажыратқышымен (расцепитель), А типтес, үлкен қашықтықтағы электрожелілерді ажыратуға және жартылай өткізгіштік құрылғыларды қорғауға арналған</t>
  </si>
  <si>
    <t>Трехполюсный с нейтралью, с магнитным размыкателем (расцепитель), типа А, для размыкания цепей с большой протяженностью электропроводки и для защиты полупроводниковых устройств .</t>
  </si>
  <si>
    <t>С кабелем и наконечником</t>
  </si>
  <si>
    <t>Кабелі және ұштығымен бірге</t>
  </si>
  <si>
    <t>Услуги по мониторингу выхода информации о Фонде (пресс-досье) и предоставлению контент-анализа материалов СМИ</t>
  </si>
  <si>
    <t>Қоғам туралы ақпараттардың мониторингі (пресс-досье) және контент-талдауларды беру қызметтері</t>
  </si>
  <si>
    <t>35.22.10.10.10.00.00</t>
  </si>
  <si>
    <t>Услуги по распределению газообразного топлива по газораспределительным сетям</t>
  </si>
  <si>
    <t>Услуги по распределению газообразного топлива по газораспределительным сетям для отопительных нужд</t>
  </si>
  <si>
    <t>Газтасымалдау жүйесі бойынша газ типтес жанармай тарату қызметтері</t>
  </si>
  <si>
    <t>Жылыту үшін газтасымалдау жүйесі бойынша газ типтес жанармай тарату қызметтері</t>
  </si>
  <si>
    <t>Проведение конкурса среди представителей СМИ на лучший материал о Программе или о предпринимательстве в целом (по компоненту "Бизнес-Насихат")</t>
  </si>
  <si>
    <t>БАҚ өкілдері арасында Бағдарлама туралы немесе жалпы кәсіпкерлік туралы ең үздік материалға конкурс өткізу ("Бизнес-Насихат" компоненті бойынша)</t>
  </si>
  <si>
    <t>Организация и проведение конкурса «Лучший предприниматель года» (по компоненту "Бизнес-Насихат")</t>
  </si>
  <si>
    <t>«Жылдың үздік кәсіпкері» конкурсын ұйымдастыру және өткізу ("Бизнес-Насихат" компоненті бойынша)</t>
  </si>
  <si>
    <t>63.11.11.30.10.00.00</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</si>
  <si>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</si>
  <si>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</si>
  <si>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Услуги по восстановлению хронологии договоров субсидирования и графиков в Системе.</t>
  </si>
  <si>
    <t>150 календарных дней с даты подписания договора</t>
  </si>
  <si>
    <t>63.99.10.30.00.00</t>
  </si>
  <si>
    <t>Услуги информационные</t>
  </si>
  <si>
    <t>Услуги по предоставлению и (или) обработке информации</t>
  </si>
  <si>
    <t>Услуги по расшифровке распоряжений по выплаченным субсидиям с разбивкой сумм до даты погашения, указанием источника финансирования за период с 2010 по 2012г.</t>
  </si>
  <si>
    <t>82.99.19.10.00.00.00</t>
  </si>
  <si>
    <t>Услуги  вспомогательные коммерчиские прочие, не включенные в другие группировки</t>
  </si>
  <si>
    <t>Прочие услуги вспомогательные коммерческие, не включенные в другие группировки</t>
  </si>
  <si>
    <t>Услуги по найму аутсорсинговой компании для  внесения информаций по списанию банками субсидий на основании данных ДБУиО</t>
  </si>
  <si>
    <t>82.19.13.90.00.00</t>
  </si>
  <si>
    <t>Услуги по подготовке документов и услуги офисные специализированные вспомогательные прочие</t>
  </si>
  <si>
    <t>Подготовка документов и прочие услуги офисные специализированные вспомогательные, не включенные в другие группировки.</t>
  </si>
  <si>
    <t>Услуги по найму аутсорсинговой компании для формирования  актов сверки  по субсидированию с БВУ в разрезе заемщиков.</t>
  </si>
  <si>
    <t>Мәлметтерді толтыру қызметтері</t>
  </si>
  <si>
    <t>Мәліметтерді магниттік лентаға, дискіге және басқа да ақпарат тасмалдағыштарға немесе ақпараттық жүйеге (желіге) толтыру қызметтері</t>
  </si>
  <si>
    <t>Жүйеде субсидиялау шарртары мен кестелердің хронологиясын қалпына келтіру қызметтері</t>
  </si>
  <si>
    <t>Ақпараттық қызметтер</t>
  </si>
  <si>
    <t>Ақпараттарды беру және (немесе) өңдеу қызметтері</t>
  </si>
  <si>
    <t>Өзге топтарға кіргізілмеген тағы басқа коммерциялық көмекші қызметтер</t>
  </si>
  <si>
    <t>БЕжЕБД мәлметтерінің негізінде банктердің субсидияларды есептен шығару ақпараттарын ендіру үшін аутсорсингтік компнияны жалдау қызметтері</t>
  </si>
  <si>
    <t>Құжаттарды дайындау және мамандандырылған көмекші офистік қызметтер</t>
  </si>
  <si>
    <t>Құжаттарды дайындау және өзге топтарға кіргізілмеген басқа да мамандандырылған көмекші офистік қызметтер</t>
  </si>
  <si>
    <t>ЕДБ мен субсидиялау бойынша қарызгерлер тұрғысынан салыстырмалы актілерді дайындау үшін аутсорсингтік компанияны жалдау қызметтері</t>
  </si>
  <si>
    <t>Төленген субсидиялар өкімдерінің мағынасын  өтеу мерзіміне дейінгі соммаларымен ашу, 2010 мен 2012 жылдар аралығындағы қаржыландыру көзерін көсету қызметтері</t>
  </si>
  <si>
    <t>71.12.19.16.10.00.00</t>
  </si>
  <si>
    <t>Работы изыскательские</t>
  </si>
  <si>
    <t>Разработка эскизного проекта здания</t>
  </si>
  <si>
    <t xml:space="preserve">Разработка генерального плана участка ЦОП </t>
  </si>
  <si>
    <t>10 календарных дней с даты подписания договора</t>
  </si>
  <si>
    <t>71.12.19.11.00.00.00</t>
  </si>
  <si>
    <t>Работы инженерные по проектированию прочему</t>
  </si>
  <si>
    <t>Разработка сметной документации по ремонту фасада здания ЦОП</t>
  </si>
  <si>
    <t>43.33.10.10.00.00.00</t>
  </si>
  <si>
    <t>Работы по облицовке</t>
  </si>
  <si>
    <t>Обработка стен (шлифовка). Внутренняя/наружная отделка стен</t>
  </si>
  <si>
    <t>Ремонт фасада здания ЦОП</t>
  </si>
  <si>
    <t>42.11.20.20.30.00.00</t>
  </si>
  <si>
    <t>Работы строительные по ремонту прочих дорог</t>
  </si>
  <si>
    <t>Работы строительные по ремонту основания, покрытия дорог прочих</t>
  </si>
  <si>
    <t xml:space="preserve">Ремонт асфальтобетонного покрытия </t>
  </si>
  <si>
    <t>60 календарных дней с даты подписания договора</t>
  </si>
  <si>
    <t xml:space="preserve">Благоустройство и озеленение территории </t>
  </si>
  <si>
    <t>Аймақты көгалдандыру және сәулеттендіру</t>
  </si>
  <si>
    <t>Іздестіру жұмыстары</t>
  </si>
  <si>
    <t>Ғимартаттың эскиздік жобасын дайындау</t>
  </si>
  <si>
    <t>КҚКО жер телімінің бас жоспарын дайындау</t>
  </si>
  <si>
    <t>Басқа да инженерлік жобалау жұмыстары</t>
  </si>
  <si>
    <t>КҚКО ғимаратының қасбетін жөндеудің сметалық құжаттарын дайындау</t>
  </si>
  <si>
    <t>Қаптама жұмыстары</t>
  </si>
  <si>
    <t>Қабырғаларды өңдеу (шлифовка). Ішкі/сыртқы қабырғаларды өңдеу</t>
  </si>
  <si>
    <t>КҚКО ғимаратының қасбетін жөндеу</t>
  </si>
  <si>
    <t>Басқа да жолдарды жөндеу құрылыс жұмыстары</t>
  </si>
  <si>
    <t xml:space="preserve"> Басқа да жол қабаттарын, негізін (іргесін) жөндеу құрылыс жұмыстары</t>
  </si>
  <si>
    <t>Асфальтобетондық қабатты жөндеу</t>
  </si>
  <si>
    <t>Деректерді сақтау жүйесі</t>
  </si>
  <si>
    <t>Франчайзинг бойынша көрме өткізу үшін жайды жалға алу і</t>
  </si>
  <si>
    <t>32.99.61.00.00.00.30.10.1</t>
  </si>
  <si>
    <t>Программный  продукт для введения бухгалтерского учета</t>
  </si>
  <si>
    <t>Бухгалтерлік есепті жүргізуге арналған бағдарламалық өнім</t>
  </si>
  <si>
    <t>1С: Предприятие 8. Управление производственным предприятием для Казахстана</t>
  </si>
  <si>
    <t>1С: Предприятие 8. Қазақстан өндіріс кәсіпорнын басқаруға арналған</t>
  </si>
  <si>
    <t>26.70.13.00.00.00.21.80.1</t>
  </si>
  <si>
    <t>Со сменной оптикой. Зеркальные. Число эффективных пикселов: от 22 млн и более.</t>
  </si>
  <si>
    <t>Ауыспалы оптикасымен. Айналандырылған. Эфективті пиксельдердің саны: 22 мл. және одан жоғары</t>
  </si>
  <si>
    <t>Қағаз үшін қыспа</t>
  </si>
  <si>
    <t>Кәдесый өнімі</t>
  </si>
  <si>
    <t>13.92.29.00.00.00.60.80.1</t>
  </si>
  <si>
    <t>Чехол</t>
  </si>
  <si>
    <t>Чехлы из текстильных материалов для одежды, автомобилей, чемоданов, теннисных ракеток и т.п.</t>
  </si>
  <si>
    <t>Чехлы для автомашины</t>
  </si>
  <si>
    <t>Автокөлік чехолы</t>
  </si>
  <si>
    <t>Киімге, автокөлікке, чемодандарға, тенистік ракеткаларға  және т.б. арналған текстильді материалдардан жасалған чехолдар</t>
  </si>
  <si>
    <t>58.19.29.10.41.00.00</t>
  </si>
  <si>
    <t>Услуги по изданию (размещению) содержания прочего в сети, не включенного в другие группировки, прочие</t>
  </si>
  <si>
    <t>Өзге топтарға кіргізілмеген, желіде басқа да мазмұндарды шығару (орналастыру) қызметтері</t>
  </si>
  <si>
    <t>Услуги по изданию (размещению) интервью, обзоры, истории успеха в сети</t>
  </si>
  <si>
    <t>Желіде сұқбаттар, шолулар, сәттілік тарихтарын шығару (орналастыру) қызметтері</t>
  </si>
  <si>
    <t>Жеңіл автомобиль</t>
  </si>
  <si>
    <t>Услуги по организации и проведению тренинга для тренеров ШМП</t>
  </si>
  <si>
    <t>ЖКМ тренерлеріне тренинг ұйымдастыру және өткізу бойынша қызметтер</t>
  </si>
  <si>
    <t>Услуги по созданию стенда инвестиционной выставки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</si>
  <si>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"Қзақстан күндері" стендін дайындау қызметтері</t>
  </si>
  <si>
    <t>с даты подписания договора по 15.05.2014г.</t>
  </si>
  <si>
    <t>стендтерде</t>
  </si>
  <si>
    <t>на стендах</t>
  </si>
  <si>
    <t>Оформление выставочного стенда для участия в инвестиционной выставке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</si>
  <si>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қатысу үшін "Қзақстан күндері" стендін ресімдеу қызметтері</t>
  </si>
  <si>
    <t>71.11.22.11.00.00.00</t>
  </si>
  <si>
    <t>Техническое обследование, оценка технического состояния строительных конструкций зданий и сооружений</t>
  </si>
  <si>
    <t xml:space="preserve">Ғимараттың құрылыс конструциясының техникалық бақылау және техникалық жағдайына баға беру  </t>
  </si>
  <si>
    <t>31.01.12.00.00.02.01.04.1</t>
  </si>
  <si>
    <t>Стол ЛДСП рабочий. Габариты (ширина/длина) от 600/1201мм до 650/1300мм. Толщина столешницы 15-30мм, ПВХ 2-4мм.</t>
  </si>
  <si>
    <t>Жұмыс столы ЛДСП. Көлемдері (ұзындығы/ені)  600/1201мм. ден 650/1300 мм. Дейін. Қалыңдығы столешница 15-30мм, ПВХ 2-4мм</t>
  </si>
  <si>
    <t>Стол для лекционного зала</t>
  </si>
  <si>
    <t xml:space="preserve">Лекциялық залға  арналған үстел </t>
  </si>
  <si>
    <t>31.01.11.00.00.00.07.07.1</t>
  </si>
  <si>
    <t>Стул из гобелена. С выдживной пластиковой партой. Ножки черные металлические.</t>
  </si>
  <si>
    <t>Гобеленнен тігілген орындық. Жылжымалы пластиктен жасаған партасымен. Аяғы қара темірден</t>
  </si>
  <si>
    <t>Услуги по разработке учебно-методического пособия в рамках проекта "Бизнес-Советник-2"</t>
  </si>
  <si>
    <t>"Бизнес-Кеңесші-2" жобасы аясында оқу-әдістемелік құралдарын дайындау бойынша қызметтер</t>
  </si>
  <si>
    <t>Услуги по тиражированию раздаточных материалов в рамках проекта "Бизнес-Советник", "Бизнес-Советник - 2"</t>
  </si>
  <si>
    <t>"Бизнес-Кеңесші", "Бизнес-Кеңесші-2" жобалары аясында таратпа материалдарды дайындау бойынша қызметтер</t>
  </si>
  <si>
    <t>с даты подписания договора по 30.11.2014г.</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</si>
  <si>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</si>
  <si>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81.30.10.16.00.00.00</t>
  </si>
  <si>
    <t>Работы по благоустройству территории</t>
  </si>
  <si>
    <t xml:space="preserve">Комплекс работ предусматривающий организацию уборки территории, содержание, эксплуатацию, ремонт и охрану объектов и элементов благоустройства </t>
  </si>
  <si>
    <t>Аумақты көріктендіру  жұмыстары</t>
  </si>
  <si>
    <t>Аумақты тазалауды ұйымдастыру, объектіні және көркемдеу элементтерін ұстау, пайдалану, жөндеу және қорғауды қамтитын кешенді жұмыстар</t>
  </si>
  <si>
    <t>Демонтаж-монтаж тратуарной плитки, устройство бордюров, устройство кровли из полигаля, устройство покрытия из керамогранита и т.д.</t>
  </si>
  <si>
    <t>Тратуар плиталарын бұзу-қайта құру, бардюрлерді құру, полигалден шатыр құру, керамограниттен жабынды құру және т.б.</t>
  </si>
  <si>
    <t>25 календарных дней с даты подписания договора</t>
  </si>
  <si>
    <t>27.40.24.00.00.10.13.13.1</t>
  </si>
  <si>
    <t>Указательный знак</t>
  </si>
  <si>
    <t>ГОСТ 12.4.026-76, Расположение определенного места, объекта или средства</t>
  </si>
  <si>
    <t>15 рабочих дней с даты подписания договора</t>
  </si>
  <si>
    <t>Сілтеме белгі</t>
  </si>
  <si>
    <t xml:space="preserve">ГОСТ 12.4.026-76, жердің, объектінің немесе құралдың орналасқан жері </t>
  </si>
  <si>
    <t>27.40.24.00.00.10.13.12.1</t>
  </si>
  <si>
    <t>ГОСТ 12.4.026-76, Место курения</t>
  </si>
  <si>
    <t>ГОСТ 12.4.026-76, темекі тартатын орын</t>
  </si>
  <si>
    <t>27.40.24.00.00.10.12.19.1</t>
  </si>
  <si>
    <t>Предписывающий знак</t>
  </si>
  <si>
    <t>ГОСТ 12.4.026-76, Предписание определенных действий, направленных на обеспечение безопасности труда и пожарнойбезопасности</t>
  </si>
  <si>
    <t>Ұйғарым белгі</t>
  </si>
  <si>
    <t>ГОСТ 12.4.026-76, қауіпсіздікті қамтамассыз етуге бағытталған іс-әрекет ұйғарымы</t>
  </si>
  <si>
    <t>28.29.22.00.00.00.12.13.1</t>
  </si>
  <si>
    <t>Огнетушитель передвижной</t>
  </si>
  <si>
    <t>Жылжымалы өртсөндіргіш</t>
  </si>
  <si>
    <t>Огнетушитель передвижной воздушно-пенный со средней кратности пенной струи</t>
  </si>
  <si>
    <t>Орташа еселік ауа-көбікті жылжымалы өртсөндіргіш</t>
  </si>
  <si>
    <t>13.99.13.00.00.00.70.10.1</t>
  </si>
  <si>
    <t>Войлок юртовый (кошма)</t>
  </si>
  <si>
    <t>Противопожарный</t>
  </si>
  <si>
    <t>Қар үй киізі</t>
  </si>
  <si>
    <t>16.23.20.00.00.00.00.20.2</t>
  </si>
  <si>
    <t>Конструкция строительная сборная деревянная</t>
  </si>
  <si>
    <t>Щиты  и детали щитов прочие</t>
  </si>
  <si>
    <t>Ағаштан жасалған құрылыс конструкциясы</t>
  </si>
  <si>
    <t>Щит және щиттің басқа да  бөлшектері</t>
  </si>
  <si>
    <t>25.91.11.00.00.10.15.10.1</t>
  </si>
  <si>
    <t>Ящик</t>
  </si>
  <si>
    <t>Для любых веществ (кроме газов) вместимостью 50 л и более, но не более 300 л из черных металлов</t>
  </si>
  <si>
    <t>Барлық заттарға арналғани (газдан бөлек) сыйымдылығы 50 л және одан жоғары, бірақ 300 л артық емес, кара темірден жасалған</t>
  </si>
  <si>
    <t>71.12.12.15.00.00.00</t>
  </si>
  <si>
    <t>Работы инженерные по проектированию</t>
  </si>
  <si>
    <t>Разработка проектно-сметной документации по реконструкции зданий</t>
  </si>
  <si>
    <t>Жобалау бойынша инженерлік жұмыстар</t>
  </si>
  <si>
    <t>Ғимаратты қайта құруға байланымты жобалық-смета құаттарын дайындау</t>
  </si>
  <si>
    <t>ДГБ қызмет көрсету</t>
  </si>
  <si>
    <t xml:space="preserve">Обслуживание ДГУ </t>
  </si>
  <si>
    <t>43.21.10.10.20.11.00</t>
  </si>
  <si>
    <t>Услуги, связанные с устройством пожарной сигнализации на объекте</t>
  </si>
  <si>
    <t>Услуги по устройству пожарной сигнализации</t>
  </si>
  <si>
    <t>Өрт хабарлағышын орнатумен байланысты қызметтер</t>
  </si>
  <si>
    <t>Нысанға өрт хабарлағышын  орнатумен байланысты қызметтер</t>
  </si>
  <si>
    <t>Монтаж пожарной сигнализации в здании ЦОП</t>
  </si>
  <si>
    <t>КҚО ғимаратына өрт хабарлағышын орнатумен байланысты қызметтер</t>
  </si>
  <si>
    <t>Обслуживание сплит-систем (кондиционеров) здания ЦОП</t>
  </si>
  <si>
    <t>КҚО ғимаратының сплит жүйесін (кондицинерлерін) жөндеу және қызмет көрсету</t>
  </si>
  <si>
    <t>73.12.19.31.12.00.00</t>
  </si>
  <si>
    <t>Саулелік сыртқы маңдайша дайындау қызметтері</t>
  </si>
  <si>
    <t xml:space="preserve">Услуги по изготовлению наружной световой вывески </t>
  </si>
  <si>
    <t>Саулелік таблоларда</t>
  </si>
  <si>
    <t>На световых табло</t>
  </si>
  <si>
    <t>71.12.12.10.00.00.00</t>
  </si>
  <si>
    <t>Составлению сметной документации</t>
  </si>
  <si>
    <t xml:space="preserve">Сметалық құжаттарды дайындау </t>
  </si>
  <si>
    <t>Подставка под огнетушитель</t>
  </si>
  <si>
    <t>Өртсөндіргішке арналған тығырық</t>
  </si>
  <si>
    <t>Өртсөндіргіш</t>
  </si>
  <si>
    <t>Огнетушитель</t>
  </si>
  <si>
    <t>Газдалған, көмірқышқылды жылжымалы өртсөндіргіш</t>
  </si>
  <si>
    <t>Огнетушитель переносной газовый углекислотный</t>
  </si>
  <si>
    <t>22.29.25.00.00.00.18.46.1</t>
  </si>
  <si>
    <t>Подставка</t>
  </si>
  <si>
    <t xml:space="preserve">Прочие, не включенные в другие группировки </t>
  </si>
  <si>
    <t>Тығырық</t>
  </si>
  <si>
    <t>Өзге топтарға кіргізілмеген тағы басқалар</t>
  </si>
  <si>
    <t>Размещение в СМИ объявлений о торгах залогового имущества</t>
  </si>
  <si>
    <t>Кепіл мүлікті сату туралы хабарландыруларды БАҚ орналастыру қызметтері</t>
  </si>
  <si>
    <t>Услуги по размещению корпоративной колонки по информированию населения о Программе развития сектора обрабатывающей промышленности</t>
  </si>
  <si>
    <t>с даты подписания договора по 31.08.2014г.</t>
  </si>
  <si>
    <t xml:space="preserve">Қайта өңдеу өндіріс секторын дамыту бағдарламасы бойынша корпоративті колонканы жүргізу арқылы халықты ақпараттандыру қызметтері </t>
  </si>
  <si>
    <t>Услуги по размещению информационных материалов в печатных СМИ по программам государственной поддержки субъектов малого и среднего  предпринимательства,  занятых в сфере обрабатывающей промышленности</t>
  </si>
  <si>
    <t xml:space="preserve">Қайта өңдеу өндірісімен айналысатын кіші және орта кәсіпкерлік субъектіліріне көрестілетін мемлекеттік қолдау ақпараттарын баспа БАҚ орналастыру қызметтері </t>
  </si>
  <si>
    <t>с даты подписания договора по 31.05.2014г.</t>
  </si>
  <si>
    <t>Услуги по проведению  семинаров, с целью информирования населения о Программе развития сектора обрабатывающей промышленности</t>
  </si>
  <si>
    <t>Қайта өңдеу өндіріс секторын дамыту бағдарламасын ақпараттандыру мақсатында семинар өткізу қызметтері</t>
  </si>
  <si>
    <t>Изготовление наружной световой рекламы (логотип Фонда) и реламы на окнах перфорированной виниловой пленкой</t>
  </si>
  <si>
    <t>Саулелік сыртқы жаранма (Қоғам логоитпін) және әйнектерге перфорлық ванилді пленкадан жаранама дайындау</t>
  </si>
  <si>
    <t>Независимая оценка имущества (автомашины)</t>
  </si>
  <si>
    <t>Мүлікті (автокөлікті) бейтарап бағалау</t>
  </si>
  <si>
    <t>96.09.19.10.00.00.00</t>
  </si>
  <si>
    <t>Услуги комплексные по чистке текстильных изделий</t>
  </si>
  <si>
    <t>Услуги прачечных и химическая чистка текстильных изделий</t>
  </si>
  <si>
    <t>Услуги по демонтажу/монтажу 3х флагов и их химической чистке</t>
  </si>
  <si>
    <t>Текстильді заттарды кешенді тазалау қызметтері</t>
  </si>
  <si>
    <t>Текстильді заттарды кір жутаын орындарда және химиялық тазалау</t>
  </si>
  <si>
    <t>Туларды химиляқ тазалау және оларды қайта құру қызметтері</t>
  </si>
  <si>
    <t>с даты подписания договора в течение 5 календарных дней</t>
  </si>
  <si>
    <t>Басып шығару бойынша қызметтер</t>
  </si>
  <si>
    <t>Құжаттама журналдары және ұқсас өнімдерді басып шығару бойынша қызметтер</t>
  </si>
  <si>
    <t>АО және ШҚ  КҚО үшін таратылым материалдарының дизайны және оны басып шығару</t>
  </si>
  <si>
    <t>Дизайн и печать раздаточных материалов для ЦПП в РЦ и МГ</t>
  </si>
  <si>
    <t xml:space="preserve">май </t>
  </si>
  <si>
    <t xml:space="preserve">Услуга </t>
  </si>
  <si>
    <t>85.59.19.12.00.00.00</t>
  </si>
  <si>
    <t xml:space="preserve">Біліктілігін арттыру бойынша қызметтер </t>
  </si>
  <si>
    <t>Услуги по повышению квалификации</t>
  </si>
  <si>
    <t xml:space="preserve">Өзгеде жұмыскерлердің біліктілігін арттыру бойынша қызметтер </t>
  </si>
  <si>
    <t>Услуги по повышению квалификации работников прочие</t>
  </si>
  <si>
    <t xml:space="preserve">АО және ШҚ КҚО кеңесшілерінің біліктілігін арттыру шығындары </t>
  </si>
  <si>
    <t>Услуги по повышению квалификации работников прочие для ЦПП в РЦ и МГ</t>
  </si>
  <si>
    <t>Қағаз болып табылмайтын тікелей өзге материалдарды басып шығару бойынша қызметтер</t>
  </si>
  <si>
    <t xml:space="preserve"> АО жәнеШҚ КҚО үшін брендтелген фирмалық корпоративтік өнімді дайындау қызметтері</t>
  </si>
  <si>
    <t>Услуги по изготовлению брендированной фирменной корпоративной продукция для ЦПП в РЦ и МГ</t>
  </si>
  <si>
    <t>73.12.19.31.11.00.00</t>
  </si>
  <si>
    <t>Сыртқы маңдайша дайындау</t>
  </si>
  <si>
    <t xml:space="preserve">Изготовление наружной вывески </t>
  </si>
  <si>
    <t xml:space="preserve"> АО және ШҚ КҚО үшін сыртқы маңдайша  дайындау қызметтері</t>
  </si>
  <si>
    <t>Услуги по изготовлению наружной вывески для ЦПП в РЦ и МГ</t>
  </si>
  <si>
    <t xml:space="preserve">Жеке және заңды тұлғаларды көшу кезінде көрсетілетін автокөлікпен тасымалдау жөніндегі қызметтер      </t>
  </si>
  <si>
    <t xml:space="preserve"> АО және ШҚ ушін көшу кезінде көрсетілетін автокөлікпен жиһаз және оргтехника тасымалдау жөніндегі қызметтер      </t>
  </si>
  <si>
    <t>Услуги по перевозкам мебели и оргтехники на автодорожном транспортам для ЦПП в РЦ и МГ</t>
  </si>
  <si>
    <t>22.29.25.00.00.00.21.14.1</t>
  </si>
  <si>
    <t xml:space="preserve">АО және ШҚ КҚО арналған қалам </t>
  </si>
  <si>
    <t>Карандаш для ЦПП в РЦ и МГ</t>
  </si>
  <si>
    <t xml:space="preserve">июнь </t>
  </si>
  <si>
    <t>22.29.25.00.00.00.24.26.1</t>
  </si>
  <si>
    <t>Қайшы</t>
  </si>
  <si>
    <t>Ножницы</t>
  </si>
  <si>
    <t>АО және ШҚ КҚО арналған қайшы</t>
  </si>
  <si>
    <t>Ножницы для ЦПП в РЦ и МГ</t>
  </si>
  <si>
    <t>АО және ШҚ КҚО арналған қапсырма (көлемі 10)</t>
  </si>
  <si>
    <t>Скоба для ЦПП в РЦ и МГ     (размер 10)</t>
  </si>
  <si>
    <t>АО және ШҚ КҚО арналған қапсырма (көлемі 24/6)</t>
  </si>
  <si>
    <t>Скоба для ЦПП в РЦ и МГ           размер 24/6</t>
  </si>
  <si>
    <t>АО және ШҚ КҚО арналған  Желім-қалам</t>
  </si>
  <si>
    <t xml:space="preserve">Клей-карандаш для ЦПП в РЦ и МГ  </t>
  </si>
  <si>
    <t>АО және ШҚ КҚО арналған скотч</t>
  </si>
  <si>
    <t>Скотч для ЦПП в РЦ и МГ</t>
  </si>
  <si>
    <t xml:space="preserve">АО және ШҚ КҚО арналған  скрепка қорапшада 100 дана </t>
  </si>
  <si>
    <t>Скрепка для ЦПП в РЦ и МГ100 штук в упаковке</t>
  </si>
  <si>
    <t>22.29.25.00.00.00.16.22.1</t>
  </si>
  <si>
    <t>Сызғыш</t>
  </si>
  <si>
    <t>Линейка</t>
  </si>
  <si>
    <t>Сызғыш АО және ШҚ КҚО арналған</t>
  </si>
  <si>
    <t>Линейка для ЦПП в РЦ и МГ</t>
  </si>
  <si>
    <t>АО және ШҚ КҚО арналған маркер</t>
  </si>
  <si>
    <t>Маркер для ЦПП в РЦ и МГ</t>
  </si>
  <si>
    <t>22.29.25.00.00.00.28.15.1</t>
  </si>
  <si>
    <t>Файл-бұрыштама</t>
  </si>
  <si>
    <t>Файл-уголок</t>
  </si>
  <si>
    <t>АО және ШҚ КҚО арналған файл-бұрыштама</t>
  </si>
  <si>
    <t>Файл-уголок для ЦПП в РЦ и МГ</t>
  </si>
  <si>
    <t>АО және ШҚ КҚО арналған органайзер</t>
  </si>
  <si>
    <t>Органайзер для ЦПП в РЦ и МГ</t>
  </si>
  <si>
    <t>АО және ШҚ КҚО арналған  калькулятор</t>
  </si>
  <si>
    <t>Калькулятор для ЦПП в РЦ и МГ</t>
  </si>
  <si>
    <t>25.99.23.00.00.11.13.10.1</t>
  </si>
  <si>
    <t>Антистеплер</t>
  </si>
  <si>
    <t>Степлерден қапсырғыштарды шығаратын құрылғы. Оське бекітілген қарама-қарсы тұратын сынадан жасалған</t>
  </si>
  <si>
    <t>устройство для вытаскивания скоб от степлера. Устройство состоит из двух противостоящих клинов на оси.6</t>
  </si>
  <si>
    <t>АО және ШҚ КҚО арналған антистеплер</t>
  </si>
  <si>
    <t>Антистеплер для ЦПП в РЦ и МГ</t>
  </si>
  <si>
    <t>метелдан жасалған қапсырыштармен парақтарды жедел бекіту құрылғысы</t>
  </si>
  <si>
    <t>АО және ШҚ КҚО арналған степлер көлемі 10</t>
  </si>
  <si>
    <t>Степлер для ЦПП в РЦ и МГ, размер 10</t>
  </si>
  <si>
    <t>АО және ШҚ КҚО арналған степлер көлемі 24/6</t>
  </si>
  <si>
    <t>Степлер для ЦПП в РЦ и МГ,  размер 24/6</t>
  </si>
  <si>
    <t>АО және ШҚ КҚО арналған тескіш,  30 парақты қамту</t>
  </si>
  <si>
    <t>Дырокол для ЦПП в РЦ и МГ, захватывает 30 листов</t>
  </si>
  <si>
    <t>Ескертпе қағаз</t>
  </si>
  <si>
    <t>түсті қағаздан (ескертпе қағаз блогы)</t>
  </si>
  <si>
    <t>АО және ШҚ КҚО арналған  ескертпе қағаз, көлемі 76х76, 100 парақ</t>
  </si>
  <si>
    <t>Бумага для заметок для ЦПП в РЦ и МГ размер 76х76, 100 лист</t>
  </si>
  <si>
    <t>АО және ШҚ КҚО арналған регистр</t>
  </si>
  <si>
    <t>Регистр для ЦПП в РЦ и МГ</t>
  </si>
  <si>
    <t>17.23.12.40.00.00.00.10.1</t>
  </si>
  <si>
    <t>Жазуға арналған блокноттары</t>
  </si>
  <si>
    <t>Блокнот для записей</t>
  </si>
  <si>
    <t>АО және ШҚ КҚО арналған  жазуға арналған блокноттар</t>
  </si>
  <si>
    <t>Блокнот для записей для ЦПП в РЦ и МГ</t>
  </si>
  <si>
    <t xml:space="preserve">Кәсіпкерлік сұрақтары бойынша консультациялық қызметтері мен бірге басқарушылық және ұйымдастырушылық қолдау көрсету </t>
  </si>
  <si>
    <t>АО және ШҚ КҚО үшін Кәсіпкерлікті мемлекеттік  қолдау түрлері және құралдары, сонымен қатар Қор бағдарламалары бойынша кеңес беру</t>
  </si>
  <si>
    <t>Консультации по видам и инструментам государственной поддержки предпринимательства, и программам Фонда в ЦПП в РЦ и МГ</t>
  </si>
  <si>
    <t>153220100</t>
  </si>
  <si>
    <t xml:space="preserve"> АО және ШҚ КҚО үшін оргтехниканы жөндеу қызметтері, картридждерді ауыстыру</t>
  </si>
  <si>
    <t>Услуги ремонта оргтехники, замена картриджей для ЦПП в РЦ и МГ</t>
  </si>
  <si>
    <t>АО және ШҚ  КҚО үшін БАҚ жарнама орналастыру</t>
  </si>
  <si>
    <t>Размещение рекламы в СМИ для ЦПП в РЦ и МГ</t>
  </si>
  <si>
    <t>АО және ШҚ КҚО үшін жұмыс үстелі</t>
  </si>
  <si>
    <t xml:space="preserve">Стол рабочий для ЦПП в РЦ и МЦ </t>
  </si>
  <si>
    <t>Стул из гобелена. Хромированные металлические ножки. Безподлокотников.</t>
  </si>
  <si>
    <t>АО және ШҚ КҚО арналған орындықтар</t>
  </si>
  <si>
    <t xml:space="preserve">Стул для ЦПП в РЦ и МЦ </t>
  </si>
  <si>
    <t>АО және ШҚ КҚО үшін қағаз</t>
  </si>
  <si>
    <t>Бумага для ЦПП в РЦ и МГ</t>
  </si>
  <si>
    <t>АО және ШҚ  КҚО үшін шкаф</t>
  </si>
  <si>
    <t>Шкаф для ЦПП в РЦ и МГ</t>
  </si>
  <si>
    <t>Басқа топтамаларға жатпайтын, басқалар</t>
  </si>
  <si>
    <t>Тұтқасы пластиктен жасалған, резина үстемесі бар, ұзындығы 10 см.</t>
  </si>
  <si>
    <t xml:space="preserve">Ножницы с пластиковой ручкой и резиновыми вставками длина 10 см для ЦПП в РЦ и МГ </t>
  </si>
  <si>
    <t>енді, 3 см жоғары</t>
  </si>
  <si>
    <t>Қағазға арналған скрепка. Көлемі 22 мм</t>
  </si>
  <si>
    <t>Сызғыш пластмассадан жасалған, 25 см, тұнық, көптүсті</t>
  </si>
  <si>
    <t xml:space="preserve">Линейка пластмассовая 25 см, прозрачная, цветная      </t>
  </si>
  <si>
    <t>формат А4, құрамында 25 дана</t>
  </si>
  <si>
    <t>формат А4, в наборе по 25 штук</t>
  </si>
  <si>
    <t>АО және ШҚ  КҚО үшін жұмыс үстелі</t>
  </si>
  <si>
    <t>АО және ШҚ КҚО үшін шкаф</t>
  </si>
  <si>
    <t>АО және ШҚ  КҚО үшін кәсіпкерлікті мемлекеттік  қолдау түрлері және құралдары, сонымен қатар Қор бағдарламалары бойынша кеңес беру</t>
  </si>
  <si>
    <t>26.20.18.00.03.13.12.10.1</t>
  </si>
  <si>
    <t>Көпсалалы құрылғы</t>
  </si>
  <si>
    <t>АО және ШҚ  КҚО үшін көпфункционалды қондырғы</t>
  </si>
  <si>
    <t>Многофункиональное устройство для ЦПП в РЦ и МГ</t>
  </si>
  <si>
    <t>штука</t>
  </si>
  <si>
    <t>с даты подписания договора по 20.06.2014г.</t>
  </si>
  <si>
    <t>АО және ШҚ КҚО үшін ноутбук</t>
  </si>
  <si>
    <t>Ноутбук для ЦПП в РЦ и МГ</t>
  </si>
  <si>
    <t xml:space="preserve">Өзге жүйелік жасақтаманы пайдалану құқығына лицензия ұсыну жөніндегі қызметтер </t>
  </si>
  <si>
    <t>ЭЕМ лицензиатына аталған бағдарламалы жасақтаманы пайдалану құқығын беретін компьютерлік бағдарламалы жүйелік жасақтаманы  пайдалану құқығы бойынша қызметтер.  Бұл жағдайда лицензиатқа қандай да бір авторлық немесе мүліктік құқық берілмейді</t>
  </si>
  <si>
    <t xml:space="preserve">РФ арналған CRM Terrasoft XRM үшін лицензия </t>
  </si>
  <si>
    <t>Лицензии для CRM Terrasoft XRM для РФ</t>
  </si>
  <si>
    <t>с даты подписания договора по 30.06.2014г.</t>
  </si>
  <si>
    <t>26.30.21.00.03.11.11.10.1</t>
  </si>
  <si>
    <t>Телефоншы жабдығы</t>
  </si>
  <si>
    <t>Гарнитура телефонистки</t>
  </si>
  <si>
    <t xml:space="preserve">АО және ШҚ КҚО арналаған дауыс байланысына  арналаған жабдық (IP-телефония) интерфейс USB немесе аудио шығу/кіру  (mini jack) </t>
  </si>
  <si>
    <t>Гарнитура для голосовой связи (IP-телефонии) интерфейс USB или аудио вход/выход (mini jack) для ЦПП в РЦ и МГ</t>
  </si>
  <si>
    <t>АО және ШҚ КҚО арналаған 4 Мбит/с Unlimited жылдамдығымен интернет желісіне кіру</t>
  </si>
  <si>
    <t>Доступ к сети Интернет со скоростью 4 Мбит/с Unlimited - в ЦПП в РЦ и МГ</t>
  </si>
  <si>
    <t>Телефон байланыс қызметі</t>
  </si>
  <si>
    <t>АО және ШҚ КҚО  IP-телефония телефон байланысы қызметі</t>
  </si>
  <si>
    <t>Услуги телефонной связи IP-телефонии  в ЦПП в РЦ и МГ</t>
  </si>
  <si>
    <t>АКҚО үшін кеңсе жайларын жалға алу</t>
  </si>
  <si>
    <t>Аренда офисных помещений для РЦПП</t>
  </si>
  <si>
    <t xml:space="preserve">Кеңсе ғимаратын жалдау бойынша қызметтері </t>
  </si>
  <si>
    <t xml:space="preserve">АО және ШҚ КҚО үшін кеңсе ғимараттарын жалдау бойынша қызметтер </t>
  </si>
  <si>
    <t>Услуги по аренде офисных помещений для ЦПП в РЦ и МГ</t>
  </si>
  <si>
    <t>595030100</t>
  </si>
  <si>
    <t>594230100</t>
  </si>
  <si>
    <t>595620100</t>
  </si>
  <si>
    <t>596230100</t>
  </si>
  <si>
    <t>596020100</t>
  </si>
  <si>
    <t>593430100</t>
  </si>
  <si>
    <t>596430100</t>
  </si>
  <si>
    <t>593620100</t>
  </si>
  <si>
    <t>595220100</t>
  </si>
  <si>
    <t>593230100</t>
  </si>
  <si>
    <t>596630100</t>
  </si>
  <si>
    <t>595830100</t>
  </si>
  <si>
    <t>Формат А5</t>
  </si>
  <si>
    <t xml:space="preserve">в течение 40 рабочих дней с даты подписания договора </t>
  </si>
  <si>
    <t xml:space="preserve"> 30 календарных дней с даты подписания договора</t>
  </si>
  <si>
    <t>в течение 70 календарных дней с даты подписания договора</t>
  </si>
  <si>
    <t>Услуги по производству прочих телевизионных программ, записываемых на магнитную ленту или другие технические носители информации для последующей трансляции</t>
  </si>
  <si>
    <t>Магниттық лентаға немесе өззге техникалық тасмалдағыштар арқылы басқа да телебағдарламаларды дайындау және тарату</t>
  </si>
  <si>
    <t>Услуги по производству информационно-образовательных видеороликов, направленных на популяризацию предпринимательства среди населения Республикик Казахстан</t>
  </si>
  <si>
    <t>Қзақстан Республикасының халқына  кәсіпкерлікті түсіндіріп таратуға бағытталған ақпараттық-білім беруге арналған бейнетаспалар дайындау қызметтері</t>
  </si>
  <si>
    <t>с даты подписания договора по 20.11.2014г.</t>
  </si>
  <si>
    <t>Услуги по заключению сделок с ценными бумагами прочие</t>
  </si>
  <si>
    <t>Номинальное держание ценных бумаг</t>
  </si>
  <si>
    <t>Құнды қағаздың атаулы құнын ұстау</t>
  </si>
  <si>
    <t>Өзге құнды қағаздармен келісім жасау қызметтері</t>
  </si>
  <si>
    <t>Разработка Интернет-терминала взаимодействия с предпринимателями по субсидированию в рамках государственных программ</t>
  </si>
  <si>
    <t>Мемлекеттік бағдарламалар аясында кәсіпкерлерді субсидиялау өзара әрекеттестік Интернет-терминалын әзірлеу</t>
  </si>
  <si>
    <t>Мониторинг реализации проекта "Обучение топ-менеджмента МСБ"</t>
  </si>
  <si>
    <t>«КОБ топ-менеджментін оқыту» жобасының іске асрылуының мониторингі</t>
  </si>
  <si>
    <t>с даты подписания договора по 30.09.2014г.</t>
  </si>
  <si>
    <t>Үзіксіз қуат көзі</t>
  </si>
  <si>
    <t>Источник бесперебойного питания</t>
  </si>
  <si>
    <t>штук</t>
  </si>
  <si>
    <t>26.20.40.00.00.00.41.10.1</t>
  </si>
  <si>
    <t xml:space="preserve">Резервный. Питание подключенной нагрузки осуществляется из первичной электрической сети, ИБП обеспечивает минимальные изменения — производится фильтрация высоковольтных импульсов и электромагнитных помех. </t>
  </si>
  <si>
    <t>Дополнительный модуль в систему бесперебойного питания ЦОД на 15 KVA</t>
  </si>
  <si>
    <t>Резервті. Қосылған қуаттың   мөлшері бастапқы электр жүйесінен жіберілген жүктемемен жүзеге асырылады, ҮҚК минималды өзгерістерді қамтамассыз етеді - жоғары вольттық импульстар мен электромагниттік кедергілерге филрация жасау</t>
  </si>
  <si>
    <t>МАО үздіксіз қуат көзіне қосымша 15 KVA модуль</t>
  </si>
  <si>
    <t>26.20.16.01.12.14.13.20.1</t>
  </si>
  <si>
    <t>Принтер</t>
  </si>
  <si>
    <t>Лазерный, Цветность - цветной, формат - А3, скорость печати (ч/б) - 31-40 стр/м, разрешение -  600 х 1200 dpi</t>
  </si>
  <si>
    <t>Лазерлі, Түстілік - түрлі-түсті, формат - А3, баспа жылдамдығы (қ/а) - 31-40 бет/м, шешуі - 600 х 1200 dpi</t>
  </si>
  <si>
    <t>Мониторинг реализации проекта "Старшие сеньоры"</t>
  </si>
  <si>
    <t>«Аға сеньорлар» жобасының іске асрылуының мониторингі</t>
  </si>
  <si>
    <t>Лицензионное программное обеспечение Microsoft по программе лицензирования Enterprise Agreement</t>
  </si>
  <si>
    <t>Enterprise Agreement бағдарламасын лицензиялау бойынша Microsoft лицензиялық бағдарламалық жасақтама</t>
  </si>
  <si>
    <t>13.93.12.00.10.10.17.10.1</t>
  </si>
  <si>
    <t>Ковер текстильный тканый</t>
  </si>
  <si>
    <t>Ворсовые тканые ковры, машинного производства из химических текстильных материалов. Аксминстерские ковры. Высота ворса - 8,0—8,5 мм, плотность изделий высокая. Размером 80*140 см</t>
  </si>
  <si>
    <t>Ковер</t>
  </si>
  <si>
    <t>Кілем</t>
  </si>
  <si>
    <t>13.93.11.00.00.20.13.10.1</t>
  </si>
  <si>
    <t>Дорожка</t>
  </si>
  <si>
    <t>Безворсовые узелковые дорожки, образуются одной системой нитей основы и утка, из шелковых нитей. С односторонним рисунком. Рисунок односторонних переплетений образуется путем отбивки узорообразующей нитью каждой пары основных нитей</t>
  </si>
  <si>
    <t>71.11.41.12.00.00.00</t>
  </si>
  <si>
    <t>Услуга по обследованию зеленых насаждений</t>
  </si>
  <si>
    <t>Услуга по лесопатологическому обследованию зеленых насаждений, инвентаризации зеленых насаждений, подготовка заключений по их результатам</t>
  </si>
  <si>
    <t>в течение 15 календарных дней с даты подписания договора</t>
  </si>
  <si>
    <t>82.19.13.10.10.00.00</t>
  </si>
  <si>
    <t>Услуги по оформлению технической документации на недвижимое имущество</t>
  </si>
  <si>
    <t>Услуги по оформлению технической документации на недвижимое имущество, включая регистрацию и перерегистрацию в соответствующих органах</t>
  </si>
  <si>
    <t>45 рабочих дней с даты подписания договора</t>
  </si>
  <si>
    <t>41.00.40.20.22.00.00</t>
  </si>
  <si>
    <t>Работы строительные по ремонту вспомогательных  помещений</t>
  </si>
  <si>
    <t>Услуга по ремонту наружней рекламы</t>
  </si>
  <si>
    <t>Услуги и работы различные прочие, не включенные в другие группировки (ремонт наружней рекламы)</t>
  </si>
  <si>
    <t>Услуги по проведению спортивных мероприятий</t>
  </si>
  <si>
    <t>в течение 30 календарных дней с даты подписаня договора</t>
  </si>
  <si>
    <t>Басқа топтамаларда көрсетілмеген қызметтер мен жұмыстар (сыртқы жарнаманы жөндеу)</t>
  </si>
  <si>
    <t>Сыртқы жарнаманы жөндеу қызметтері</t>
  </si>
  <si>
    <t>Қызмет атқарулар ша спорт іс-шараның жаса</t>
  </si>
  <si>
    <t>Жұмыстар ша қосалқы  бөлменің жөндеуіне құрылыстық</t>
  </si>
  <si>
    <t>Қызмет атқарулар ша техникалық құжаттаманың рәсімде жылжымайтын мүлікті</t>
  </si>
  <si>
    <t>Қызмет атқарулар ша техникалық құжаттаманың рәсімде жылжымайтын мүлікті, тірке- және ререгистрация лайықты органдарда ішіне ала</t>
  </si>
  <si>
    <t>Қызмет ша жасыл орнат  тексеру</t>
  </si>
  <si>
    <t>Қызмет ша жасыл орнат жасыл орнат түгендеуінің лесопатологиялықты тексеру, тұжырымның дайындығы ша оның нәтижелерінің</t>
  </si>
  <si>
    <t>Соқпақ</t>
  </si>
  <si>
    <t>Ворстік түйіншектің соқпақтарының, негіздің нитей бір жүйесімен қыртысталады және үйрек, жібектің нитей. Біржақты суретпен. Біржақты түптетілдің суреті кесте бау  бас-басы тең негізгі бау жолымен қыртысталады</t>
  </si>
  <si>
    <t>Кілем тоқымалық тоқымалы</t>
  </si>
  <si>
    <t>Түкті тоқымалы кілемдер, машиналы өндірістің химиялық тоқымалық материалдардан. Аксминстерские кілемдер. Түктің биіктігі - 8,0-8,5 мм, бұйымның нығыздығы биік. Өлшеммен см 80*140</t>
  </si>
  <si>
    <t>Бизнес-жобаларды дайындау,  бизнес-жобаларды актуализациялау бойынша онлайн-сервис қызметтерін ұсыну</t>
  </si>
  <si>
    <t>Услуги по предоставлению онлайн-сервиса по соданию и актуализации бизнес-планов</t>
  </si>
  <si>
    <t>Услуги по организация кофе-брейка по проекту "Бизнес-Советник 2"</t>
  </si>
  <si>
    <t>"Бизнес-Кеңесші 2" жобасы бойынша кофе-брейк ұйымдастыру бойынша қызметтер</t>
  </si>
  <si>
    <t>Услуги по созданию металлоконструкции навеса и подиума в рамках проведения регионального бизнес-форума в г.Петропавловск</t>
  </si>
  <si>
    <t>Петрапавловск қ. өтетін бизнес-форум аясында темір құрылымды жабуша мен подиум жасау қызметтері</t>
  </si>
  <si>
    <t>с даты подписания договора по 30.07.2014г.</t>
  </si>
  <si>
    <t>591000000</t>
  </si>
  <si>
    <t xml:space="preserve">Услуги по оформлению навеса в рамках проведения регионального бизнес-форума в г.Петропавловск </t>
  </si>
  <si>
    <t>Петрапавловск қ. өтетін бизнес-форум аясында темір құрылымды жабушаны безендіру қызметтері</t>
  </si>
  <si>
    <t>56.10.19.20.00.00.00</t>
  </si>
  <si>
    <t>Услуги по обеспечению питанием прочие</t>
  </si>
  <si>
    <t>Басқа да тамақтандырумен қамсыздандыру қызметтері</t>
  </si>
  <si>
    <t xml:space="preserve">Услуги по организации обеда для участников  регионального бизнес-форума в г.Петропавловск </t>
  </si>
  <si>
    <t>Петрапавловск қ. өтетін бизнес-форум қатысушыларына түскі ас ұйымдастыру қызметтері</t>
  </si>
  <si>
    <t>КҚКО ғимараттын жөндеу жұмыстары</t>
  </si>
  <si>
    <t>Ремонт здания ЦОП</t>
  </si>
  <si>
    <t>45 календарных дней с даты подписаня договора</t>
  </si>
  <si>
    <t>Аумақты көріктендіру және көкалдандыру жұмыстары</t>
  </si>
  <si>
    <t>42.11.20.10.15.00.00</t>
  </si>
  <si>
    <t>Работы строительные по ремонту стоянок автомобильных</t>
  </si>
  <si>
    <t>Работы строительные по ремонту основания, покрытия  автомобильных стоянок</t>
  </si>
  <si>
    <t>Автокөлік тұрақтарын жөндеу құрылыс жұмыстары</t>
  </si>
  <si>
    <t>Автокөлік тұрақтарының негізін, беткі жабуын жөндеу құрылыс жұмыстары</t>
  </si>
  <si>
    <t>25.99.21.00.00.11.11.10.1</t>
  </si>
  <si>
    <t>Огнестойкий</t>
  </si>
  <si>
    <t>Өртке төзімді сейф</t>
  </si>
  <si>
    <t>Огнестойкий, электронный, покрытие пороковое</t>
  </si>
  <si>
    <t>Өртке төзімді, электронды, ұнтақты жабуымен</t>
  </si>
  <si>
    <t>32.99.86.00.00.00.20.10.1</t>
  </si>
  <si>
    <t>Портрет</t>
  </si>
  <si>
    <t>Рамкадағы дайын портрет</t>
  </si>
  <si>
    <t>ҚР Президентінің портреті</t>
  </si>
  <si>
    <t>Портрет Президента РК</t>
  </si>
  <si>
    <t>Готовый портрет в рамке</t>
  </si>
  <si>
    <t>26.70.21.00.11.11.11.21.1</t>
  </si>
  <si>
    <t>Айна</t>
  </si>
  <si>
    <t>Зеркало</t>
  </si>
  <si>
    <t>Жиналған</t>
  </si>
  <si>
    <t>В сборе</t>
  </si>
  <si>
    <t>Зеркало в рамке</t>
  </si>
  <si>
    <t>Рамадағы айна</t>
  </si>
  <si>
    <t>Карта памяти</t>
  </si>
  <si>
    <t>Жадында сақтау қартасы</t>
  </si>
  <si>
    <t>Ескость 32 гб</t>
  </si>
  <si>
    <t>Көлемі 32 гб</t>
  </si>
  <si>
    <t>26.11.30.00.13.13.14.18.1</t>
  </si>
  <si>
    <t>Micro Secure Digital MicroSD, Емкость - 32 Гб</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</si>
  <si>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</si>
  <si>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45 календарных дней с даты подписания договор</t>
  </si>
  <si>
    <t>Стол ДСП рабочий.  Габариты (ширина/длина) от 700/1400мм до 780/1500мм. Толщина столешницы 32мм, ПВХ 0,4-2,0мм.</t>
  </si>
  <si>
    <t>31.01.12.00.00.03.04.10.1</t>
  </si>
  <si>
    <t>Жылжымалы үш жәшігі бар мобильді тумба, МДФ жасалынған</t>
  </si>
  <si>
    <t>Тумба мобильная с двумя выдвижными ящиками, из МДФ, ширина 45 мм,глубина 580 мм,высота 450 мм</t>
  </si>
  <si>
    <t>Былғары алмастырушыдан жасалған орындық. Хромдалған металл аяғы бар.Шынтағы ағаштан жасалған</t>
  </si>
  <si>
    <t>Стул из кожзам/деревянн подл/ Хромированные металлические ножки.</t>
  </si>
  <si>
    <t>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</si>
  <si>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</si>
  <si>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</si>
  <si>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Кресло  офисное</t>
  </si>
  <si>
    <t>Кеңесші үшін жұмыс үстелі</t>
  </si>
  <si>
    <t>Стол рабочий для консультантов</t>
  </si>
  <si>
    <t>Кеңесші  арналған орындықтар</t>
  </si>
  <si>
    <t xml:space="preserve">Стул для консультантов </t>
  </si>
  <si>
    <t>ДСП. Біреуі ілініп тұратын тумба, 1 жәшікті. Габариты (ені/ұзындығы)  550/1301мм-ден 700/1500мм-ге дейін. Столешницаның жуандығы 16-32мм, ПВХ 2-4мм.</t>
  </si>
  <si>
    <t>ДСП. Одна тумба подвесная, 1 ящик. Габариты (ширина/длина) от 550/1301мм до 700/1500мм. Толщина столешницы 16-32мм, ПВХ 2-4мм.</t>
  </si>
  <si>
    <t>Қызметерге арналған басқойғышы бар, арқасы пластикадан, тері алмастырғыштан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</si>
  <si>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из кожезаменителя, снабжено поворотно подъемным механизмом. Подлокотники пластиковые</t>
  </si>
  <si>
    <t>в течение 20 календарных дней с даты подписания договора</t>
  </si>
  <si>
    <t>Ғимараттың бөлме аралық қабырғаларын дайындау және монтаж жұмыстары</t>
  </si>
  <si>
    <t>Работы по изготовлению и монтажу офисных перегородок</t>
  </si>
  <si>
    <t>Комплект модернизации IP-АТС Cisco</t>
  </si>
  <si>
    <t>IP-АТС Cisco кешенді модернизациясы</t>
  </si>
  <si>
    <t>50 календарных дней с даты подписания договора</t>
  </si>
  <si>
    <t>32.99.61.00.00.00.30.40.1</t>
  </si>
  <si>
    <t>Программный продукт - систематической автоматизированной обработки данных</t>
  </si>
  <si>
    <t>EViews Ent. Edition 8</t>
  </si>
  <si>
    <t>Бағдарламалық жасақтама</t>
  </si>
  <si>
    <t>Жүйелі автоматтандырылған мәлметтерді өңдеуге арналған - бағдарламалық өнім</t>
  </si>
  <si>
    <t xml:space="preserve">IP  Avaya  АТС  Cisco сыйымдылықты телефон аппараты </t>
  </si>
  <si>
    <t>Телефонный аппарат совместимый с IP  Avaya  АТС  Cisco</t>
  </si>
  <si>
    <t>28.25.12.00.00.00.14.15.1</t>
  </si>
  <si>
    <t>Колонналы (сплит-жүйе)</t>
  </si>
  <si>
    <t>Колонный (сплит-система)</t>
  </si>
  <si>
    <t>Комплекс работ по ремонту зданий прочих, не включенных в другие группировки</t>
  </si>
  <si>
    <t>Работы строительные по ремонту зданий прочих, не включенных в другие группировки</t>
  </si>
  <si>
    <t>Топтамаға кіргізілмеген басқа ғимараттырды жөндеу құрылыс жұмыстары</t>
  </si>
  <si>
    <t>Топтамаға кіргізілмеген басқа ғимараттырды кешенді жөндеу жұмыстары</t>
  </si>
  <si>
    <t>Котел</t>
  </si>
  <si>
    <t>Номинальная теплопроизводительность, МВт (Гкал/ч) От 58,2 (50)  до 209,0(180), КПД, %  при камерном сжигании 90,0</t>
  </si>
  <si>
    <t>Номиналды  жылу өнімділігі, МВт (Гкал/ч) От 58,2 (50)  209,0(180) дейін, КПД, %   камерық өртте 90,0</t>
  </si>
  <si>
    <t>43.22.12.10.11.00.00</t>
  </si>
  <si>
    <t>Услуги вспомогательные, связанные с установкой системы отопления</t>
  </si>
  <si>
    <t>Жылыту жүйесін орнатумен байланысты қосымша қызметтер</t>
  </si>
  <si>
    <t xml:space="preserve">Услуги вспомогательные, связанные с установкой системы отопления </t>
  </si>
  <si>
    <t xml:space="preserve">Жылыту жүйесін орнатумен байланысты қосымша қызметтер </t>
  </si>
  <si>
    <t>Услуга по подготовке, печати и распространении Каталога казахстанских консультантов</t>
  </si>
  <si>
    <t>Қазақстан кеңесшілерінің каталогын дайындау, баспадан шығару және тарату қызметтері</t>
  </si>
  <si>
    <t>с даты подписания договора по 15.11.2014г.</t>
  </si>
  <si>
    <t>Организация выездных семинаров</t>
  </si>
  <si>
    <t>Көшпелі семинар ұйымдастыру</t>
  </si>
  <si>
    <t xml:space="preserve">июль </t>
  </si>
  <si>
    <t>20 рабочих дней с даты подписания договора</t>
  </si>
  <si>
    <t xml:space="preserve">Анализ профиля личности работников и кадровых резервистов посредством специализированных систем оценки (система Томаса) </t>
  </si>
  <si>
    <t xml:space="preserve">Жекебас  профилін жұмыскерлер және кадр резервистері бойынша мамандандырылған бағалау жүйесі арқылы талдау (Томас жүйесі) </t>
  </si>
  <si>
    <t>26.30.30.16.00.00.01.07.1</t>
  </si>
  <si>
    <t>Плата</t>
  </si>
  <si>
    <t>АТС жадында сақтау коөлемін ұлғайту</t>
  </si>
  <si>
    <t>Расширения памяти АТС</t>
  </si>
  <si>
    <t>Сумен қамтамасыз ету және канализацияны пайдалану қызметі</t>
  </si>
  <si>
    <t>274430100</t>
  </si>
  <si>
    <t>Аренда легкового автомобиля с водителем представительского класа с дислокацией в г. Астана</t>
  </si>
  <si>
    <t>Астана қ. таптық жеіңл автокөлігін жүргізушісімен жалға алу қызметтері</t>
  </si>
  <si>
    <t>Стул с пластиковой спинкой. Гобеленовое сиденье. Ножки черные металлические.</t>
  </si>
  <si>
    <t>31.01.11.00.00.00.07.09.1</t>
  </si>
  <si>
    <t>Пластиктен жасалған арқа сүйегіші бар орындық. Гобеленнен тігілген орындық. Қара металдан аяғы бар.</t>
  </si>
  <si>
    <t>395030100</t>
  </si>
  <si>
    <t>274830100</t>
  </si>
  <si>
    <t>274230100</t>
  </si>
  <si>
    <t>274035416</t>
  </si>
  <si>
    <t>274030100</t>
  </si>
  <si>
    <t>276630100</t>
  </si>
  <si>
    <t>275030100</t>
  </si>
  <si>
    <t>275830000</t>
  </si>
  <si>
    <t>276230100</t>
  </si>
  <si>
    <t>273230100</t>
  </si>
  <si>
    <t>391010000</t>
  </si>
  <si>
    <t>111010000</t>
  </si>
  <si>
    <t>511610000</t>
  </si>
  <si>
    <t>393630100</t>
  </si>
  <si>
    <t>396663100</t>
  </si>
  <si>
    <t>396630100</t>
  </si>
  <si>
    <t>396430100</t>
  </si>
  <si>
    <t>396430101</t>
  </si>
  <si>
    <t>396230100</t>
  </si>
  <si>
    <t>395630100</t>
  </si>
  <si>
    <t>395830100</t>
  </si>
  <si>
    <t>395430100</t>
  </si>
  <si>
    <t>395230100</t>
  </si>
  <si>
    <t>394830100</t>
  </si>
  <si>
    <t>394230100</t>
  </si>
  <si>
    <t>394030100</t>
  </si>
  <si>
    <t>393430100</t>
  </si>
  <si>
    <t>393230100</t>
  </si>
  <si>
    <t>594630100</t>
  </si>
  <si>
    <t>191610000</t>
  </si>
  <si>
    <t>195849300</t>
  </si>
  <si>
    <t>196630100</t>
  </si>
  <si>
    <t>194020100</t>
  </si>
  <si>
    <t>196220100</t>
  </si>
  <si>
    <t>195220100</t>
  </si>
  <si>
    <t>196830100</t>
  </si>
  <si>
    <t>195830100</t>
  </si>
  <si>
    <t>195620100</t>
  </si>
  <si>
    <t>194630100</t>
  </si>
  <si>
    <t>194230100</t>
  </si>
  <si>
    <t>194830100</t>
  </si>
  <si>
    <t>196020100</t>
  </si>
  <si>
    <t>193230100</t>
  </si>
  <si>
    <t>195020100</t>
  </si>
  <si>
    <t>193630100</t>
  </si>
  <si>
    <t>193420100</t>
  </si>
  <si>
    <t>356430100</t>
  </si>
  <si>
    <t>352110000</t>
  </si>
  <si>
    <t>354430100</t>
  </si>
  <si>
    <t>354030100</t>
  </si>
  <si>
    <t>355630100</t>
  </si>
  <si>
    <t>316621100</t>
  </si>
  <si>
    <t>316630100</t>
  </si>
  <si>
    <t>315030100</t>
  </si>
  <si>
    <t>315630100</t>
  </si>
  <si>
    <t>315430100</t>
  </si>
  <si>
    <t>314830100</t>
  </si>
  <si>
    <t>314230100</t>
  </si>
  <si>
    <t>314030100</t>
  </si>
  <si>
    <t>313630100</t>
  </si>
  <si>
    <t>116830100</t>
  </si>
  <si>
    <t>114430100</t>
  </si>
  <si>
    <t>113630100</t>
  </si>
  <si>
    <t>235630100</t>
  </si>
  <si>
    <t>235230100</t>
  </si>
  <si>
    <t>234630100</t>
  </si>
  <si>
    <t>234830100</t>
  </si>
  <si>
    <t>516420100</t>
  </si>
  <si>
    <t>516030100</t>
  </si>
  <si>
    <t>515820100</t>
  </si>
  <si>
    <t>515630100</t>
  </si>
  <si>
    <t>515230000</t>
  </si>
  <si>
    <t>514830100</t>
  </si>
  <si>
    <t>514630100</t>
  </si>
  <si>
    <t>514420100</t>
  </si>
  <si>
    <t>514030100</t>
  </si>
  <si>
    <t>511637800</t>
  </si>
  <si>
    <t>511010000</t>
  </si>
  <si>
    <t>82.20.10.12.00.00.00</t>
  </si>
  <si>
    <t xml:space="preserve"> Өнімдер бойынша анықтамалық ақпараттар бойынша қызметтер, тұтынушылар арыздарын елеу немесе көмек көрсету мақсатында клиенттер өтініштеріне қызмет көрсету</t>
  </si>
  <si>
    <t>Услуги по обеспечения справочной информации по продукции, обслуживание просьб клиентов с целью оказания помощи или реагирования на жалобы потребителей</t>
  </si>
  <si>
    <t>Оператор  Call-орталықтарының қызметтері бойынша білімдер базасының және анықтамалық ақпараттардың өзектілігін қамтамасыз ету бойынша қызметтер, клиенттер арыздарын елеуге,  мемлекеттік қолдау ұсыну талаптарын түсіндіруге арналған кәсіпкерлердің онлайн жүгінулерін және электронды өтініштеріне жауаптар ұсыну</t>
  </si>
  <si>
    <t xml:space="preserve">Услуги по обеспечению актуальности базы знаний и справочной информации по деятельности Call-центра Оператора, предоставление ответов на электронные заявки и онлайн-обращения предпринимателей для разъяснения условий предоставления государственной поддержки, реагирование на жалобы клиентов. </t>
  </si>
  <si>
    <t>61.20.11.10.00.00.00</t>
  </si>
  <si>
    <t>Ұялы байланыс қызметтері</t>
  </si>
  <si>
    <t>Услуги мобильной связи</t>
  </si>
  <si>
    <t>Ұялы байланыс қызметтеріне – қосылу және пайдалану</t>
  </si>
  <si>
    <t>Услуги мобильной связи - доступ и пользование</t>
  </si>
  <si>
    <t>62.01.11.60.00.00.00</t>
  </si>
  <si>
    <t>Ақпараттық жүйелерді әзірлеу және енгізу қызметтері</t>
  </si>
  <si>
    <t>Услуги по разработке и внедрению информационных систем</t>
  </si>
  <si>
    <t>Ақпараттық жүйені әзірлеу және енгізу</t>
  </si>
  <si>
    <t>Разработка и внедрение информационной системы</t>
  </si>
  <si>
    <t>Қамтамасыз ету сапасына және мониторингке арналған дауысты дыбысжазба және  Call-орталықтар жұмысының сапасын бақылаудың ақпараттық жүйесін енгізу және күйге келтіру</t>
  </si>
  <si>
    <t>Внедрение и настройка информационной системы голосовй звукозаписи и контроля качества работы операторов Call-центра для мониторинга и повышения качества обслуживания</t>
  </si>
  <si>
    <t>84.11.13.15.00.00.00</t>
  </si>
  <si>
    <t>Услуги по предоставлению статистических данных</t>
  </si>
  <si>
    <t>Статистикалық мәліметтерді ұсыну қызметтері</t>
  </si>
  <si>
    <t>85.59.13.31.00.00.00</t>
  </si>
  <si>
    <t>Услуги по внеплановым семинарам</t>
  </si>
  <si>
    <t>Внеплановые семинары</t>
  </si>
  <si>
    <t xml:space="preserve">Жоспардан тыс семинарлар </t>
  </si>
  <si>
    <t>Жоспардан тыс семинарлар өткізу қызметтері</t>
  </si>
  <si>
    <t>Подключение короткого номера «1408» сотовых операторов Республики Казахстан, и осуществление оплаты всех необходимых единовременных и периодических (ежемесячных) выплат и начислений за входящий голосовой траффик и исходящую смс-рассылку</t>
  </si>
  <si>
    <t xml:space="preserve">Қазақстан Республикасының ұялы операторларының   «1408» қысқа нөміріне қосылуы, сонымен қатар сыртқы смс-таратулар мен дауысты кіріс трафиктері үшін есептеулер мен қажетті бір уақыттағы және тәуліктік (әрбір ай)  барлық төлемдерді жүзеге асыру  </t>
  </si>
  <si>
    <t>63.99.10.30.00.00.00</t>
  </si>
  <si>
    <t>Предоставление отчета по кредитующимся предпринимателям</t>
  </si>
  <si>
    <t xml:space="preserve">Кредит алушы кәсіпкерлер бойынша есеп беру </t>
  </si>
  <si>
    <t>с даты подписания договора до 31.12.2014г.</t>
  </si>
  <si>
    <t>61.10.30.01.00.00.00</t>
  </si>
  <si>
    <t>Услуги по передаче данных</t>
  </si>
  <si>
    <t>Услуги по передаче данных по сетям телекоммуникационным проводным</t>
  </si>
  <si>
    <t>Абонентская плата за доступ к ЕТС ГО с пропускной способностью 2 Мбит/с</t>
  </si>
  <si>
    <t>Мәліметтерді жолдау қызметтері</t>
  </si>
  <si>
    <t>Телекоммуникациялық желілер арқылы мәліметтерді жолдаку қызметтері</t>
  </si>
  <si>
    <t>2 Мбит/с өткізі қабілеттілігі бар ЕТС ГО ену үшін абоненттік төлем</t>
  </si>
  <si>
    <t>с даты подписания договора по 31.01.2015г.</t>
  </si>
  <si>
    <t>Услуги по тиражированию каталога выставки по франчайзингу, печать баннеров, постеров, плакатов и  раздаточного материала</t>
  </si>
  <si>
    <t>68.20.12.00.00.00.13</t>
  </si>
  <si>
    <t>Услуги по аренде  помещений</t>
  </si>
  <si>
    <t>Жайларды жалға алу қызметері</t>
  </si>
  <si>
    <t>Услуги по аренде помещений для проведения конференций, семинаров, круглых столов, тренингов и др.</t>
  </si>
  <si>
    <t>Конференция, семинар, дөңгелек үстел, тренингтер және т.б. өткізу үшін жайларды жалға алу қызметтері</t>
  </si>
  <si>
    <t xml:space="preserve">Услуги по аренде помещения для проведения выставки по франчайзингу </t>
  </si>
  <si>
    <t>Франчайзинг көрмесін өткізу үшін жайды жалға алу қызметтері</t>
  </si>
  <si>
    <t xml:space="preserve">Франчайзинг көрмесіне арналған каталог, баннер, постерлер, плакаттар және т.б. таратылым материалдарын көбейту </t>
  </si>
  <si>
    <t>73.11.11.20.00.00.00</t>
  </si>
  <si>
    <t>Қызмет атқарулар ша информациялық-көрменің конструкциясының жалына</t>
  </si>
  <si>
    <t>Услуги по аренде информационно-выставочных конструкций</t>
  </si>
  <si>
    <t>Услуги по аренде информационно-выставочных конструкций для проведения выставки по франчайзингу</t>
  </si>
  <si>
    <t>Франчайзинг көрмесін өткізу үшін информациялық-көрменің конструкциясының жалға алу қызметтері</t>
  </si>
  <si>
    <t xml:space="preserve">Услуги по размещению информационно-агитационных материалов, рекламных модулей в печатных средствах информации по программам государственной поддержки субьектов малого и среднего предпринимательства  </t>
  </si>
  <si>
    <t>Баспа ақпарат құралдарында кіші және орта кәсіпкерлікті мемлекеттік қолдау бағдарламалары бойынша ақпараттық үгіт-насихат материалдарын, жарнамалық модульдері жариялау қызметтері</t>
  </si>
  <si>
    <t>Услуги по размещению информационно-агитационного тизера в Интернете по программам государственной поддержки субьектов малого и среднего предпринимательства</t>
  </si>
  <si>
    <t>Интернетте кіші және орта кәсіпкерлікті мемлекеттік қолдау бағдарламалары бойынша ақпараттық үгіт-насихат тизерлерін жариялау қызметтері</t>
  </si>
  <si>
    <t>Услуги по размещению рекламных радиороликов по выставке по франчайзингу</t>
  </si>
  <si>
    <t>Франчайзинг көрмесі туралы роликтерді радиоға орналастыру қызметтері</t>
  </si>
  <si>
    <t>61.20.12.10.00.00.00</t>
  </si>
  <si>
    <t>Услуги мобильной связи - sms рассылки</t>
  </si>
  <si>
    <t>Услуги по рассылке рекламных sms-сообщений по программам государственной поддержки</t>
  </si>
  <si>
    <t>Ұялы байланыс қызметтері - sms таратылымдар</t>
  </si>
  <si>
    <t>Мемлекеттік қолдау бағдарламаллары туралы жарнамалық sms тарату қызметтері</t>
  </si>
  <si>
    <t>Программный продукт по автоматизации системы бюджетирования (2 этап)</t>
  </si>
  <si>
    <t>Бюджетті жоспарлау жүйесін автоматтандыруға арнналған бағдарламалық өнім (2 этап)</t>
  </si>
  <si>
    <t>60 календарных дней с даты полписания договора</t>
  </si>
  <si>
    <t>28.30.40.00.00.00.10.10.1</t>
  </si>
  <si>
    <t>Сенокосилки, косилки для газонов, парков или спортивных площадок</t>
  </si>
  <si>
    <t>Газон, парк немесе спорт алаңдарында шөп шабатын машина</t>
  </si>
  <si>
    <t>Электірлі</t>
  </si>
  <si>
    <t>Гозонокосилка электрическая, напряжение 230В/50Гц</t>
  </si>
  <si>
    <t>Газон шабатын электірлі машина, қуаты 230В/50Гц</t>
  </si>
  <si>
    <t>70.22.11.19.00.00.00</t>
  </si>
  <si>
    <t>Услуги консультационные по вопросам управления рисками</t>
  </si>
  <si>
    <t>Тәуекелдерді басқару сұрақтары бойынша кеңес беру қызметтері</t>
  </si>
  <si>
    <t>Контейнер</t>
  </si>
  <si>
    <t>29.20.21.00.00.00.10.29.1</t>
  </si>
  <si>
    <t xml:space="preserve"> ISO-830, 3 тонны</t>
  </si>
  <si>
    <t xml:space="preserve"> ISO-830, 3 тонна</t>
  </si>
  <si>
    <t>33.12.19.11.00.00.00</t>
  </si>
  <si>
    <t>Ремонт и техническое обслуживание оборудования общего назначения прочего</t>
  </si>
  <si>
    <t>Ремонт контейнера, установка дополнительных полок</t>
  </si>
  <si>
    <t>Жалпыға бағытталған басқа да құрылғыларды жөндеу және техникалық қамсыздандыру</t>
  </si>
  <si>
    <t>Контейнерди жөндеу, қосалқы сөре қою</t>
  </si>
  <si>
    <t>31.09.91.10.00.00.00</t>
  </si>
  <si>
    <t>Услуги по отделке мебели</t>
  </si>
  <si>
    <t>Услуги по отделке мебели (обтяжка, полировка, окрашивание)</t>
  </si>
  <si>
    <t>ЖиҺазды өңдеу қызметтері</t>
  </si>
  <si>
    <t>ЖиҺазды өңдеу қызметтері (жиһазды қаптау, полировка, бояу)</t>
  </si>
  <si>
    <t>с даты подписания договора и до 31.12.2014г.</t>
  </si>
  <si>
    <t>КҚКО ғимаратының жертөлесінде мұражай құру бойынша сметалық құжаттарын дайындау</t>
  </si>
  <si>
    <t>Разработка сметной документации по оборудованию архива в подвале здания ЦОП</t>
  </si>
  <si>
    <t>КҚКО ғимаратының жертөлесінде мұражай құру құрылыс жұмыстары</t>
  </si>
  <si>
    <t xml:space="preserve">Работы строительные по оборудованию архива в подвале здания ЦОП </t>
  </si>
  <si>
    <t>95.11.10.25.00.00.00</t>
  </si>
  <si>
    <t>Компьютерлік пректорды жөндеу және оларға қызмет көрсету</t>
  </si>
  <si>
    <t>Ремонт и обслуживание компьютерных проекторов</t>
  </si>
  <si>
    <t>Компьютерлік пректорды жөндеу және оларға техникалық қызмет көрсету</t>
  </si>
  <si>
    <t>Ремонт и техническое обслуживание компьютерных проекторов</t>
  </si>
  <si>
    <t>Орал қ. ғимарат сатып алу</t>
  </si>
  <si>
    <t>Приобретение здания в г. Уральск</t>
  </si>
  <si>
    <t>5 рабочих дней с даты подписания договора</t>
  </si>
  <si>
    <t>Аренда конференц-зала для проведения семинаров по проектам нефинансовой поддержки</t>
  </si>
  <si>
    <t>51.10.11.10.10.00.00</t>
  </si>
  <si>
    <t>Услуги по перевозкам пассажирские самолетами на местных линиях, подчиняющиеся расписанию</t>
  </si>
  <si>
    <t>Услуги по организации авиаперелета на местных линиях спикеров расширенной конференции по итогам реализации проекта "Деловые связи"</t>
  </si>
  <si>
    <t>с даты подписания договора по 25.11.2014г.</t>
  </si>
  <si>
    <t>Услуги по организации авиаперелета на международных линиях спикеров расширенной конференции по итогам реализации проекта "Деловые связи"</t>
  </si>
  <si>
    <t>74.20.23.30.00.00.00</t>
  </si>
  <si>
    <t>Услуги по фотографированию и видеосъемке</t>
  </si>
  <si>
    <t>Услуги по организации фото/видеосъемки расширенной конференции по итогам реализации проекта "Деловые связи"</t>
  </si>
  <si>
    <t>Услуги по изготовлению раздаточного и рекламного материала для расширенной конференции по итогам реализации проекта "Деловые связи"</t>
  </si>
  <si>
    <t>Услуги по организации расширенной конференции по итогам реализации проекта "Деловые связи"</t>
  </si>
  <si>
    <t>82.30.11.11.00.00.00</t>
  </si>
  <si>
    <t xml:space="preserve">Услуги по организации встречи региональных победителей по проекту "Школа молодого предпринимателя" </t>
  </si>
  <si>
    <t>Услуги по организации и проведению обучения в рамках проекта "Школа молодого предпринимателя"</t>
  </si>
  <si>
    <t>553230100</t>
  </si>
  <si>
    <t>553630100</t>
  </si>
  <si>
    <t>554630100</t>
  </si>
  <si>
    <t>554230100</t>
  </si>
  <si>
    <t>554830100</t>
  </si>
  <si>
    <t>555230100</t>
  </si>
  <si>
    <t>556069300</t>
  </si>
  <si>
    <t>556830000</t>
  </si>
  <si>
    <t>635830100</t>
  </si>
  <si>
    <t>634430100</t>
  </si>
  <si>
    <t>633830000</t>
  </si>
  <si>
    <t xml:space="preserve">"Іскерлік байланыстар" жобасын іске асыру нәтижелері бойынша кеңейтілген конференциясын ұйымдастыру бойынша қызметтер  </t>
  </si>
  <si>
    <t>Қаржылай емес қолдау жобалары бойынша семинарды өткізу үшін конференц-залды жалдау</t>
  </si>
  <si>
    <t>Жергілікті жолдармен кестеге сәйкес ұшақтар арқылы жолаушыларды тасымалдау қызметтері</t>
  </si>
  <si>
    <t xml:space="preserve">"Іскерлік байланыстар" жобасын іске асыру нәтижелері бойынша кеңейтілген конференция спикерлерінің жергілікті жолдар арқылы әуе сапарын ұйымдастыру бойынша қызметтер  </t>
  </si>
  <si>
    <t>"Іскерлік байланыстар" жобасын іске асыру нәтижелері бойынша кеңейтілген конференция спикерлерінің  халықаралық жолдар арқылы әуе сапарын ұйымдастыру бойынша қызметтер</t>
  </si>
  <si>
    <t xml:space="preserve">Фотосуретке түсіру және бейнежазба бойынша қызметтер  </t>
  </si>
  <si>
    <t>Фотосуретке түсіру және бейнежазба бойынша қызметтер</t>
  </si>
  <si>
    <t>"Іскерлік байланыстар" жобасын іске асыру нәтижелері бойынша кеңейтілген конференцияның фото/бейне жазбасын  ұйымдастыру бойынша қызметтер</t>
  </si>
  <si>
    <t>Басқа да полиграфиямен байланысты қызметтер</t>
  </si>
  <si>
    <t>Жарнама каталогтарын, проспектілерді, постерлерді және басқа да жарнамалық өнімдерді әзірлеу, жасап шығару , теру және басып шығару бойынша қызметтер</t>
  </si>
  <si>
    <t xml:space="preserve">"Іскерлік байланыстар" жобасын іске асыру нәтижелері бойынша кеңейтілген конференциясы үшін тарату және жарнама материалдарын жасау бойынша қызметтер </t>
  </si>
  <si>
    <t>Іс-шараларды өткізу орындарында жұмыс істеу үшін персоналды ұсынбай және ұйымдастырмай, бизнес-көрсетулер, жиналыстар, конференциялар мен кездесулер ұйымдастыру бойынша көрсетілетін қызметтер</t>
  </si>
  <si>
    <t xml:space="preserve">"Жас кәсіпкер мектебі" жобасы бойынша өңірлік жеңіппаздардың кездесуін ұйымдастыру бойынша қызметтер </t>
  </si>
  <si>
    <t xml:space="preserve">"Жас кәсіпкер мектебі" жобасы аясында оқытуды ұйымдастыру  және өткізу бойынша қызметтер </t>
  </si>
  <si>
    <t>Электр энергиясын беру және бөлу бойынша қызметтер</t>
  </si>
  <si>
    <t>Электр энергиясын тарату бойынша қызметтер</t>
  </si>
  <si>
    <t>Техническое обслуживание и ремонт системы вентиляции</t>
  </si>
  <si>
    <t>тұрмыстық техникалық қызмет көрсету және оларды жөндеу</t>
  </si>
  <si>
    <t>Радиатор</t>
  </si>
  <si>
    <t>Отопительный циркуляционный жидконаполненный.</t>
  </si>
  <si>
    <t>27.51.26.02.01.00.00.10.1</t>
  </si>
  <si>
    <t>Сұйық толтырылған циркуляциялық жылыту</t>
  </si>
  <si>
    <t>Услуги по повышению квалификации работников прочие для Call-центра</t>
  </si>
  <si>
    <t xml:space="preserve">Call-центр өзгеде жұмыскерлердің біліктілігін арттыру бойынша қызметтер </t>
  </si>
  <si>
    <t>с даты подписания договора по 10.10.2014г.</t>
  </si>
  <si>
    <t>Услуги по проведению репутационного аудита</t>
  </si>
  <si>
    <t>Репутациялық аудит жүргізу қызметтері</t>
  </si>
  <si>
    <t>с даты подписания договора по 15.12.2014г.</t>
  </si>
  <si>
    <t>70.22.13.10.00.00.00</t>
  </si>
  <si>
    <t>Услуги консультационные по вопросам управления маркетингом</t>
  </si>
  <si>
    <t>Услуги консультирования  в области разработки маркетинговых целей, политики.</t>
  </si>
  <si>
    <t>Услуги по разработке рекомендаций по корректировке PR-стратегии</t>
  </si>
  <si>
    <t>Маркетингті басқару маселелері бойынша кеңес беру қызметтері</t>
  </si>
  <si>
    <t>Маркетингтік мақсат қою, саясатты жетілдіру саласында кеңес беру қызметтері</t>
  </si>
  <si>
    <t xml:space="preserve"> PR-стратегияны өңдеуге бағытталған ұсынымдарды дайындау қызметтері </t>
  </si>
  <si>
    <t>Размер:205/55R16.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</si>
  <si>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Мөлшері:205/55R16.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шегеленген шина</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</si>
  <si>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</si>
  <si>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Футбол алаңын жалдау бойынша қызметтер</t>
  </si>
  <si>
    <t>Продвижение программ господдержки МСБ</t>
  </si>
  <si>
    <t>КОБ мемлекттік қолдау бағдарламаларын жылжыту</t>
  </si>
  <si>
    <t>96.09.19.90.25.00.00</t>
  </si>
  <si>
    <t>Получение различных разрешительных документов  для дополнительного отвода земельного участка</t>
  </si>
  <si>
    <t xml:space="preserve">Получение различных разрешительных документов в соответсвующих органах </t>
  </si>
  <si>
    <t>Услуги по получению разрешительных документов</t>
  </si>
  <si>
    <t>Рұқсат беретін құжаттарды алу қызметтері</t>
  </si>
  <si>
    <t>Белгілі органдардан түрлі рұқсат құжаттарын алу</t>
  </si>
  <si>
    <t>Қосымша жер телімін алу үшін түрлі рұқсат беретін құжаттарды алу</t>
  </si>
  <si>
    <t xml:space="preserve">Разработка сметной документации </t>
  </si>
  <si>
    <t>Сметалық құаттарды дайындау</t>
  </si>
  <si>
    <t>37.00.12.15.00.00.00</t>
  </si>
  <si>
    <t xml:space="preserve">Разного рода услуги специализированной техники для сбора, утилизации, размещению или удалению отходов  в местах, где невозможна врезка в сети канализации </t>
  </si>
  <si>
    <t>Услуги ассенизаторской машины</t>
  </si>
  <si>
    <t>Ассенизатор қөлігінің қызметтері</t>
  </si>
  <si>
    <t xml:space="preserve">Канализация жүйесін пайдалануға болмайтын жерлерде қоқыстарды жинау, жоюға арналған арнайы техниканың әр түрлі қызметтері </t>
  </si>
  <si>
    <t>Оборудование для кондиционирования воздуха (кондиционеры)</t>
  </si>
  <si>
    <t>Ауаны кондициалауға арнлаған құрылғысы (кондиционерлер)</t>
  </si>
  <si>
    <t>28.25.12.00.00.00.16.10.1</t>
  </si>
  <si>
    <t>Кондиционер бытовой автономный</t>
  </si>
  <si>
    <t>Жеке тұрмыстық кондиционер</t>
  </si>
  <si>
    <t>Кондиционер бытовой автономный с холодопроизводительностью 1120 Вт</t>
  </si>
  <si>
    <t>Суык шығарымдылығы 1120 Вт жеке тұрмыстық кондиционер</t>
  </si>
  <si>
    <t xml:space="preserve">Суытқыш құрылғысы және жылыту/салқындау циклын ауыстыратын клапоны орнатылған ауаны кодициялауға арналған (реверсивті жылытқыш насос) агрегат және құрылғы, авиациялықтан басқа </t>
  </si>
  <si>
    <t>Электрическая тепловая воздушная завеса</t>
  </si>
  <si>
    <t>Электрлі ауаны жылыту желуі</t>
  </si>
  <si>
    <t>43.22.12.20.11.00.00</t>
  </si>
  <si>
    <t>Вентиляция және кондиционер жүйесін орнатумен байланысты қызметтер</t>
  </si>
  <si>
    <t>Услуги вспомогательные, связанные с установкой системы вентиляции и кондиционирования</t>
  </si>
  <si>
    <t>Услуги по установке тепловой воздушной завесы</t>
  </si>
  <si>
    <t>Жылуды желу құрылғысын  орнату қызметтері</t>
  </si>
  <si>
    <t>Услуги по отбору лекторов и обеспечение их участия в реализации Программы "Бизнес Советник 1"</t>
  </si>
  <si>
    <t>Лекторлар іріктеу қызметі және оларды "Бизнес- Кеңесші 1" бағдарламсының іске асырылуына қатысуын қамтамасыз ету</t>
  </si>
  <si>
    <t>Услуги по организация кофе-брейка по проекту "Бизнес-Советник 1"</t>
  </si>
  <si>
    <t xml:space="preserve"> "Бизнес- Кеңесші 1" жобасы бойынша кофе-брейк ұйымдастыру қызметтері</t>
  </si>
  <si>
    <t>Исполнитель: Главный менеджер Административного департамента Мырзалы М. тел. 8 (727) 244 55 66 (вн. 1107)</t>
  </si>
  <si>
    <t>ноябрь-декабрь</t>
  </si>
  <si>
    <t>69.10.18.10.00.00.00</t>
  </si>
  <si>
    <t>Услуги аукционные юридические</t>
  </si>
  <si>
    <t>Услуги юридические в сфере аукционов</t>
  </si>
  <si>
    <t>Аукциондық заңдық қызметтер</t>
  </si>
  <si>
    <t>Аукцион саласындағы заңдық қызметтер</t>
  </si>
  <si>
    <t>Услуги связанные с провведением аукциона (торгов) на веб-портале АО "Информационный учетный центр"</t>
  </si>
  <si>
    <t>Услуги по продаже места для размещения рекламных объявлений в журналах и изданиях периодических, печатных</t>
  </si>
  <si>
    <t>58.14.31.10.00.00.00</t>
  </si>
  <si>
    <t>Размещение рекламных объявлений в журналах и изданиях периодических, печатных</t>
  </si>
  <si>
    <t>Журналдар мен мерзімдік басылымдарда жарнамалық ақпараттарды орналастыру үшін орындар сату қызметтері, баспа</t>
  </si>
  <si>
    <t xml:space="preserve">Журналдар мен мерзімдік басылымдарда жарнамалық ақпараттарды орналастыру, баспа </t>
  </si>
  <si>
    <t xml:space="preserve">Размещение рекламного модуля по программе государственной поддержки </t>
  </si>
  <si>
    <t xml:space="preserve">Мемлекеттік қолдау бағдарламалары бойынша жарнамалық модульдерді орналастыру </t>
  </si>
  <si>
    <t>62.09.20.20.80.00.00</t>
  </si>
  <si>
    <t>Услуги по предоставлению доступа к информационным ресурсам, находящимся в сети Интернет</t>
  </si>
  <si>
    <t>Услуги по предоставлению доступа к информационным ресурсам, находящимся в сети Интернет (сертификация пользователей, получение доступа и др.)</t>
  </si>
  <si>
    <t>Оценка работников и кадровых резервистов посредством специализированных систем (система Томаса) в онлайн-режиме в сети Интернет</t>
  </si>
  <si>
    <t xml:space="preserve"> Интернетте желісіндегі  ақпараттық қорларға шығуға мүмкіндік беру қызметтер</t>
  </si>
  <si>
    <t xml:space="preserve"> Интернетте желісіндегі  ақпараттық қорларға шығуға мүмкіндік беру қызметтер (қолданушыларды сертификаттау, рұқсат алу және т.б.)</t>
  </si>
  <si>
    <t>Қызметкерлер мен кадр резервистерін арнайы мамандандырылған жүйе бойынша Интернет желісінде онлайн бағалау</t>
  </si>
  <si>
    <t>Петропавл қ. ғимарат сатып алу</t>
  </si>
  <si>
    <t>Приобретение здания в г. Петропавловск</t>
  </si>
  <si>
    <t>Организация удаленного хранения данных. Объем не менее 1 Gb, пропускная способность выделенного канала не менее 20Mbit/s</t>
  </si>
  <si>
    <t>Мәліметтерді басқа жерде сақтауды ұйымдастыру. Көлемі 1 Gb кем емес, бөлінген каналдың өткізу қабілеттігі 20Mbit/s кем емес</t>
  </si>
  <si>
    <t>с изменениями от 20.10.2014г., приказ № 126-п</t>
  </si>
</sst>
</file>

<file path=xl/styles.xml><?xml version="1.0" encoding="utf-8"?>
<styleSheet xmlns="http://schemas.openxmlformats.org/spreadsheetml/2006/main">
  <numFmts count="7">
    <numFmt numFmtId="43" formatCode="_-* #,##0.00_р_._-;\-* #,##0.00_р_._-;_-* &quot;-&quot;??_р_._-;_-@_-"/>
    <numFmt numFmtId="164" formatCode="dd/mm/yy;@"/>
    <numFmt numFmtId="165" formatCode="dd\.mm\.yy;@"/>
    <numFmt numFmtId="166" formatCode="_(* #,##0.00_);_(* \(#,##0.00\);_(* &quot;-&quot;??_);_(@_)"/>
    <numFmt numFmtId="167" formatCode="000000"/>
    <numFmt numFmtId="168" formatCode="00"/>
    <numFmt numFmtId="169" formatCode="000"/>
  </numFmts>
  <fonts count="2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b/>
      <sz val="10"/>
      <name val="Times New Roman"/>
      <family val="1"/>
      <charset val="204"/>
    </font>
    <font>
      <i/>
      <sz val="10"/>
      <name val="Times New Roman"/>
      <family val="1"/>
      <charset val="204"/>
    </font>
    <font>
      <sz val="10"/>
      <name val="Arial"/>
      <family val="2"/>
      <charset val="204"/>
    </font>
    <font>
      <sz val="11"/>
      <name val="Times New Roman"/>
      <family val="1"/>
      <charset val="204"/>
    </font>
    <font>
      <sz val="8"/>
      <name val="Times New Roman"/>
      <family val="1"/>
      <charset val="204"/>
    </font>
    <font>
      <sz val="10"/>
      <color indexed="64"/>
      <name val="Times New Roman"/>
      <family val="1"/>
      <charset val="204"/>
    </font>
    <font>
      <sz val="10"/>
      <color theme="1"/>
      <name val="Times New Roman"/>
      <family val="1"/>
      <charset val="204"/>
    </font>
    <font>
      <sz val="12"/>
      <name val="Times New Roman"/>
      <family val="1"/>
      <charset val="204"/>
    </font>
    <font>
      <sz val="10"/>
      <color rgb="FF000000"/>
      <name val="Times New Roman"/>
      <family val="1"/>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
      <b/>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s>
  <cellStyleXfs count="90">
    <xf numFmtId="0" fontId="0" fillId="0" borderId="0"/>
    <xf numFmtId="166" fontId="12" fillId="0" borderId="0" applyFont="0" applyFill="0" applyBorder="0" applyAlignment="0" applyProtection="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12" fillId="0" borderId="0"/>
    <xf numFmtId="0" fontId="8" fillId="0" borderId="0"/>
    <xf numFmtId="0" fontId="8" fillId="0" borderId="0"/>
    <xf numFmtId="0" fontId="7"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12" fillId="0" borderId="0"/>
    <xf numFmtId="0" fontId="5" fillId="0" borderId="0"/>
    <xf numFmtId="0" fontId="5" fillId="0" borderId="0"/>
    <xf numFmtId="0" fontId="4" fillId="0" borderId="0"/>
    <xf numFmtId="0" fontId="3" fillId="0" borderId="0"/>
    <xf numFmtId="0" fontId="3" fillId="0" borderId="0"/>
    <xf numFmtId="0" fontId="2" fillId="0" borderId="0"/>
    <xf numFmtId="1" fontId="19" fillId="0" borderId="0">
      <alignment horizontal="center" vertical="top" wrapText="1"/>
    </xf>
    <xf numFmtId="168" fontId="19" fillId="0" borderId="2">
      <alignment horizontal="center" vertical="top" wrapText="1"/>
    </xf>
    <xf numFmtId="169" fontId="19" fillId="0" borderId="2">
      <alignment horizontal="center" vertical="top" wrapText="1"/>
    </xf>
    <xf numFmtId="169" fontId="19" fillId="0" borderId="2">
      <alignment horizontal="center" vertical="top" wrapText="1"/>
    </xf>
    <xf numFmtId="169" fontId="19" fillId="0" borderId="2">
      <alignment horizontal="center" vertical="top" wrapText="1"/>
    </xf>
    <xf numFmtId="1" fontId="19" fillId="0" borderId="0">
      <alignment horizontal="center" vertical="top" wrapText="1"/>
    </xf>
    <xf numFmtId="168" fontId="19" fillId="0" borderId="0">
      <alignment horizontal="center" vertical="top" wrapText="1"/>
    </xf>
    <xf numFmtId="169" fontId="19" fillId="0" borderId="0">
      <alignment horizontal="center" vertical="top" wrapText="1"/>
    </xf>
    <xf numFmtId="169" fontId="19" fillId="0" borderId="0">
      <alignment horizontal="center" vertical="top" wrapText="1"/>
    </xf>
    <xf numFmtId="169" fontId="19" fillId="0" borderId="0">
      <alignment horizontal="center" vertical="top" wrapText="1"/>
    </xf>
    <xf numFmtId="0" fontId="19" fillId="0" borderId="0">
      <alignment horizontal="left" vertical="top" wrapText="1"/>
    </xf>
    <xf numFmtId="0" fontId="19" fillId="0" borderId="0">
      <alignment horizontal="left" vertical="top" wrapText="1"/>
    </xf>
    <xf numFmtId="0" fontId="19" fillId="0" borderId="2">
      <alignment horizontal="left" vertical="top"/>
    </xf>
    <xf numFmtId="0" fontId="19" fillId="0" borderId="23">
      <alignment horizontal="center" vertical="top" wrapText="1"/>
    </xf>
    <xf numFmtId="0" fontId="19" fillId="0" borderId="0">
      <alignment horizontal="left" vertical="top"/>
    </xf>
    <xf numFmtId="0" fontId="19" fillId="0" borderId="24">
      <alignment horizontal="left" vertical="top"/>
    </xf>
    <xf numFmtId="0" fontId="20" fillId="2" borderId="2">
      <alignment horizontal="left" vertical="top" wrapText="1"/>
    </xf>
    <xf numFmtId="0" fontId="20" fillId="2" borderId="2">
      <alignment horizontal="left" vertical="top" wrapText="1"/>
    </xf>
    <xf numFmtId="0" fontId="21" fillId="0" borderId="2">
      <alignment horizontal="left" vertical="top" wrapText="1"/>
    </xf>
    <xf numFmtId="0" fontId="19" fillId="0" borderId="2">
      <alignment horizontal="left" vertical="top" wrapText="1"/>
    </xf>
    <xf numFmtId="0" fontId="22" fillId="0" borderId="2">
      <alignment horizontal="left" vertical="top" wrapText="1"/>
    </xf>
    <xf numFmtId="0" fontId="23" fillId="0" borderId="0"/>
    <xf numFmtId="0" fontId="24" fillId="0" borderId="0"/>
    <xf numFmtId="0" fontId="8" fillId="0" borderId="0"/>
    <xf numFmtId="0" fontId="25" fillId="0" borderId="0">
      <alignment horizontal="center" vertical="top"/>
    </xf>
    <xf numFmtId="0" fontId="19" fillId="0" borderId="25">
      <alignment horizontal="center" textRotation="90" wrapText="1"/>
    </xf>
    <xf numFmtId="0" fontId="19" fillId="0" borderId="25">
      <alignment horizontal="center" vertical="center" wrapText="1"/>
    </xf>
    <xf numFmtId="1" fontId="26" fillId="0" borderId="0">
      <alignment horizontal="center" vertical="top" wrapText="1"/>
    </xf>
    <xf numFmtId="168" fontId="26" fillId="0" borderId="2">
      <alignment horizontal="center" vertical="top" wrapText="1"/>
    </xf>
    <xf numFmtId="169" fontId="26" fillId="0" borderId="2">
      <alignment horizontal="center" vertical="top" wrapText="1"/>
    </xf>
    <xf numFmtId="169" fontId="26" fillId="0" borderId="2">
      <alignment horizontal="center" vertical="top" wrapText="1"/>
    </xf>
    <xf numFmtId="169" fontId="26" fillId="0" borderId="2">
      <alignment horizontal="center" vertical="top"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12" fillId="0" borderId="0"/>
    <xf numFmtId="0" fontId="8" fillId="0" borderId="0"/>
    <xf numFmtId="0" fontId="8" fillId="0" borderId="0"/>
    <xf numFmtId="0" fontId="2" fillId="0" borderId="0"/>
    <xf numFmtId="0" fontId="8" fillId="0" borderId="0"/>
    <xf numFmtId="0" fontId="8" fillId="0" borderId="0"/>
    <xf numFmtId="0" fontId="12" fillId="0" borderId="0"/>
    <xf numFmtId="0" fontId="12"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75">
    <xf numFmtId="0" fontId="0" fillId="0" borderId="0" xfId="0"/>
    <xf numFmtId="0" fontId="9" fillId="0" borderId="0" xfId="2" applyFont="1" applyFill="1" applyAlignment="1">
      <alignment vertical="top"/>
    </xf>
    <xf numFmtId="0" fontId="9" fillId="0" borderId="0" xfId="2" applyFont="1" applyFill="1" applyBorder="1" applyAlignment="1">
      <alignment vertical="top" wrapText="1"/>
    </xf>
    <xf numFmtId="0" fontId="9" fillId="0" borderId="0" xfId="2" applyFont="1" applyFill="1" applyBorder="1" applyAlignment="1">
      <alignment vertical="top"/>
    </xf>
    <xf numFmtId="0" fontId="9" fillId="0" borderId="1" xfId="2" applyFont="1" applyFill="1" applyBorder="1" applyAlignment="1">
      <alignment horizontal="center" vertical="center"/>
    </xf>
    <xf numFmtId="0" fontId="9" fillId="0" borderId="1" xfId="2" applyFont="1" applyFill="1" applyBorder="1" applyAlignment="1">
      <alignment horizontal="center" vertical="center" wrapText="1"/>
    </xf>
    <xf numFmtId="3" fontId="9" fillId="0" borderId="1" xfId="2" applyNumberFormat="1" applyFont="1" applyFill="1" applyBorder="1" applyAlignment="1">
      <alignment horizontal="center" vertical="center"/>
    </xf>
    <xf numFmtId="0" fontId="9" fillId="0" borderId="0" xfId="2" applyFont="1" applyFill="1" applyAlignment="1">
      <alignment horizontal="center" vertical="center"/>
    </xf>
    <xf numFmtId="0" fontId="9" fillId="0" borderId="1" xfId="0" applyFont="1" applyFill="1" applyBorder="1" applyAlignment="1">
      <alignment horizontal="center" vertical="center"/>
    </xf>
    <xf numFmtId="3" fontId="9" fillId="0" borderId="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0" xfId="2" applyFont="1" applyFill="1"/>
    <xf numFmtId="0" fontId="9" fillId="0" borderId="0" xfId="2" applyFont="1" applyFill="1" applyAlignment="1">
      <alignment vertical="top" wrapText="1"/>
    </xf>
    <xf numFmtId="0" fontId="9" fillId="0" borderId="1" xfId="0" applyNumberFormat="1" applyFont="1" applyFill="1" applyBorder="1" applyAlignment="1">
      <alignment horizontal="center" vertical="center" wrapText="1"/>
    </xf>
    <xf numFmtId="49" fontId="9" fillId="0" borderId="1" xfId="2" applyNumberFormat="1" applyFont="1" applyFill="1" applyBorder="1" applyAlignment="1">
      <alignment horizontal="center" vertical="center" wrapText="1"/>
    </xf>
    <xf numFmtId="0" fontId="9" fillId="0" borderId="0" xfId="2" applyFont="1" applyFill="1" applyBorder="1" applyAlignment="1">
      <alignment horizontal="center" vertical="center" wrapText="1"/>
    </xf>
    <xf numFmtId="0" fontId="10" fillId="0" borderId="3" xfId="2" applyFont="1" applyFill="1" applyBorder="1" applyAlignment="1">
      <alignment horizontal="center" vertical="center" wrapText="1"/>
    </xf>
    <xf numFmtId="3" fontId="10" fillId="0" borderId="3" xfId="2" applyNumberFormat="1" applyFont="1" applyFill="1" applyBorder="1" applyAlignment="1">
      <alignment horizontal="center" vertical="center" wrapText="1"/>
    </xf>
    <xf numFmtId="0" fontId="10" fillId="0" borderId="5" xfId="2" applyFont="1" applyFill="1" applyBorder="1" applyAlignment="1">
      <alignment horizontal="center" vertical="center" wrapText="1"/>
    </xf>
    <xf numFmtId="0" fontId="10" fillId="0" borderId="6" xfId="2" applyFont="1" applyFill="1" applyBorder="1" applyAlignment="1">
      <alignment horizontal="center" vertical="center" wrapText="1"/>
    </xf>
    <xf numFmtId="0" fontId="10" fillId="0" borderId="7" xfId="2" applyFont="1" applyFill="1" applyBorder="1" applyAlignment="1">
      <alignment horizontal="center" vertical="center" wrapText="1"/>
    </xf>
    <xf numFmtId="3" fontId="9" fillId="0" borderId="1" xfId="2" applyNumberFormat="1" applyFont="1" applyFill="1" applyBorder="1" applyAlignment="1">
      <alignment horizontal="center" vertical="center" wrapText="1"/>
    </xf>
    <xf numFmtId="49" fontId="9" fillId="0" borderId="0" xfId="2" applyNumberFormat="1" applyFont="1" applyFill="1" applyAlignment="1">
      <alignment horizontal="center" vertical="center" wrapText="1"/>
    </xf>
    <xf numFmtId="3" fontId="9" fillId="0" borderId="0" xfId="2" applyNumberFormat="1" applyFont="1" applyFill="1" applyAlignment="1">
      <alignment horizontal="center" vertical="center" wrapText="1"/>
    </xf>
    <xf numFmtId="0" fontId="10" fillId="0" borderId="0" xfId="2" applyFont="1" applyFill="1" applyBorder="1" applyAlignment="1">
      <alignment horizontal="center" vertical="center" wrapText="1"/>
    </xf>
    <xf numFmtId="0" fontId="11" fillId="0" borderId="0" xfId="2" applyFont="1" applyFill="1" applyAlignment="1">
      <alignment horizontal="center" vertical="center" wrapText="1"/>
    </xf>
    <xf numFmtId="3" fontId="10" fillId="0" borderId="1" xfId="2" applyNumberFormat="1" applyFont="1" applyFill="1" applyBorder="1" applyAlignment="1">
      <alignment horizontal="center" vertical="center" wrapText="1"/>
    </xf>
    <xf numFmtId="0" fontId="9" fillId="0" borderId="2" xfId="2" applyFont="1" applyFill="1" applyBorder="1" applyAlignment="1">
      <alignment horizontal="center" vertical="center" wrapText="1"/>
    </xf>
    <xf numFmtId="49" fontId="9" fillId="0" borderId="11" xfId="2" applyNumberFormat="1" applyFont="1" applyFill="1" applyBorder="1" applyAlignment="1">
      <alignment horizontal="center" vertical="center" wrapText="1"/>
    </xf>
    <xf numFmtId="0" fontId="9" fillId="0" borderId="11" xfId="2"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Alignment="1">
      <alignment wrapText="1"/>
    </xf>
    <xf numFmtId="164" fontId="9" fillId="0" borderId="1" xfId="2" applyNumberFormat="1" applyFont="1" applyFill="1" applyBorder="1" applyAlignment="1">
      <alignment horizontal="center" vertical="center" wrapText="1"/>
    </xf>
    <xf numFmtId="0" fontId="9" fillId="0" borderId="0" xfId="2" applyFont="1" applyFill="1" applyAlignment="1">
      <alignment vertical="center" wrapText="1"/>
    </xf>
    <xf numFmtId="0" fontId="9" fillId="0" borderId="10" xfId="2" applyFont="1" applyFill="1" applyBorder="1" applyAlignment="1">
      <alignment horizontal="center" vertical="center" wrapText="1"/>
    </xf>
    <xf numFmtId="0" fontId="9" fillId="0" borderId="0" xfId="2" applyFont="1" applyFill="1" applyAlignment="1">
      <alignment horizontal="center" vertical="top" wrapText="1"/>
    </xf>
    <xf numFmtId="0" fontId="9" fillId="0" borderId="0" xfId="2" applyFont="1" applyFill="1" applyAlignment="1">
      <alignment wrapText="1"/>
    </xf>
    <xf numFmtId="0" fontId="9" fillId="0" borderId="0" xfId="2" applyFont="1" applyFill="1" applyAlignment="1">
      <alignment horizontal="center" wrapText="1"/>
    </xf>
    <xf numFmtId="0" fontId="14" fillId="0" borderId="0" xfId="2" applyFont="1" applyFill="1" applyAlignment="1">
      <alignment horizontal="center" vertical="center"/>
    </xf>
    <xf numFmtId="0" fontId="9" fillId="0" borderId="1" xfId="6" applyFont="1" applyFill="1" applyBorder="1" applyAlignment="1">
      <alignment horizontal="center" vertical="center" wrapText="1"/>
    </xf>
    <xf numFmtId="0" fontId="10" fillId="0" borderId="0" xfId="2" applyFont="1" applyFill="1" applyBorder="1" applyAlignment="1">
      <alignment vertical="top"/>
    </xf>
    <xf numFmtId="0" fontId="9" fillId="0" borderId="10" xfId="6"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0" xfId="2" applyFont="1" applyFill="1" applyBorder="1" applyAlignment="1">
      <alignment vertical="top" wrapText="1"/>
    </xf>
    <xf numFmtId="0" fontId="10" fillId="0" borderId="0" xfId="2" applyFont="1" applyFill="1" applyAlignment="1">
      <alignment vertical="center" wrapText="1"/>
    </xf>
    <xf numFmtId="4" fontId="9" fillId="0" borderId="1" xfId="0" applyNumberFormat="1" applyFont="1" applyFill="1" applyBorder="1" applyAlignment="1">
      <alignment horizontal="center" vertical="center" wrapText="1"/>
    </xf>
    <xf numFmtId="0" fontId="12" fillId="0" borderId="0" xfId="0" applyFont="1" applyFill="1"/>
    <xf numFmtId="0" fontId="9" fillId="0" borderId="0" xfId="2" applyFont="1" applyFill="1" applyAlignment="1">
      <alignment horizontal="center" vertical="center" wrapText="1"/>
    </xf>
    <xf numFmtId="4" fontId="9" fillId="0" borderId="10" xfId="0" applyNumberFormat="1" applyFont="1" applyFill="1" applyBorder="1" applyAlignment="1">
      <alignment horizontal="center" vertical="center" wrapText="1"/>
    </xf>
    <xf numFmtId="0" fontId="13" fillId="0" borderId="1" xfId="2" applyFont="1" applyFill="1" applyBorder="1" applyAlignment="1">
      <alignment horizontal="center" vertical="center"/>
    </xf>
    <xf numFmtId="3" fontId="9" fillId="0" borderId="1" xfId="1" applyNumberFormat="1" applyFont="1" applyFill="1" applyBorder="1" applyAlignment="1">
      <alignment horizontal="center" vertical="center" wrapText="1"/>
    </xf>
    <xf numFmtId="3" fontId="9" fillId="0" borderId="1" xfId="2" applyNumberFormat="1" applyFont="1" applyFill="1" applyBorder="1" applyAlignment="1">
      <alignment horizontal="center" wrapText="1"/>
    </xf>
    <xf numFmtId="3" fontId="9" fillId="0" borderId="1" xfId="6" applyNumberFormat="1" applyFont="1" applyFill="1" applyBorder="1" applyAlignment="1">
      <alignment horizontal="center" vertical="center" wrapText="1"/>
    </xf>
    <xf numFmtId="3" fontId="9" fillId="0" borderId="1" xfId="2" applyNumberFormat="1" applyFont="1" applyFill="1" applyBorder="1" applyAlignment="1">
      <alignment horizontal="center" vertical="top" wrapText="1"/>
    </xf>
    <xf numFmtId="3" fontId="9" fillId="0" borderId="1" xfId="0" applyNumberFormat="1" applyFont="1" applyFill="1" applyBorder="1" applyAlignment="1">
      <alignment horizontal="center" vertical="center"/>
    </xf>
    <xf numFmtId="49" fontId="9" fillId="0" borderId="1" xfId="2" applyNumberFormat="1" applyFont="1" applyFill="1" applyBorder="1" applyAlignment="1">
      <alignment horizontal="center" vertical="center"/>
    </xf>
    <xf numFmtId="167" fontId="15" fillId="0" borderId="1" xfId="0" applyNumberFormat="1" applyFont="1" applyFill="1" applyBorder="1" applyAlignment="1">
      <alignment horizontal="center" vertical="center" wrapText="1"/>
    </xf>
    <xf numFmtId="0" fontId="10" fillId="0" borderId="0" xfId="2" applyFont="1" applyFill="1" applyBorder="1" applyAlignment="1">
      <alignment horizontal="left" vertical="top"/>
    </xf>
    <xf numFmtId="0" fontId="9" fillId="0" borderId="0" xfId="2" applyFont="1" applyFill="1" applyBorder="1" applyAlignment="1">
      <alignment horizontal="left" vertical="top" wrapText="1"/>
    </xf>
    <xf numFmtId="3" fontId="9" fillId="0" borderId="0" xfId="2" applyNumberFormat="1" applyFont="1" applyFill="1" applyAlignment="1">
      <alignment vertical="top"/>
    </xf>
    <xf numFmtId="0" fontId="10" fillId="0" borderId="3" xfId="2" applyFont="1" applyFill="1" applyBorder="1" applyAlignment="1">
      <alignment horizontal="center" vertical="top" wrapText="1"/>
    </xf>
    <xf numFmtId="3" fontId="10" fillId="0" borderId="0" xfId="2" applyNumberFormat="1" applyFont="1" applyFill="1" applyBorder="1" applyAlignment="1">
      <alignment horizontal="center" vertical="top"/>
    </xf>
    <xf numFmtId="0" fontId="9" fillId="0" borderId="18" xfId="2" applyFont="1" applyFill="1" applyBorder="1" applyAlignment="1">
      <alignment horizontal="center" vertical="center" wrapText="1"/>
    </xf>
    <xf numFmtId="49" fontId="9" fillId="0" borderId="4" xfId="2" applyNumberFormat="1" applyFont="1" applyFill="1" applyBorder="1" applyAlignment="1">
      <alignment horizontal="center" vertical="top" wrapText="1"/>
    </xf>
    <xf numFmtId="0" fontId="9" fillId="0" borderId="4" xfId="2" applyFont="1" applyFill="1" applyBorder="1" applyAlignment="1">
      <alignment horizontal="center" vertical="top" wrapText="1"/>
    </xf>
    <xf numFmtId="0" fontId="10" fillId="0" borderId="0" xfId="2" applyFont="1" applyFill="1" applyBorder="1" applyAlignment="1">
      <alignment horizontal="left" vertical="top" wrapText="1"/>
    </xf>
    <xf numFmtId="3" fontId="10" fillId="0" borderId="0" xfId="2" applyNumberFormat="1" applyFont="1" applyFill="1" applyBorder="1" applyAlignment="1">
      <alignment vertical="top" wrapText="1"/>
    </xf>
    <xf numFmtId="14" fontId="10" fillId="0" borderId="0" xfId="2" applyNumberFormat="1" applyFont="1" applyFill="1" applyBorder="1" applyAlignment="1">
      <alignment horizontal="left" vertical="top"/>
    </xf>
    <xf numFmtId="3" fontId="10" fillId="0" borderId="0" xfId="2" applyNumberFormat="1" applyFont="1" applyFill="1" applyBorder="1" applyAlignment="1">
      <alignment horizontal="left" vertical="top"/>
    </xf>
    <xf numFmtId="167" fontId="15" fillId="0" borderId="1" xfId="0" applyNumberFormat="1" applyFont="1" applyFill="1" applyBorder="1" applyAlignment="1" applyProtection="1">
      <alignment horizontal="center" vertical="center" wrapText="1"/>
      <protection locked="0"/>
    </xf>
    <xf numFmtId="4" fontId="9" fillId="0" borderId="9" xfId="2" applyNumberFormat="1" applyFont="1" applyFill="1" applyBorder="1" applyAlignment="1">
      <alignment horizontal="center" vertical="center"/>
    </xf>
    <xf numFmtId="4" fontId="10" fillId="0" borderId="1" xfId="2" applyNumberFormat="1" applyFont="1" applyFill="1" applyBorder="1" applyAlignment="1">
      <alignment horizontal="center" vertical="center" wrapText="1"/>
    </xf>
    <xf numFmtId="0" fontId="9" fillId="0" borderId="9" xfId="2"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10" fillId="0" borderId="0" xfId="2" applyFont="1" applyFill="1" applyAlignment="1">
      <alignment vertical="top" wrapText="1"/>
    </xf>
    <xf numFmtId="167" fontId="9"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9" fillId="0" borderId="8" xfId="2" applyFont="1" applyFill="1" applyBorder="1" applyAlignment="1">
      <alignment horizontal="center" vertical="center" wrapText="1"/>
    </xf>
    <xf numFmtId="0" fontId="16" fillId="0" borderId="1" xfId="2" applyFont="1" applyFill="1" applyBorder="1" applyAlignment="1">
      <alignment horizontal="center" vertical="center" wrapText="1"/>
    </xf>
    <xf numFmtId="49" fontId="15" fillId="0" borderId="22" xfId="0" applyNumberFormat="1" applyFont="1" applyFill="1" applyBorder="1" applyAlignment="1">
      <alignment horizontal="center" vertical="center" wrapText="1"/>
    </xf>
    <xf numFmtId="167" fontId="15" fillId="0" borderId="10"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4" fontId="9" fillId="0" borderId="1" xfId="2"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 fontId="9" fillId="0" borderId="1" xfId="2" applyNumberFormat="1" applyFont="1" applyFill="1" applyBorder="1" applyAlignment="1">
      <alignment horizontal="center" vertical="center"/>
    </xf>
    <xf numFmtId="0" fontId="18" fillId="0" borderId="1" xfId="0" applyFont="1" applyFill="1" applyBorder="1" applyAlignment="1">
      <alignment horizontal="center" vertical="center" wrapText="1"/>
    </xf>
    <xf numFmtId="3" fontId="9" fillId="0" borderId="10" xfId="2" applyNumberFormat="1" applyFont="1" applyFill="1" applyBorder="1" applyAlignment="1">
      <alignment horizontal="center" vertical="center" wrapText="1"/>
    </xf>
    <xf numFmtId="0" fontId="10" fillId="0" borderId="0" xfId="2" applyFont="1" applyFill="1" applyAlignment="1">
      <alignment vertical="top"/>
    </xf>
    <xf numFmtId="0" fontId="16" fillId="0" borderId="1" xfId="0" applyFont="1" applyFill="1" applyBorder="1" applyAlignment="1">
      <alignment horizontal="center" vertical="center" wrapText="1"/>
    </xf>
    <xf numFmtId="0" fontId="9" fillId="0" borderId="0" xfId="2" applyFont="1" applyFill="1" applyAlignment="1">
      <alignment vertical="center"/>
    </xf>
    <xf numFmtId="43" fontId="9" fillId="0" borderId="1" xfId="10" applyFont="1" applyFill="1" applyBorder="1" applyAlignment="1">
      <alignment vertical="center" wrapText="1"/>
    </xf>
    <xf numFmtId="0" fontId="9" fillId="0" borderId="0" xfId="0" applyFont="1" applyFill="1"/>
    <xf numFmtId="3" fontId="9" fillId="0" borderId="1" xfId="6" applyNumberFormat="1" applyFont="1" applyFill="1" applyBorder="1" applyAlignment="1">
      <alignment horizontal="center" vertical="center"/>
    </xf>
    <xf numFmtId="4" fontId="9" fillId="0" borderId="1" xfId="6" applyNumberFormat="1" applyFont="1" applyFill="1" applyBorder="1" applyAlignment="1">
      <alignment horizontal="center" vertical="center"/>
    </xf>
    <xf numFmtId="0" fontId="9" fillId="0" borderId="1" xfId="6" applyFont="1" applyFill="1" applyBorder="1" applyAlignment="1">
      <alignment horizontal="center" vertical="center"/>
    </xf>
    <xf numFmtId="43" fontId="9" fillId="0" borderId="1" xfId="10" applyFont="1" applyFill="1" applyBorder="1" applyAlignment="1">
      <alignment horizontal="center" vertical="center"/>
    </xf>
    <xf numFmtId="1" fontId="9" fillId="0" borderId="1" xfId="6" applyNumberFormat="1" applyFont="1" applyFill="1" applyBorder="1" applyAlignment="1">
      <alignment horizontal="center" vertical="center"/>
    </xf>
    <xf numFmtId="164" fontId="9" fillId="0" borderId="1" xfId="6" applyNumberFormat="1" applyFont="1" applyFill="1" applyBorder="1" applyAlignment="1">
      <alignment horizontal="center" vertical="center" wrapText="1"/>
    </xf>
    <xf numFmtId="49" fontId="9" fillId="0" borderId="1" xfId="6" applyNumberFormat="1" applyFont="1" applyFill="1" applyBorder="1" applyAlignment="1">
      <alignment horizontal="center" vertical="center"/>
    </xf>
    <xf numFmtId="167" fontId="9" fillId="0" borderId="1" xfId="6" applyNumberFormat="1" applyFont="1" applyFill="1" applyBorder="1" applyAlignment="1">
      <alignment horizontal="center" vertical="center" wrapText="1"/>
    </xf>
    <xf numFmtId="167" fontId="9" fillId="0" borderId="1" xfId="4" applyNumberFormat="1" applyFont="1" applyFill="1" applyBorder="1" applyAlignment="1">
      <alignment horizontal="center" vertical="center" wrapText="1"/>
    </xf>
    <xf numFmtId="0" fontId="9" fillId="0" borderId="0" xfId="0" applyFont="1" applyFill="1" applyBorder="1"/>
    <xf numFmtId="43" fontId="9" fillId="0" borderId="1" xfId="10" applyFont="1" applyFill="1" applyBorder="1" applyAlignment="1">
      <alignment vertical="center"/>
    </xf>
    <xf numFmtId="4" fontId="10" fillId="0" borderId="0" xfId="2" applyNumberFormat="1" applyFont="1" applyFill="1" applyAlignment="1">
      <alignment horizontal="center" vertical="center" wrapText="1"/>
    </xf>
    <xf numFmtId="3" fontId="9" fillId="0" borderId="9" xfId="0" applyNumberFormat="1" applyFont="1" applyFill="1" applyBorder="1" applyAlignment="1">
      <alignment horizontal="center" vertical="center" wrapText="1"/>
    </xf>
    <xf numFmtId="4" fontId="9" fillId="0" borderId="9"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16" fillId="0" borderId="1" xfId="2" applyNumberFormat="1" applyFont="1" applyFill="1" applyBorder="1" applyAlignment="1">
      <alignment horizontal="center" vertical="center" wrapText="1"/>
    </xf>
    <xf numFmtId="49" fontId="9" fillId="0" borderId="1" xfId="6" applyNumberFormat="1" applyFont="1" applyFill="1" applyBorder="1" applyAlignment="1">
      <alignment horizontal="center" vertical="center" wrapText="1"/>
    </xf>
    <xf numFmtId="49" fontId="9" fillId="0" borderId="0" xfId="2" applyNumberFormat="1" applyFont="1" applyFill="1" applyBorder="1" applyAlignment="1">
      <alignment horizontal="center" vertical="center" wrapText="1"/>
    </xf>
    <xf numFmtId="0" fontId="0" fillId="0" borderId="0" xfId="0" applyFill="1"/>
    <xf numFmtId="0" fontId="9" fillId="0" borderId="1" xfId="0" applyFont="1" applyFill="1" applyBorder="1" applyAlignment="1">
      <alignment horizontal="center" wrapText="1"/>
    </xf>
    <xf numFmtId="1" fontId="9" fillId="0" borderId="1" xfId="2" applyNumberFormat="1" applyFont="1" applyFill="1" applyBorder="1" applyAlignment="1">
      <alignment horizontal="center" vertical="center" wrapText="1"/>
    </xf>
    <xf numFmtId="0" fontId="9" fillId="0" borderId="9" xfId="2" applyFont="1" applyFill="1" applyBorder="1" applyAlignment="1">
      <alignment horizontal="center" vertical="center"/>
    </xf>
    <xf numFmtId="49" fontId="9" fillId="0" borderId="1" xfId="85" applyNumberFormat="1" applyFont="1" applyFill="1" applyBorder="1" applyAlignment="1">
      <alignment horizontal="center" vertical="center" wrapText="1"/>
    </xf>
    <xf numFmtId="49" fontId="9" fillId="0" borderId="1" xfId="87" applyNumberFormat="1" applyFont="1" applyFill="1" applyBorder="1" applyAlignment="1">
      <alignment horizontal="center" vertical="center" wrapText="1"/>
    </xf>
    <xf numFmtId="167" fontId="9" fillId="0" borderId="1" xfId="87" applyNumberFormat="1" applyFont="1" applyFill="1" applyBorder="1" applyAlignment="1">
      <alignment horizontal="center" vertical="center" wrapText="1"/>
    </xf>
    <xf numFmtId="49" fontId="15" fillId="0" borderId="1" xfId="87" applyNumberFormat="1" applyFont="1" applyFill="1" applyBorder="1" applyAlignment="1">
      <alignment horizontal="center" vertical="center" wrapText="1"/>
    </xf>
    <xf numFmtId="167" fontId="15" fillId="0" borderId="1" xfId="87" applyNumberFormat="1" applyFont="1" applyFill="1" applyBorder="1" applyAlignment="1">
      <alignment horizontal="center" vertical="center" wrapText="1"/>
    </xf>
    <xf numFmtId="49" fontId="16" fillId="0" borderId="1" xfId="88" applyNumberFormat="1" applyFont="1" applyFill="1" applyBorder="1" applyAlignment="1">
      <alignment horizontal="center" vertical="center"/>
    </xf>
    <xf numFmtId="0" fontId="9" fillId="0" borderId="1" xfId="89" applyFont="1" applyFill="1" applyBorder="1" applyAlignment="1">
      <alignment horizontal="center" vertical="center" wrapText="1"/>
    </xf>
    <xf numFmtId="4" fontId="9" fillId="0" borderId="0" xfId="2" applyNumberFormat="1" applyFont="1" applyFill="1" applyAlignment="1">
      <alignment horizontal="center" vertical="center" wrapText="1"/>
    </xf>
    <xf numFmtId="0" fontId="28" fillId="0" borderId="0" xfId="2" applyFont="1" applyFill="1" applyBorder="1" applyAlignment="1">
      <alignment horizontal="left" vertical="top"/>
    </xf>
    <xf numFmtId="0" fontId="9" fillId="0" borderId="1" xfId="86" applyFont="1" applyFill="1" applyBorder="1" applyAlignment="1">
      <alignment horizontal="center" vertical="center" wrapText="1"/>
    </xf>
    <xf numFmtId="0" fontId="9" fillId="3" borderId="1" xfId="2" applyFont="1" applyFill="1" applyBorder="1" applyAlignment="1">
      <alignment horizontal="center" vertical="center" wrapText="1"/>
    </xf>
    <xf numFmtId="49" fontId="9" fillId="3" borderId="1" xfId="2"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3" fontId="9" fillId="3" borderId="1" xfId="2" applyNumberFormat="1" applyFont="1" applyFill="1" applyBorder="1" applyAlignment="1">
      <alignment horizontal="center" vertical="center"/>
    </xf>
    <xf numFmtId="4" fontId="9" fillId="3" borderId="9" xfId="2" applyNumberFormat="1" applyFont="1" applyFill="1" applyBorder="1" applyAlignment="1">
      <alignment horizontal="center" vertical="center"/>
    </xf>
    <xf numFmtId="49" fontId="9" fillId="3" borderId="1" xfId="0" applyNumberFormat="1" applyFont="1" applyFill="1" applyBorder="1" applyAlignment="1">
      <alignment horizontal="center" vertical="center" wrapText="1"/>
    </xf>
    <xf numFmtId="0" fontId="9" fillId="3" borderId="0" xfId="2" applyFont="1" applyFill="1" applyAlignment="1">
      <alignment horizontal="center" vertical="center"/>
    </xf>
    <xf numFmtId="167" fontId="15" fillId="3" borderId="1" xfId="0" applyNumberFormat="1" applyFont="1" applyFill="1" applyBorder="1" applyAlignment="1">
      <alignment horizontal="center" vertical="center" wrapText="1"/>
    </xf>
    <xf numFmtId="3" fontId="9" fillId="3" borderId="1" xfId="2" applyNumberFormat="1"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4" fontId="9" fillId="3" borderId="10" xfId="0" applyNumberFormat="1" applyFont="1" applyFill="1" applyBorder="1" applyAlignment="1">
      <alignment horizontal="center" vertical="center" wrapText="1"/>
    </xf>
    <xf numFmtId="0" fontId="9" fillId="3" borderId="0" xfId="2" applyFont="1" applyFill="1" applyAlignment="1">
      <alignment vertical="top" wrapText="1"/>
    </xf>
    <xf numFmtId="0" fontId="9" fillId="3" borderId="0" xfId="2" applyFont="1" applyFill="1" applyAlignment="1">
      <alignment horizontal="center" vertical="center" wrapText="1"/>
    </xf>
    <xf numFmtId="49" fontId="9" fillId="3" borderId="11" xfId="2" applyNumberFormat="1" applyFont="1" applyFill="1" applyBorder="1" applyAlignment="1">
      <alignment horizontal="center" vertical="center" wrapText="1"/>
    </xf>
    <xf numFmtId="0" fontId="9" fillId="3" borderId="10" xfId="2" applyFont="1" applyFill="1" applyBorder="1" applyAlignment="1">
      <alignment horizontal="center" vertical="center" wrapText="1"/>
    </xf>
    <xf numFmtId="0" fontId="9" fillId="3" borderId="0" xfId="2" applyFont="1" applyFill="1" applyAlignment="1">
      <alignment horizontal="center" vertical="top" wrapText="1"/>
    </xf>
    <xf numFmtId="0" fontId="9" fillId="3" borderId="11" xfId="2"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2" applyFont="1" applyFill="1" applyBorder="1" applyAlignment="1">
      <alignment horizontal="center" vertical="center"/>
    </xf>
    <xf numFmtId="0" fontId="9" fillId="3" borderId="10" xfId="6" applyFont="1" applyFill="1" applyBorder="1" applyAlignment="1">
      <alignment horizontal="center" vertical="center" wrapText="1"/>
    </xf>
    <xf numFmtId="49" fontId="15" fillId="3" borderId="1" xfId="0" applyNumberFormat="1" applyFont="1" applyFill="1" applyBorder="1" applyAlignment="1">
      <alignment horizontal="center" vertical="center" wrapText="1"/>
    </xf>
    <xf numFmtId="49" fontId="16" fillId="3" borderId="1" xfId="2" applyNumberFormat="1" applyFont="1" applyFill="1" applyBorder="1" applyAlignment="1">
      <alignment horizontal="center" vertical="center" wrapText="1"/>
    </xf>
    <xf numFmtId="0" fontId="11" fillId="3" borderId="0" xfId="2" applyFont="1" applyFill="1" applyAlignment="1">
      <alignment horizontal="center" vertical="center" wrapText="1"/>
    </xf>
    <xf numFmtId="49" fontId="9" fillId="3" borderId="1" xfId="85" applyNumberFormat="1" applyFont="1" applyFill="1" applyBorder="1" applyAlignment="1">
      <alignment horizontal="center" vertical="center" wrapText="1"/>
    </xf>
    <xf numFmtId="49" fontId="9" fillId="3" borderId="1" xfId="2" applyNumberFormat="1" applyFont="1" applyFill="1" applyBorder="1" applyAlignment="1">
      <alignment horizontal="center" vertical="center"/>
    </xf>
    <xf numFmtId="0" fontId="9" fillId="3" borderId="0" xfId="2" applyFont="1" applyFill="1" applyAlignment="1">
      <alignment wrapText="1"/>
    </xf>
    <xf numFmtId="164" fontId="9" fillId="3" borderId="1" xfId="2" applyNumberFormat="1" applyFont="1" applyFill="1" applyBorder="1" applyAlignment="1">
      <alignment horizontal="center" vertical="center" wrapText="1"/>
    </xf>
    <xf numFmtId="4" fontId="10" fillId="0" borderId="0" xfId="2" applyNumberFormat="1" applyFont="1" applyFill="1" applyBorder="1" applyAlignment="1">
      <alignment horizontal="center" vertical="center" wrapText="1"/>
    </xf>
    <xf numFmtId="3" fontId="9" fillId="0" borderId="0" xfId="2" applyNumberFormat="1" applyFont="1" applyFill="1" applyBorder="1" applyAlignment="1">
      <alignment horizontal="center" vertical="center" wrapText="1"/>
    </xf>
    <xf numFmtId="0" fontId="9" fillId="0" borderId="9" xfId="6" applyFont="1" applyFill="1" applyBorder="1" applyAlignment="1">
      <alignment horizontal="center" vertical="center" wrapText="1"/>
    </xf>
    <xf numFmtId="3" fontId="9" fillId="3" borderId="1" xfId="1" applyNumberFormat="1" applyFont="1" applyFill="1" applyBorder="1" applyAlignment="1">
      <alignment horizontal="center" vertical="center" wrapText="1"/>
    </xf>
    <xf numFmtId="0" fontId="9" fillId="3" borderId="1" xfId="6" applyFont="1" applyFill="1" applyBorder="1" applyAlignment="1">
      <alignment horizontal="center" vertical="center" wrapText="1"/>
    </xf>
    <xf numFmtId="3" fontId="9" fillId="3" borderId="1" xfId="6" applyNumberFormat="1" applyFont="1" applyFill="1" applyBorder="1" applyAlignment="1">
      <alignment horizontal="center" vertical="center"/>
    </xf>
    <xf numFmtId="4" fontId="9" fillId="3" borderId="1" xfId="6" applyNumberFormat="1" applyFont="1" applyFill="1" applyBorder="1" applyAlignment="1">
      <alignment horizontal="center" vertical="center"/>
    </xf>
    <xf numFmtId="49" fontId="9" fillId="3" borderId="1" xfId="6" applyNumberFormat="1" applyFont="1" applyFill="1" applyBorder="1" applyAlignment="1">
      <alignment horizontal="center" vertical="center" wrapText="1"/>
    </xf>
    <xf numFmtId="0" fontId="9" fillId="3" borderId="0" xfId="0" applyFont="1" applyFill="1"/>
    <xf numFmtId="4" fontId="9" fillId="3" borderId="1" xfId="2" applyNumberFormat="1" applyFont="1" applyFill="1" applyBorder="1" applyAlignment="1">
      <alignment horizontal="center" vertical="center"/>
    </xf>
    <xf numFmtId="0" fontId="9" fillId="3" borderId="0" xfId="2" applyFont="1" applyFill="1" applyAlignment="1">
      <alignment vertical="center"/>
    </xf>
    <xf numFmtId="0" fontId="10" fillId="0" borderId="12" xfId="2" applyFont="1" applyFill="1" applyBorder="1" applyAlignment="1">
      <alignment horizontal="center" vertical="top"/>
    </xf>
    <xf numFmtId="0" fontId="10" fillId="0" borderId="13" xfId="2" applyFont="1" applyFill="1" applyBorder="1" applyAlignment="1">
      <alignment horizontal="center" vertical="top"/>
    </xf>
    <xf numFmtId="0" fontId="10" fillId="0" borderId="14" xfId="2" applyFont="1" applyFill="1" applyBorder="1" applyAlignment="1">
      <alignment horizontal="center" vertical="top"/>
    </xf>
    <xf numFmtId="0" fontId="9" fillId="0" borderId="15" xfId="2" applyFont="1" applyFill="1" applyBorder="1" applyAlignment="1">
      <alignment horizontal="center" vertical="center"/>
    </xf>
    <xf numFmtId="0" fontId="9" fillId="0" borderId="16" xfId="2" applyFont="1" applyFill="1" applyBorder="1" applyAlignment="1">
      <alignment horizontal="center" vertical="center"/>
    </xf>
    <xf numFmtId="0" fontId="9" fillId="0" borderId="17" xfId="2" applyFont="1" applyFill="1" applyBorder="1" applyAlignment="1">
      <alignment horizontal="center" vertical="center"/>
    </xf>
    <xf numFmtId="3" fontId="9" fillId="0" borderId="19" xfId="2" applyNumberFormat="1" applyFont="1" applyFill="1" applyBorder="1" applyAlignment="1">
      <alignment horizontal="center" vertical="top"/>
    </xf>
    <xf numFmtId="3" fontId="9" fillId="0" borderId="20" xfId="2" applyNumberFormat="1" applyFont="1" applyFill="1" applyBorder="1" applyAlignment="1">
      <alignment horizontal="center" vertical="top"/>
    </xf>
    <xf numFmtId="3" fontId="9" fillId="0" borderId="21" xfId="2" applyNumberFormat="1" applyFont="1" applyFill="1" applyBorder="1" applyAlignment="1">
      <alignment horizontal="center" vertical="top"/>
    </xf>
  </cellXfs>
  <cellStyles count="90">
    <cellStyle name="Cell1" xfId="25"/>
    <cellStyle name="Cell2" xfId="26"/>
    <cellStyle name="Cell3" xfId="27"/>
    <cellStyle name="Cell4" xfId="28"/>
    <cellStyle name="Cell5" xfId="29"/>
    <cellStyle name="Column1" xfId="30"/>
    <cellStyle name="Column2" xfId="31"/>
    <cellStyle name="Column3" xfId="32"/>
    <cellStyle name="Column4" xfId="33"/>
    <cellStyle name="Column5" xfId="34"/>
    <cellStyle name="Column7" xfId="35"/>
    <cellStyle name="Data" xfId="36"/>
    <cellStyle name="Heading1" xfId="37"/>
    <cellStyle name="Heading2" xfId="38"/>
    <cellStyle name="Heading3" xfId="39"/>
    <cellStyle name="Heading4" xfId="40"/>
    <cellStyle name="Name1" xfId="41"/>
    <cellStyle name="Name2" xfId="42"/>
    <cellStyle name="Name3" xfId="43"/>
    <cellStyle name="Name4" xfId="44"/>
    <cellStyle name="Name5" xfId="45"/>
    <cellStyle name="Normal 5" xfId="46"/>
    <cellStyle name="Normal 6" xfId="47"/>
    <cellStyle name="Normal_формы ПР утвержденные" xfId="48"/>
    <cellStyle name="Title1" xfId="49"/>
    <cellStyle name="TitleCol1" xfId="50"/>
    <cellStyle name="TitleCol2" xfId="51"/>
    <cellStyle name="White1" xfId="52"/>
    <cellStyle name="White2" xfId="53"/>
    <cellStyle name="White3" xfId="54"/>
    <cellStyle name="White4" xfId="55"/>
    <cellStyle name="White5" xfId="56"/>
    <cellStyle name="КАНДАГАЧ тел3-33-96" xfId="11"/>
    <cellStyle name="Обычный" xfId="0" builtinId="0"/>
    <cellStyle name="Обычный 10" xfId="4"/>
    <cellStyle name="Обычный 10 2" xfId="19"/>
    <cellStyle name="Обычный 10 2 2" xfId="85"/>
    <cellStyle name="Обычный 10 3" xfId="22"/>
    <cellStyle name="Обычный 10 3 2" xfId="87"/>
    <cellStyle name="Обычный 10 4" xfId="23"/>
    <cellStyle name="Обычный 10 4 2" xfId="88"/>
    <cellStyle name="Обычный 10 5" xfId="57"/>
    <cellStyle name="Обычный 11" xfId="15"/>
    <cellStyle name="Обычный 11 2" xfId="58"/>
    <cellStyle name="Обычный 12" xfId="59"/>
    <cellStyle name="Обычный 13" xfId="24"/>
    <cellStyle name="Обычный 13 2" xfId="89"/>
    <cellStyle name="Обычный 14" xfId="60"/>
    <cellStyle name="Обычный 15" xfId="61"/>
    <cellStyle name="Обычный 16" xfId="62"/>
    <cellStyle name="Обычный 17" xfId="63"/>
    <cellStyle name="Обычный 18" xfId="64"/>
    <cellStyle name="Обычный 19" xfId="14"/>
    <cellStyle name="Обычный 19 2" xfId="21"/>
    <cellStyle name="Обычный 19 2 2" xfId="86"/>
    <cellStyle name="Обычный 19 3" xfId="65"/>
    <cellStyle name="Обычный 2" xfId="2"/>
    <cellStyle name="Обычный 2 2" xfId="6"/>
    <cellStyle name="Обычный 2 2 2" xfId="66"/>
    <cellStyle name="Обычный 2 3" xfId="5"/>
    <cellStyle name="Обычный 20" xfId="67"/>
    <cellStyle name="Обычный 24" xfId="68"/>
    <cellStyle name="Обычный 26" xfId="69"/>
    <cellStyle name="Обычный 26 2" xfId="70"/>
    <cellStyle name="Обычный 3" xfId="7"/>
    <cellStyle name="Обычный 3 4" xfId="12"/>
    <cellStyle name="Обычный 32" xfId="71"/>
    <cellStyle name="Обычный 33" xfId="72"/>
    <cellStyle name="Обычный 34" xfId="73"/>
    <cellStyle name="Обычный 35" xfId="74"/>
    <cellStyle name="Обычный 4" xfId="8"/>
    <cellStyle name="Обычный 4 2" xfId="75"/>
    <cellStyle name="Обычный 4 5" xfId="13"/>
    <cellStyle name="Обычный 5" xfId="9"/>
    <cellStyle name="Обычный 6" xfId="3"/>
    <cellStyle name="Обычный 6 2" xfId="18"/>
    <cellStyle name="Обычный 7" xfId="76"/>
    <cellStyle name="Обычный 7 6" xfId="77"/>
    <cellStyle name="Обычный 7 7" xfId="78"/>
    <cellStyle name="Обычный 8" xfId="79"/>
    <cellStyle name="Обычный 9" xfId="20"/>
    <cellStyle name="Обычный 9 8" xfId="80"/>
    <cellStyle name="Обычный 9 9" xfId="81"/>
    <cellStyle name="Процентный 2" xfId="17"/>
    <cellStyle name="Стиль 1" xfId="82"/>
    <cellStyle name="Стиль 1 2" xfId="83"/>
    <cellStyle name="Финансовый" xfId="1" builtinId="3"/>
    <cellStyle name="Финансовый 2" xfId="10"/>
    <cellStyle name="Финансовый 2 2" xfId="84"/>
    <cellStyle name="Финансовый 5"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XEM4192"/>
  <sheetViews>
    <sheetView tabSelected="1" zoomScale="60" zoomScaleNormal="60" zoomScaleSheetLayoutView="70" zoomScalePageLayoutView="70" workbookViewId="0">
      <selection activeCell="D16" sqref="D16"/>
    </sheetView>
  </sheetViews>
  <sheetFormatPr defaultColWidth="31.85546875" defaultRowHeight="12.75" outlineLevelRow="1" outlineLevelCol="1"/>
  <cols>
    <col min="1" max="1" width="6.42578125" style="28" customWidth="1" outlineLevel="1"/>
    <col min="2" max="2" width="8.42578125" style="48" customWidth="1" outlineLevel="1"/>
    <col min="3" max="3" width="8.28515625" style="48" customWidth="1" outlineLevel="1"/>
    <col min="4" max="4" width="13.5703125" style="48" customWidth="1"/>
    <col min="5" max="5" width="23.85546875" style="48" customWidth="1" outlineLevel="1"/>
    <col min="6" max="6" width="21.85546875" style="48" customWidth="1" outlineLevel="1"/>
    <col min="7" max="7" width="25" style="48" customWidth="1" outlineLevel="1"/>
    <col min="8" max="9" width="24.7109375" style="48" customWidth="1" outlineLevel="1"/>
    <col min="10" max="10" width="21.7109375" style="48" customWidth="1"/>
    <col min="11" max="11" width="12.85546875" style="48" customWidth="1" outlineLevel="1"/>
    <col min="12" max="12" width="10.85546875" style="48" customWidth="1"/>
    <col min="13" max="13" width="9" style="48" customWidth="1" outlineLevel="1"/>
    <col min="14" max="14" width="14.85546875" style="48" customWidth="1" outlineLevel="1"/>
    <col min="15" max="15" width="16" style="48" customWidth="1" outlineLevel="1"/>
    <col min="16" max="16" width="11.28515625" style="48" customWidth="1" outlineLevel="1"/>
    <col min="17" max="17" width="15.5703125" style="23" customWidth="1" outlineLevel="1"/>
    <col min="18" max="18" width="11.85546875" style="48" customWidth="1"/>
    <col min="19" max="19" width="9.140625" style="24" customWidth="1"/>
    <col min="20" max="16384" width="31.85546875" style="48"/>
  </cols>
  <sheetData>
    <row r="1" spans="1:19">
      <c r="A1" s="16"/>
    </row>
    <row r="2" spans="1:19" s="1" customFormat="1">
      <c r="A2" s="58" t="s">
        <v>2343</v>
      </c>
      <c r="F2" s="59"/>
      <c r="G2" s="59"/>
      <c r="H2" s="2"/>
      <c r="I2" s="2"/>
      <c r="J2" s="2"/>
      <c r="K2" s="3"/>
      <c r="L2" s="3"/>
      <c r="M2" s="60"/>
      <c r="N2" s="60"/>
      <c r="O2" s="60"/>
      <c r="P2" s="3"/>
      <c r="Q2" s="3"/>
      <c r="R2" s="3"/>
      <c r="S2" s="41"/>
    </row>
    <row r="3" spans="1:19" s="1" customFormat="1" ht="9" customHeight="1">
      <c r="A3" s="3"/>
      <c r="F3" s="59"/>
      <c r="G3" s="59"/>
      <c r="H3" s="2"/>
      <c r="I3" s="2"/>
      <c r="J3" s="2"/>
      <c r="K3" s="3"/>
      <c r="L3" s="3"/>
      <c r="M3" s="60"/>
      <c r="N3" s="60"/>
      <c r="O3" s="60"/>
      <c r="P3" s="3"/>
      <c r="Q3" s="3"/>
      <c r="R3" s="3"/>
      <c r="S3" s="41"/>
    </row>
    <row r="4" spans="1:19" s="1" customFormat="1">
      <c r="A4" s="41" t="s">
        <v>2344</v>
      </c>
      <c r="F4" s="59"/>
      <c r="G4" s="59"/>
      <c r="H4" s="2"/>
      <c r="I4" s="2"/>
      <c r="J4" s="2"/>
      <c r="K4" s="3"/>
      <c r="L4" s="3"/>
      <c r="M4" s="60"/>
      <c r="N4" s="60"/>
      <c r="O4" s="60"/>
      <c r="P4" s="3"/>
      <c r="Q4" s="3"/>
      <c r="R4" s="3"/>
      <c r="S4" s="41"/>
    </row>
    <row r="5" spans="1:19" s="1" customFormat="1" ht="13.5" thickBot="1">
      <c r="A5" s="3"/>
      <c r="F5" s="59"/>
      <c r="G5" s="59"/>
      <c r="H5" s="2"/>
      <c r="I5" s="2"/>
      <c r="J5" s="2"/>
      <c r="K5" s="3"/>
      <c r="L5" s="3"/>
      <c r="M5" s="60"/>
      <c r="N5" s="60"/>
      <c r="O5" s="60"/>
      <c r="P5" s="3"/>
      <c r="Q5" s="3"/>
      <c r="R5" s="3"/>
      <c r="S5" s="41"/>
    </row>
    <row r="6" spans="1:19" s="1" customFormat="1" ht="42" customHeight="1" thickBot="1">
      <c r="A6" s="166" t="s">
        <v>2345</v>
      </c>
      <c r="B6" s="167"/>
      <c r="C6" s="168"/>
      <c r="D6" s="166" t="s">
        <v>2346</v>
      </c>
      <c r="E6" s="167"/>
      <c r="F6" s="61" t="s">
        <v>2347</v>
      </c>
      <c r="G6" s="61" t="s">
        <v>2348</v>
      </c>
      <c r="H6" s="61" t="s">
        <v>2349</v>
      </c>
      <c r="I6" s="3"/>
      <c r="J6" s="60"/>
      <c r="K6" s="3"/>
      <c r="L6" s="62"/>
      <c r="M6" s="3"/>
      <c r="N6" s="3"/>
      <c r="O6" s="3"/>
      <c r="P6" s="41"/>
      <c r="Q6" s="3"/>
      <c r="R6" s="3"/>
    </row>
    <row r="7" spans="1:19" s="1" customFormat="1" ht="13.5" thickBot="1">
      <c r="A7" s="169">
        <v>1</v>
      </c>
      <c r="B7" s="170"/>
      <c r="C7" s="171"/>
      <c r="D7" s="169">
        <v>2</v>
      </c>
      <c r="E7" s="170"/>
      <c r="F7" s="63">
        <v>3</v>
      </c>
      <c r="G7" s="63">
        <v>4</v>
      </c>
      <c r="H7" s="63">
        <v>5</v>
      </c>
      <c r="I7" s="3"/>
      <c r="J7" s="60"/>
      <c r="K7" s="3"/>
      <c r="L7" s="62"/>
      <c r="M7" s="3"/>
      <c r="N7" s="3"/>
      <c r="O7" s="3"/>
      <c r="P7" s="41"/>
      <c r="Q7" s="3"/>
      <c r="R7" s="3"/>
    </row>
    <row r="8" spans="1:19" s="1" customFormat="1" ht="42" customHeight="1" thickBot="1">
      <c r="A8" s="172">
        <v>970840000277</v>
      </c>
      <c r="B8" s="173"/>
      <c r="C8" s="174"/>
      <c r="D8" s="172">
        <v>600500050605</v>
      </c>
      <c r="E8" s="173"/>
      <c r="F8" s="64" t="s">
        <v>2350</v>
      </c>
      <c r="G8" s="65" t="s">
        <v>2351</v>
      </c>
      <c r="H8" s="65">
        <v>2014</v>
      </c>
      <c r="I8" s="3"/>
      <c r="J8" s="60"/>
      <c r="K8" s="3"/>
      <c r="L8" s="62"/>
      <c r="M8" s="3"/>
      <c r="N8" s="3"/>
      <c r="O8" s="3"/>
      <c r="P8" s="41"/>
      <c r="Q8" s="3"/>
      <c r="R8" s="3"/>
    </row>
    <row r="9" spans="1:19" s="1" customFormat="1">
      <c r="A9" s="3"/>
      <c r="F9" s="59"/>
      <c r="G9" s="59"/>
      <c r="H9" s="2"/>
      <c r="I9" s="2"/>
      <c r="J9" s="2"/>
      <c r="K9" s="3"/>
      <c r="L9" s="3"/>
      <c r="M9" s="60"/>
      <c r="N9" s="60"/>
      <c r="O9" s="60"/>
      <c r="P9" s="3"/>
      <c r="Q9" s="3"/>
      <c r="R9" s="3"/>
      <c r="S9" s="41"/>
    </row>
    <row r="10" spans="1:19" s="1" customFormat="1">
      <c r="A10" s="3"/>
      <c r="D10" s="41"/>
      <c r="E10" s="41"/>
      <c r="F10" s="66"/>
      <c r="G10" s="66"/>
      <c r="H10" s="44"/>
      <c r="I10" s="44"/>
      <c r="J10" s="44"/>
      <c r="K10" s="41"/>
      <c r="L10" s="44"/>
      <c r="M10" s="67"/>
      <c r="N10" s="67"/>
      <c r="O10" s="67"/>
      <c r="P10" s="3"/>
      <c r="Q10" s="41"/>
      <c r="R10" s="41"/>
      <c r="S10" s="41"/>
    </row>
    <row r="11" spans="1:19" s="1" customFormat="1" ht="15.75">
      <c r="A11" s="58" t="s">
        <v>2352</v>
      </c>
      <c r="B11" s="58"/>
      <c r="C11" s="58"/>
      <c r="D11" s="58"/>
      <c r="E11" s="58"/>
      <c r="F11" s="66"/>
      <c r="G11" s="66"/>
      <c r="H11" s="66"/>
      <c r="I11" s="66"/>
      <c r="J11" s="66"/>
      <c r="K11" s="58"/>
      <c r="L11" s="68"/>
      <c r="M11" s="69"/>
      <c r="N11" s="69"/>
      <c r="O11" s="125" t="s">
        <v>3754</v>
      </c>
      <c r="P11" s="3"/>
      <c r="Q11" s="58"/>
      <c r="R11" s="58"/>
      <c r="S11" s="41"/>
    </row>
    <row r="12" spans="1:19">
      <c r="A12" s="16"/>
      <c r="P12" s="16"/>
      <c r="Q12" s="112"/>
      <c r="R12" s="16"/>
    </row>
    <row r="13" spans="1:19" ht="13.5" thickBot="1">
      <c r="A13" s="16"/>
      <c r="D13" s="16"/>
      <c r="E13" s="16"/>
      <c r="F13" s="16"/>
      <c r="G13" s="16"/>
      <c r="H13" s="16"/>
      <c r="I13" s="16"/>
      <c r="J13" s="16"/>
      <c r="K13" s="16"/>
      <c r="L13" s="16"/>
      <c r="M13" s="16"/>
      <c r="N13" s="16"/>
      <c r="O13" s="25"/>
      <c r="P13" s="25"/>
      <c r="Q13" s="112"/>
      <c r="R13" s="16"/>
    </row>
    <row r="14" spans="1:19" ht="79.5" customHeight="1" thickBot="1">
      <c r="A14" s="17" t="s">
        <v>346</v>
      </c>
      <c r="B14" s="17" t="s">
        <v>347</v>
      </c>
      <c r="C14" s="17" t="s">
        <v>348</v>
      </c>
      <c r="D14" s="17" t="s">
        <v>349</v>
      </c>
      <c r="E14" s="17" t="s">
        <v>350</v>
      </c>
      <c r="F14" s="17" t="s">
        <v>351</v>
      </c>
      <c r="G14" s="17" t="s">
        <v>352</v>
      </c>
      <c r="H14" s="17" t="s">
        <v>353</v>
      </c>
      <c r="I14" s="17" t="s">
        <v>354</v>
      </c>
      <c r="J14" s="17" t="s">
        <v>355</v>
      </c>
      <c r="K14" s="17" t="s">
        <v>0</v>
      </c>
      <c r="L14" s="17" t="s">
        <v>356</v>
      </c>
      <c r="M14" s="18" t="s">
        <v>357</v>
      </c>
      <c r="N14" s="17" t="s">
        <v>358</v>
      </c>
      <c r="O14" s="18" t="s">
        <v>359</v>
      </c>
      <c r="P14" s="17" t="s">
        <v>360</v>
      </c>
      <c r="Q14" s="17" t="s">
        <v>361</v>
      </c>
      <c r="R14" s="17" t="s">
        <v>362</v>
      </c>
      <c r="S14" s="17" t="s">
        <v>363</v>
      </c>
    </row>
    <row r="15" spans="1:19" s="26" customFormat="1" ht="13.5" thickBot="1">
      <c r="A15" s="19">
        <v>1</v>
      </c>
      <c r="B15" s="20">
        <v>2</v>
      </c>
      <c r="C15" s="20">
        <v>3</v>
      </c>
      <c r="D15" s="20">
        <v>4</v>
      </c>
      <c r="E15" s="20">
        <v>5</v>
      </c>
      <c r="F15" s="20">
        <v>6</v>
      </c>
      <c r="G15" s="20">
        <v>7</v>
      </c>
      <c r="H15" s="20">
        <v>8</v>
      </c>
      <c r="I15" s="20">
        <v>9</v>
      </c>
      <c r="J15" s="20">
        <v>10</v>
      </c>
      <c r="K15" s="20">
        <v>11</v>
      </c>
      <c r="L15" s="20">
        <v>12</v>
      </c>
      <c r="M15" s="20">
        <v>13</v>
      </c>
      <c r="N15" s="20">
        <v>14</v>
      </c>
      <c r="O15" s="20">
        <v>15</v>
      </c>
      <c r="P15" s="20">
        <v>16</v>
      </c>
      <c r="Q15" s="20">
        <v>17</v>
      </c>
      <c r="R15" s="20">
        <v>18</v>
      </c>
      <c r="S15" s="21">
        <v>19</v>
      </c>
    </row>
    <row r="16" spans="1:19" ht="118.5" customHeight="1">
      <c r="A16" s="5">
        <v>1</v>
      </c>
      <c r="B16" s="29" t="s">
        <v>710</v>
      </c>
      <c r="C16" s="30" t="s">
        <v>711</v>
      </c>
      <c r="D16" s="11" t="s">
        <v>1176</v>
      </c>
      <c r="E16" s="57" t="s">
        <v>1534</v>
      </c>
      <c r="F16" s="57" t="s">
        <v>1177</v>
      </c>
      <c r="G16" s="57" t="s">
        <v>1535</v>
      </c>
      <c r="H16" s="57" t="s">
        <v>1178</v>
      </c>
      <c r="I16" s="57" t="s">
        <v>1534</v>
      </c>
      <c r="J16" s="57" t="s">
        <v>1179</v>
      </c>
      <c r="K16" s="57" t="s">
        <v>591</v>
      </c>
      <c r="L16" s="31" t="s">
        <v>644</v>
      </c>
      <c r="M16" s="105">
        <f>12+36</f>
        <v>48</v>
      </c>
      <c r="N16" s="106">
        <f t="shared" ref="N16:N23" si="0">O16/M16</f>
        <v>44820</v>
      </c>
      <c r="O16" s="49">
        <f>428568+109272+1613520</f>
        <v>2151360</v>
      </c>
      <c r="P16" s="107" t="s">
        <v>698</v>
      </c>
      <c r="Q16" s="5" t="s">
        <v>1051</v>
      </c>
      <c r="R16" s="11" t="s">
        <v>1175</v>
      </c>
      <c r="S16" s="14">
        <v>0</v>
      </c>
    </row>
    <row r="17" spans="1:19" ht="156.75" customHeight="1">
      <c r="A17" s="5">
        <v>2</v>
      </c>
      <c r="B17" s="29" t="s">
        <v>710</v>
      </c>
      <c r="C17" s="30" t="s">
        <v>711</v>
      </c>
      <c r="D17" s="11" t="s">
        <v>1180</v>
      </c>
      <c r="E17" s="57" t="s">
        <v>1181</v>
      </c>
      <c r="F17" s="57" t="s">
        <v>1181</v>
      </c>
      <c r="G17" s="57" t="s">
        <v>1536</v>
      </c>
      <c r="H17" s="57" t="s">
        <v>1182</v>
      </c>
      <c r="I17" s="57" t="s">
        <v>2353</v>
      </c>
      <c r="J17" s="57" t="s">
        <v>131</v>
      </c>
      <c r="K17" s="57" t="s">
        <v>1484</v>
      </c>
      <c r="L17" s="31" t="s">
        <v>644</v>
      </c>
      <c r="M17" s="9">
        <v>19</v>
      </c>
      <c r="N17" s="46">
        <f t="shared" si="0"/>
        <v>191040</v>
      </c>
      <c r="O17" s="49">
        <f>2904283+725477</f>
        <v>3629760</v>
      </c>
      <c r="P17" s="14" t="s">
        <v>588</v>
      </c>
      <c r="Q17" s="5" t="s">
        <v>1051</v>
      </c>
      <c r="R17" s="11" t="s">
        <v>1175</v>
      </c>
      <c r="S17" s="14">
        <v>50</v>
      </c>
    </row>
    <row r="18" spans="1:19" ht="63.75">
      <c r="A18" s="5">
        <v>3</v>
      </c>
      <c r="B18" s="29" t="s">
        <v>710</v>
      </c>
      <c r="C18" s="30" t="s">
        <v>711</v>
      </c>
      <c r="D18" s="11" t="s">
        <v>1183</v>
      </c>
      <c r="E18" s="57" t="s">
        <v>1184</v>
      </c>
      <c r="F18" s="57" t="s">
        <v>1184</v>
      </c>
      <c r="G18" s="57" t="s">
        <v>1537</v>
      </c>
      <c r="H18" s="57" t="s">
        <v>1538</v>
      </c>
      <c r="I18" s="57" t="s">
        <v>1539</v>
      </c>
      <c r="J18" s="57" t="s">
        <v>132</v>
      </c>
      <c r="K18" s="57" t="s">
        <v>1485</v>
      </c>
      <c r="L18" s="31" t="s">
        <v>644</v>
      </c>
      <c r="M18" s="9">
        <f>7+84</f>
        <v>91</v>
      </c>
      <c r="N18" s="46">
        <f t="shared" si="0"/>
        <v>190615.38461538462</v>
      </c>
      <c r="O18" s="49">
        <f>1124998+225302+16203600-207900</f>
        <v>17346000</v>
      </c>
      <c r="P18" s="14" t="s">
        <v>698</v>
      </c>
      <c r="Q18" s="5" t="s">
        <v>1051</v>
      </c>
      <c r="R18" s="11" t="s">
        <v>1175</v>
      </c>
      <c r="S18" s="14">
        <v>0</v>
      </c>
    </row>
    <row r="19" spans="1:19" ht="93" customHeight="1">
      <c r="A19" s="5">
        <v>4</v>
      </c>
      <c r="B19" s="29" t="s">
        <v>710</v>
      </c>
      <c r="C19" s="30" t="s">
        <v>711</v>
      </c>
      <c r="D19" s="11" t="s">
        <v>1185</v>
      </c>
      <c r="E19" s="57" t="s">
        <v>1186</v>
      </c>
      <c r="F19" s="57" t="s">
        <v>1186</v>
      </c>
      <c r="G19" s="57" t="s">
        <v>1540</v>
      </c>
      <c r="H19" s="57" t="s">
        <v>1187</v>
      </c>
      <c r="I19" s="57" t="s">
        <v>2354</v>
      </c>
      <c r="J19" s="57" t="s">
        <v>1188</v>
      </c>
      <c r="K19" s="57" t="s">
        <v>591</v>
      </c>
      <c r="L19" s="31" t="s">
        <v>644</v>
      </c>
      <c r="M19" s="9">
        <v>7</v>
      </c>
      <c r="N19" s="46">
        <f t="shared" si="0"/>
        <v>0</v>
      </c>
      <c r="O19" s="49">
        <f>1874999-1874999</f>
        <v>0</v>
      </c>
      <c r="P19" s="14" t="s">
        <v>391</v>
      </c>
      <c r="Q19" s="5" t="s">
        <v>1051</v>
      </c>
      <c r="R19" s="11" t="s">
        <v>1175</v>
      </c>
      <c r="S19" s="14">
        <v>50</v>
      </c>
    </row>
    <row r="20" spans="1:19" ht="312" customHeight="1">
      <c r="A20" s="5">
        <v>5</v>
      </c>
      <c r="B20" s="29" t="s">
        <v>710</v>
      </c>
      <c r="C20" s="30" t="s">
        <v>711</v>
      </c>
      <c r="D20" s="11" t="s">
        <v>1189</v>
      </c>
      <c r="E20" s="57" t="s">
        <v>1190</v>
      </c>
      <c r="F20" s="57" t="s">
        <v>1190</v>
      </c>
      <c r="G20" s="57" t="s">
        <v>1541</v>
      </c>
      <c r="H20" s="57" t="s">
        <v>1191</v>
      </c>
      <c r="I20" s="57" t="s">
        <v>2553</v>
      </c>
      <c r="J20" s="57" t="s">
        <v>2552</v>
      </c>
      <c r="K20" s="57" t="s">
        <v>1485</v>
      </c>
      <c r="L20" s="31" t="s">
        <v>644</v>
      </c>
      <c r="M20" s="9">
        <v>1</v>
      </c>
      <c r="N20" s="46">
        <f t="shared" si="0"/>
        <v>99425933</v>
      </c>
      <c r="O20" s="49">
        <f>57356250+42096426-26743</f>
        <v>99425933</v>
      </c>
      <c r="P20" s="14" t="s">
        <v>515</v>
      </c>
      <c r="Q20" s="14" t="s">
        <v>2554</v>
      </c>
      <c r="R20" s="11" t="s">
        <v>1175</v>
      </c>
      <c r="S20" s="14">
        <v>30</v>
      </c>
    </row>
    <row r="21" spans="1:19" ht="150" customHeight="1">
      <c r="A21" s="5">
        <v>6</v>
      </c>
      <c r="B21" s="29" t="s">
        <v>710</v>
      </c>
      <c r="C21" s="30" t="s">
        <v>711</v>
      </c>
      <c r="D21" s="11" t="s">
        <v>1189</v>
      </c>
      <c r="E21" s="57" t="s">
        <v>1190</v>
      </c>
      <c r="F21" s="57" t="s">
        <v>1190</v>
      </c>
      <c r="G21" s="57" t="s">
        <v>1542</v>
      </c>
      <c r="H21" s="57" t="s">
        <v>1191</v>
      </c>
      <c r="I21" s="57" t="s">
        <v>133</v>
      </c>
      <c r="J21" s="57" t="s">
        <v>133</v>
      </c>
      <c r="K21" s="57" t="s">
        <v>1485</v>
      </c>
      <c r="L21" s="31" t="s">
        <v>644</v>
      </c>
      <c r="M21" s="9">
        <v>12</v>
      </c>
      <c r="N21" s="46">
        <f t="shared" si="0"/>
        <v>0</v>
      </c>
      <c r="O21" s="49">
        <f>25160712-25160712</f>
        <v>0</v>
      </c>
      <c r="P21" s="14" t="s">
        <v>391</v>
      </c>
      <c r="Q21" s="14" t="s">
        <v>1473</v>
      </c>
      <c r="R21" s="11" t="s">
        <v>1175</v>
      </c>
      <c r="S21" s="14">
        <v>0</v>
      </c>
    </row>
    <row r="22" spans="1:19" ht="63.75">
      <c r="A22" s="5">
        <v>7</v>
      </c>
      <c r="B22" s="29" t="s">
        <v>710</v>
      </c>
      <c r="C22" s="30" t="s">
        <v>711</v>
      </c>
      <c r="D22" s="11" t="s">
        <v>1192</v>
      </c>
      <c r="E22" s="57" t="s">
        <v>2965</v>
      </c>
      <c r="F22" s="57" t="s">
        <v>1193</v>
      </c>
      <c r="G22" s="57" t="s">
        <v>1544</v>
      </c>
      <c r="H22" s="57" t="s">
        <v>1194</v>
      </c>
      <c r="I22" s="57" t="s">
        <v>1543</v>
      </c>
      <c r="J22" s="57" t="s">
        <v>134</v>
      </c>
      <c r="K22" s="57" t="s">
        <v>1485</v>
      </c>
      <c r="L22" s="31" t="s">
        <v>638</v>
      </c>
      <c r="M22" s="9">
        <v>1</v>
      </c>
      <c r="N22" s="46">
        <f t="shared" si="0"/>
        <v>0</v>
      </c>
      <c r="O22" s="49">
        <f>16935714-16935714</f>
        <v>0</v>
      </c>
      <c r="P22" s="14" t="s">
        <v>515</v>
      </c>
      <c r="Q22" s="14" t="s">
        <v>1473</v>
      </c>
      <c r="R22" s="11" t="s">
        <v>1175</v>
      </c>
      <c r="S22" s="14">
        <v>0</v>
      </c>
    </row>
    <row r="23" spans="1:19" ht="51">
      <c r="A23" s="5">
        <v>8</v>
      </c>
      <c r="B23" s="29" t="s">
        <v>710</v>
      </c>
      <c r="C23" s="30" t="s">
        <v>711</v>
      </c>
      <c r="D23" s="11" t="s">
        <v>1195</v>
      </c>
      <c r="E23" s="57" t="s">
        <v>1545</v>
      </c>
      <c r="F23" s="57" t="s">
        <v>1196</v>
      </c>
      <c r="G23" s="57" t="s">
        <v>1546</v>
      </c>
      <c r="H23" s="57" t="s">
        <v>1197</v>
      </c>
      <c r="I23" s="57" t="s">
        <v>1547</v>
      </c>
      <c r="J23" s="57" t="s">
        <v>135</v>
      </c>
      <c r="K23" s="57" t="s">
        <v>1484</v>
      </c>
      <c r="L23" s="5" t="s">
        <v>644</v>
      </c>
      <c r="M23" s="9">
        <v>1</v>
      </c>
      <c r="N23" s="46">
        <f t="shared" si="0"/>
        <v>3763803</v>
      </c>
      <c r="O23" s="49">
        <f>3136502+627301</f>
        <v>3763803</v>
      </c>
      <c r="P23" s="14" t="s">
        <v>502</v>
      </c>
      <c r="Q23" s="14" t="s">
        <v>3266</v>
      </c>
      <c r="R23" s="11" t="s">
        <v>1175</v>
      </c>
      <c r="S23" s="14">
        <v>30</v>
      </c>
    </row>
    <row r="24" spans="1:19" ht="63.75">
      <c r="A24" s="5">
        <v>9</v>
      </c>
      <c r="B24" s="29" t="s">
        <v>710</v>
      </c>
      <c r="C24" s="30" t="s">
        <v>711</v>
      </c>
      <c r="D24" s="11" t="s">
        <v>1198</v>
      </c>
      <c r="E24" s="57" t="s">
        <v>1199</v>
      </c>
      <c r="F24" s="57" t="s">
        <v>1199</v>
      </c>
      <c r="G24" s="57" t="s">
        <v>1548</v>
      </c>
      <c r="H24" s="57" t="s">
        <v>1200</v>
      </c>
      <c r="I24" s="57" t="s">
        <v>1549</v>
      </c>
      <c r="J24" s="57" t="s">
        <v>136</v>
      </c>
      <c r="K24" s="57" t="s">
        <v>591</v>
      </c>
      <c r="L24" s="31" t="s">
        <v>644</v>
      </c>
      <c r="M24" s="9">
        <v>4</v>
      </c>
      <c r="N24" s="46">
        <v>267857</v>
      </c>
      <c r="O24" s="49">
        <f t="shared" ref="O24:O87" si="1">M24*N24</f>
        <v>1071428</v>
      </c>
      <c r="P24" s="14" t="s">
        <v>391</v>
      </c>
      <c r="Q24" s="14" t="s">
        <v>1473</v>
      </c>
      <c r="R24" s="11" t="s">
        <v>1175</v>
      </c>
      <c r="S24" s="14">
        <v>30</v>
      </c>
    </row>
    <row r="25" spans="1:19" ht="63.75">
      <c r="A25" s="5">
        <v>10</v>
      </c>
      <c r="B25" s="29" t="s">
        <v>710</v>
      </c>
      <c r="C25" s="30" t="s">
        <v>711</v>
      </c>
      <c r="D25" s="11" t="s">
        <v>1201</v>
      </c>
      <c r="E25" s="57" t="s">
        <v>1550</v>
      </c>
      <c r="F25" s="57" t="s">
        <v>1202</v>
      </c>
      <c r="G25" s="57" t="s">
        <v>1569</v>
      </c>
      <c r="H25" s="57" t="s">
        <v>1203</v>
      </c>
      <c r="I25" s="57" t="s">
        <v>1552</v>
      </c>
      <c r="J25" s="57" t="s">
        <v>1204</v>
      </c>
      <c r="K25" s="57" t="s">
        <v>591</v>
      </c>
      <c r="L25" s="31" t="s">
        <v>644</v>
      </c>
      <c r="M25" s="9">
        <v>1</v>
      </c>
      <c r="N25" s="46">
        <f>O25/M25</f>
        <v>0</v>
      </c>
      <c r="O25" s="49">
        <f>1311328-1311328</f>
        <v>0</v>
      </c>
      <c r="P25" s="14" t="s">
        <v>699</v>
      </c>
      <c r="Q25" s="14" t="s">
        <v>1473</v>
      </c>
      <c r="R25" s="11" t="s">
        <v>1175</v>
      </c>
      <c r="S25" s="14">
        <v>0</v>
      </c>
    </row>
    <row r="26" spans="1:19" ht="63.75">
      <c r="A26" s="5">
        <v>11</v>
      </c>
      <c r="B26" s="29" t="s">
        <v>710</v>
      </c>
      <c r="C26" s="30" t="s">
        <v>711</v>
      </c>
      <c r="D26" s="11" t="s">
        <v>1205</v>
      </c>
      <c r="E26" s="57" t="s">
        <v>1550</v>
      </c>
      <c r="F26" s="57" t="s">
        <v>1202</v>
      </c>
      <c r="G26" s="57" t="s">
        <v>1568</v>
      </c>
      <c r="H26" s="57" t="s">
        <v>1206</v>
      </c>
      <c r="I26" s="57" t="s">
        <v>1551</v>
      </c>
      <c r="J26" s="57" t="s">
        <v>1207</v>
      </c>
      <c r="K26" s="57" t="s">
        <v>1485</v>
      </c>
      <c r="L26" s="31" t="s">
        <v>644</v>
      </c>
      <c r="M26" s="9">
        <v>14</v>
      </c>
      <c r="N26" s="46">
        <f>O26/M26</f>
        <v>0</v>
      </c>
      <c r="O26" s="49">
        <f>17588998-17588998</f>
        <v>0</v>
      </c>
      <c r="P26" s="14" t="s">
        <v>698</v>
      </c>
      <c r="Q26" s="14" t="s">
        <v>1473</v>
      </c>
      <c r="R26" s="11" t="s">
        <v>1175</v>
      </c>
      <c r="S26" s="14">
        <v>0</v>
      </c>
    </row>
    <row r="27" spans="1:19" ht="127.5">
      <c r="A27" s="5">
        <v>12</v>
      </c>
      <c r="B27" s="29" t="s">
        <v>710</v>
      </c>
      <c r="C27" s="30" t="s">
        <v>711</v>
      </c>
      <c r="D27" s="11" t="s">
        <v>1208</v>
      </c>
      <c r="E27" s="57" t="s">
        <v>1553</v>
      </c>
      <c r="F27" s="57" t="s">
        <v>1209</v>
      </c>
      <c r="G27" s="57" t="s">
        <v>1554</v>
      </c>
      <c r="H27" s="57" t="s">
        <v>1210</v>
      </c>
      <c r="I27" s="57" t="s">
        <v>3411</v>
      </c>
      <c r="J27" s="57" t="s">
        <v>3412</v>
      </c>
      <c r="K27" s="57" t="s">
        <v>591</v>
      </c>
      <c r="L27" s="31" t="s">
        <v>644</v>
      </c>
      <c r="M27" s="9">
        <v>65</v>
      </c>
      <c r="N27" s="46">
        <f>O27/M27</f>
        <v>42500</v>
      </c>
      <c r="O27" s="49">
        <f>2773614-11114</f>
        <v>2762500</v>
      </c>
      <c r="P27" s="14" t="s">
        <v>698</v>
      </c>
      <c r="Q27" s="14" t="s">
        <v>1473</v>
      </c>
      <c r="R27" s="11" t="s">
        <v>1175</v>
      </c>
      <c r="S27" s="14">
        <v>0</v>
      </c>
    </row>
    <row r="28" spans="1:19" ht="76.5">
      <c r="A28" s="5">
        <v>13</v>
      </c>
      <c r="B28" s="29" t="s">
        <v>710</v>
      </c>
      <c r="C28" s="30" t="s">
        <v>711</v>
      </c>
      <c r="D28" s="11" t="s">
        <v>1211</v>
      </c>
      <c r="E28" s="57" t="s">
        <v>1550</v>
      </c>
      <c r="F28" s="57" t="s">
        <v>1202</v>
      </c>
      <c r="G28" s="57" t="s">
        <v>1555</v>
      </c>
      <c r="H28" s="57" t="s">
        <v>1212</v>
      </c>
      <c r="I28" s="57" t="s">
        <v>1556</v>
      </c>
      <c r="J28" s="57" t="s">
        <v>137</v>
      </c>
      <c r="K28" s="57" t="s">
        <v>1485</v>
      </c>
      <c r="L28" s="31" t="s">
        <v>644</v>
      </c>
      <c r="M28" s="9">
        <v>1</v>
      </c>
      <c r="N28" s="46">
        <f>O28/M28</f>
        <v>0</v>
      </c>
      <c r="O28" s="49">
        <f>13805304-13805304</f>
        <v>0</v>
      </c>
      <c r="P28" s="14" t="s">
        <v>502</v>
      </c>
      <c r="Q28" s="14" t="s">
        <v>1473</v>
      </c>
      <c r="R28" s="11" t="s">
        <v>1175</v>
      </c>
      <c r="S28" s="14">
        <v>0</v>
      </c>
    </row>
    <row r="29" spans="1:19" ht="63.75">
      <c r="A29" s="5">
        <v>14</v>
      </c>
      <c r="B29" s="29" t="s">
        <v>710</v>
      </c>
      <c r="C29" s="30" t="s">
        <v>711</v>
      </c>
      <c r="D29" s="11" t="s">
        <v>1213</v>
      </c>
      <c r="E29" s="57" t="s">
        <v>1214</v>
      </c>
      <c r="F29" s="57" t="s">
        <v>1214</v>
      </c>
      <c r="G29" s="57" t="s">
        <v>1566</v>
      </c>
      <c r="H29" s="57" t="s">
        <v>1567</v>
      </c>
      <c r="I29" s="57" t="s">
        <v>1557</v>
      </c>
      <c r="J29" s="57" t="s">
        <v>138</v>
      </c>
      <c r="K29" s="57" t="s">
        <v>1484</v>
      </c>
      <c r="L29" s="31" t="s">
        <v>644</v>
      </c>
      <c r="M29" s="9">
        <v>16</v>
      </c>
      <c r="N29" s="46">
        <v>345290</v>
      </c>
      <c r="O29" s="49">
        <f t="shared" si="1"/>
        <v>5524640</v>
      </c>
      <c r="P29" s="14" t="s">
        <v>515</v>
      </c>
      <c r="Q29" s="14" t="s">
        <v>1473</v>
      </c>
      <c r="R29" s="11" t="s">
        <v>1175</v>
      </c>
      <c r="S29" s="14">
        <v>0</v>
      </c>
    </row>
    <row r="30" spans="1:19" ht="63.75">
      <c r="A30" s="5">
        <v>15</v>
      </c>
      <c r="B30" s="29" t="s">
        <v>710</v>
      </c>
      <c r="C30" s="30" t="s">
        <v>711</v>
      </c>
      <c r="D30" s="11" t="s">
        <v>1215</v>
      </c>
      <c r="E30" s="57" t="s">
        <v>1558</v>
      </c>
      <c r="F30" s="57" t="s">
        <v>1216</v>
      </c>
      <c r="G30" s="57" t="s">
        <v>1559</v>
      </c>
      <c r="H30" s="57" t="s">
        <v>1217</v>
      </c>
      <c r="I30" s="57" t="s">
        <v>1560</v>
      </c>
      <c r="J30" s="57" t="s">
        <v>139</v>
      </c>
      <c r="K30" s="57" t="s">
        <v>591</v>
      </c>
      <c r="L30" s="31" t="s">
        <v>644</v>
      </c>
      <c r="M30" s="9">
        <v>1</v>
      </c>
      <c r="N30" s="46">
        <f>O30/M30</f>
        <v>3133400</v>
      </c>
      <c r="O30" s="49">
        <f>1077387+2056013</f>
        <v>3133400</v>
      </c>
      <c r="P30" s="14" t="s">
        <v>502</v>
      </c>
      <c r="Q30" s="14" t="s">
        <v>1473</v>
      </c>
      <c r="R30" s="11" t="s">
        <v>1175</v>
      </c>
      <c r="S30" s="14">
        <v>30</v>
      </c>
    </row>
    <row r="31" spans="1:19" ht="102">
      <c r="A31" s="5">
        <v>16</v>
      </c>
      <c r="B31" s="29" t="s">
        <v>710</v>
      </c>
      <c r="C31" s="30" t="s">
        <v>711</v>
      </c>
      <c r="D31" s="11" t="s">
        <v>1218</v>
      </c>
      <c r="E31" s="57" t="s">
        <v>1561</v>
      </c>
      <c r="F31" s="57" t="s">
        <v>1219</v>
      </c>
      <c r="G31" s="57" t="s">
        <v>1562</v>
      </c>
      <c r="H31" s="57" t="s">
        <v>1220</v>
      </c>
      <c r="I31" s="57" t="s">
        <v>1563</v>
      </c>
      <c r="J31" s="57" t="s">
        <v>140</v>
      </c>
      <c r="K31" s="57" t="s">
        <v>1485</v>
      </c>
      <c r="L31" s="31" t="s">
        <v>644</v>
      </c>
      <c r="M31" s="9">
        <v>17</v>
      </c>
      <c r="N31" s="46">
        <f>O31/M31</f>
        <v>0</v>
      </c>
      <c r="O31" s="49">
        <f>113889579-113889579</f>
        <v>0</v>
      </c>
      <c r="P31" s="14" t="s">
        <v>501</v>
      </c>
      <c r="Q31" s="14" t="s">
        <v>1472</v>
      </c>
      <c r="R31" s="11" t="s">
        <v>1175</v>
      </c>
      <c r="S31" s="14">
        <v>0</v>
      </c>
    </row>
    <row r="32" spans="1:19" ht="37.5" customHeight="1">
      <c r="A32" s="5">
        <v>17</v>
      </c>
      <c r="B32" s="29" t="s">
        <v>710</v>
      </c>
      <c r="C32" s="30" t="s">
        <v>711</v>
      </c>
      <c r="D32" s="5" t="s">
        <v>1416</v>
      </c>
      <c r="E32" s="57" t="s">
        <v>1417</v>
      </c>
      <c r="F32" s="57" t="s">
        <v>1418</v>
      </c>
      <c r="G32" s="57" t="s">
        <v>1419</v>
      </c>
      <c r="H32" s="57" t="s">
        <v>1420</v>
      </c>
      <c r="I32" s="57" t="s">
        <v>1417</v>
      </c>
      <c r="J32" s="57" t="s">
        <v>143</v>
      </c>
      <c r="K32" s="57" t="s">
        <v>1485</v>
      </c>
      <c r="L32" s="11" t="s">
        <v>629</v>
      </c>
      <c r="M32" s="22">
        <v>3000</v>
      </c>
      <c r="N32" s="46">
        <f>O32/M32</f>
        <v>0</v>
      </c>
      <c r="O32" s="49">
        <f>535713000-370461000-165252000</f>
        <v>0</v>
      </c>
      <c r="P32" s="5" t="s">
        <v>698</v>
      </c>
      <c r="Q32" s="5" t="s">
        <v>394</v>
      </c>
      <c r="R32" s="11" t="s">
        <v>1175</v>
      </c>
      <c r="S32" s="22">
        <v>0</v>
      </c>
    </row>
    <row r="33" spans="1:19" ht="165.75">
      <c r="A33" s="5">
        <v>18</v>
      </c>
      <c r="B33" s="29" t="s">
        <v>710</v>
      </c>
      <c r="C33" s="30" t="s">
        <v>711</v>
      </c>
      <c r="D33" s="108" t="s">
        <v>1048</v>
      </c>
      <c r="E33" s="57" t="s">
        <v>2988</v>
      </c>
      <c r="F33" s="57" t="s">
        <v>1049</v>
      </c>
      <c r="G33" s="57" t="s">
        <v>1564</v>
      </c>
      <c r="H33" s="57" t="s">
        <v>1050</v>
      </c>
      <c r="I33" s="57" t="s">
        <v>1565</v>
      </c>
      <c r="J33" s="57" t="s">
        <v>141</v>
      </c>
      <c r="K33" s="57" t="s">
        <v>1485</v>
      </c>
      <c r="L33" s="31" t="s">
        <v>644</v>
      </c>
      <c r="M33" s="22">
        <v>2</v>
      </c>
      <c r="N33" s="46">
        <f>O33/M33</f>
        <v>0</v>
      </c>
      <c r="O33" s="49">
        <f>13970000-13970000</f>
        <v>0</v>
      </c>
      <c r="P33" s="5" t="s">
        <v>502</v>
      </c>
      <c r="Q33" s="5" t="s">
        <v>1051</v>
      </c>
      <c r="R33" s="11" t="s">
        <v>1175</v>
      </c>
      <c r="S33" s="22">
        <v>0</v>
      </c>
    </row>
    <row r="34" spans="1:19" ht="63.75">
      <c r="A34" s="5">
        <v>19</v>
      </c>
      <c r="B34" s="29" t="s">
        <v>710</v>
      </c>
      <c r="C34" s="30" t="s">
        <v>711</v>
      </c>
      <c r="D34" s="117" t="s">
        <v>1052</v>
      </c>
      <c r="E34" s="57" t="s">
        <v>2080</v>
      </c>
      <c r="F34" s="57" t="s">
        <v>1053</v>
      </c>
      <c r="G34" s="57" t="s">
        <v>2081</v>
      </c>
      <c r="H34" s="57" t="s">
        <v>1054</v>
      </c>
      <c r="I34" s="57" t="s">
        <v>3</v>
      </c>
      <c r="J34" s="57" t="s">
        <v>3</v>
      </c>
      <c r="K34" s="57" t="s">
        <v>591</v>
      </c>
      <c r="L34" s="31" t="s">
        <v>644</v>
      </c>
      <c r="M34" s="22">
        <v>1</v>
      </c>
      <c r="N34" s="46">
        <v>285714</v>
      </c>
      <c r="O34" s="49">
        <f t="shared" si="1"/>
        <v>285714</v>
      </c>
      <c r="P34" s="5" t="s">
        <v>612</v>
      </c>
      <c r="Q34" s="5" t="s">
        <v>1055</v>
      </c>
      <c r="R34" s="11" t="s">
        <v>1175</v>
      </c>
      <c r="S34" s="22">
        <v>100</v>
      </c>
    </row>
    <row r="35" spans="1:19" ht="63.75">
      <c r="A35" s="5">
        <v>20</v>
      </c>
      <c r="B35" s="29" t="s">
        <v>710</v>
      </c>
      <c r="C35" s="30" t="s">
        <v>711</v>
      </c>
      <c r="D35" s="109" t="s">
        <v>1056</v>
      </c>
      <c r="E35" s="57" t="s">
        <v>1570</v>
      </c>
      <c r="F35" s="57" t="s">
        <v>1571</v>
      </c>
      <c r="G35" s="57" t="s">
        <v>1572</v>
      </c>
      <c r="H35" s="57" t="s">
        <v>1573</v>
      </c>
      <c r="I35" s="57" t="s">
        <v>1574</v>
      </c>
      <c r="J35" s="57" t="s">
        <v>142</v>
      </c>
      <c r="K35" s="57" t="s">
        <v>591</v>
      </c>
      <c r="L35" s="31" t="s">
        <v>644</v>
      </c>
      <c r="M35" s="22">
        <v>50</v>
      </c>
      <c r="N35" s="46">
        <f>O35/M35</f>
        <v>0</v>
      </c>
      <c r="O35" s="49">
        <f>6160700-3847120-669000-1600000-32589-11991</f>
        <v>0</v>
      </c>
      <c r="P35" s="5" t="s">
        <v>698</v>
      </c>
      <c r="Q35" s="5" t="s">
        <v>1051</v>
      </c>
      <c r="R35" s="11" t="s">
        <v>1175</v>
      </c>
      <c r="S35" s="22">
        <v>0</v>
      </c>
    </row>
    <row r="36" spans="1:19" ht="95.25" customHeight="1">
      <c r="A36" s="5">
        <v>21</v>
      </c>
      <c r="B36" s="29" t="s">
        <v>710</v>
      </c>
      <c r="C36" s="30" t="s">
        <v>711</v>
      </c>
      <c r="D36" s="5" t="s">
        <v>1486</v>
      </c>
      <c r="E36" s="57" t="s">
        <v>1575</v>
      </c>
      <c r="F36" s="57" t="s">
        <v>1487</v>
      </c>
      <c r="G36" s="57" t="s">
        <v>1576</v>
      </c>
      <c r="H36" s="57" t="s">
        <v>1488</v>
      </c>
      <c r="I36" s="57" t="s">
        <v>1575</v>
      </c>
      <c r="J36" s="57" t="s">
        <v>1487</v>
      </c>
      <c r="K36" s="57" t="s">
        <v>591</v>
      </c>
      <c r="L36" s="5" t="s">
        <v>638</v>
      </c>
      <c r="M36" s="22">
        <v>8</v>
      </c>
      <c r="N36" s="46">
        <f t="shared" ref="N36:N42" si="2">O36/M36</f>
        <v>196852.75</v>
      </c>
      <c r="O36" s="49">
        <f>357144+178572+1039106</f>
        <v>1574822</v>
      </c>
      <c r="P36" s="5" t="s">
        <v>502</v>
      </c>
      <c r="Q36" s="5" t="s">
        <v>2491</v>
      </c>
      <c r="R36" s="11" t="s">
        <v>1175</v>
      </c>
      <c r="S36" s="22">
        <v>50</v>
      </c>
    </row>
    <row r="37" spans="1:19" ht="49.5" customHeight="1">
      <c r="A37" s="5">
        <v>22</v>
      </c>
      <c r="B37" s="29" t="s">
        <v>710</v>
      </c>
      <c r="C37" s="30" t="s">
        <v>711</v>
      </c>
      <c r="D37" s="5" t="s">
        <v>1489</v>
      </c>
      <c r="E37" s="57" t="s">
        <v>2464</v>
      </c>
      <c r="F37" s="57" t="s">
        <v>97</v>
      </c>
      <c r="G37" s="48" t="s">
        <v>2466</v>
      </c>
      <c r="H37" s="57" t="s">
        <v>2465</v>
      </c>
      <c r="I37" s="57" t="s">
        <v>2464</v>
      </c>
      <c r="J37" s="57" t="s">
        <v>97</v>
      </c>
      <c r="K37" s="57" t="s">
        <v>591</v>
      </c>
      <c r="L37" s="31" t="s">
        <v>644</v>
      </c>
      <c r="M37" s="22">
        <v>2</v>
      </c>
      <c r="N37" s="46">
        <f t="shared" si="2"/>
        <v>0</v>
      </c>
      <c r="O37" s="49">
        <f>178572-178572</f>
        <v>0</v>
      </c>
      <c r="P37" s="5" t="s">
        <v>391</v>
      </c>
      <c r="Q37" s="5" t="s">
        <v>391</v>
      </c>
      <c r="R37" s="11" t="s">
        <v>1175</v>
      </c>
      <c r="S37" s="22">
        <v>100</v>
      </c>
    </row>
    <row r="38" spans="1:19" ht="63.75">
      <c r="A38" s="5">
        <v>23</v>
      </c>
      <c r="B38" s="29" t="s">
        <v>710</v>
      </c>
      <c r="C38" s="30" t="s">
        <v>711</v>
      </c>
      <c r="D38" s="11" t="s">
        <v>1221</v>
      </c>
      <c r="E38" s="57" t="s">
        <v>1577</v>
      </c>
      <c r="F38" s="57" t="s">
        <v>1222</v>
      </c>
      <c r="G38" s="57" t="s">
        <v>1579</v>
      </c>
      <c r="H38" s="57" t="s">
        <v>1582</v>
      </c>
      <c r="I38" s="57" t="s">
        <v>1580</v>
      </c>
      <c r="J38" s="57" t="s">
        <v>176</v>
      </c>
      <c r="K38" s="57" t="s">
        <v>1485</v>
      </c>
      <c r="L38" s="31" t="s">
        <v>644</v>
      </c>
      <c r="M38" s="9">
        <v>1</v>
      </c>
      <c r="N38" s="46">
        <f t="shared" si="2"/>
        <v>18485577</v>
      </c>
      <c r="O38" s="49">
        <f>12538498+9457531-3082780-427672</f>
        <v>18485577</v>
      </c>
      <c r="P38" s="14" t="s">
        <v>612</v>
      </c>
      <c r="Q38" s="14" t="s">
        <v>1473</v>
      </c>
      <c r="R38" s="11" t="s">
        <v>1175</v>
      </c>
      <c r="S38" s="14">
        <v>30</v>
      </c>
    </row>
    <row r="39" spans="1:19" ht="191.25">
      <c r="A39" s="5">
        <v>24</v>
      </c>
      <c r="B39" s="29" t="s">
        <v>710</v>
      </c>
      <c r="C39" s="30" t="s">
        <v>711</v>
      </c>
      <c r="D39" s="11" t="s">
        <v>1224</v>
      </c>
      <c r="E39" s="57" t="s">
        <v>1577</v>
      </c>
      <c r="F39" s="57" t="s">
        <v>1222</v>
      </c>
      <c r="G39" s="57" t="s">
        <v>1578</v>
      </c>
      <c r="H39" s="57" t="s">
        <v>1223</v>
      </c>
      <c r="I39" s="57" t="s">
        <v>1581</v>
      </c>
      <c r="J39" s="57" t="s">
        <v>177</v>
      </c>
      <c r="K39" s="57" t="s">
        <v>1485</v>
      </c>
      <c r="L39" s="31" t="s">
        <v>644</v>
      </c>
      <c r="M39" s="9">
        <v>2</v>
      </c>
      <c r="N39" s="46">
        <f t="shared" si="2"/>
        <v>0</v>
      </c>
      <c r="O39" s="49">
        <f>18715894-18715894</f>
        <v>0</v>
      </c>
      <c r="P39" s="14" t="s">
        <v>515</v>
      </c>
      <c r="Q39" s="14" t="s">
        <v>1473</v>
      </c>
      <c r="R39" s="11" t="s">
        <v>1175</v>
      </c>
      <c r="S39" s="14">
        <v>0</v>
      </c>
    </row>
    <row r="40" spans="1:19" ht="63.75">
      <c r="A40" s="5">
        <v>25</v>
      </c>
      <c r="B40" s="29" t="s">
        <v>710</v>
      </c>
      <c r="C40" s="30" t="s">
        <v>711</v>
      </c>
      <c r="D40" s="11" t="s">
        <v>1221</v>
      </c>
      <c r="E40" s="57" t="s">
        <v>1577</v>
      </c>
      <c r="F40" s="57" t="s">
        <v>1222</v>
      </c>
      <c r="G40" s="57" t="s">
        <v>1578</v>
      </c>
      <c r="H40" s="57" t="s">
        <v>1223</v>
      </c>
      <c r="I40" s="57" t="s">
        <v>1583</v>
      </c>
      <c r="J40" s="57" t="s">
        <v>178</v>
      </c>
      <c r="K40" s="57" t="s">
        <v>1485</v>
      </c>
      <c r="L40" s="31" t="s">
        <v>644</v>
      </c>
      <c r="M40" s="9">
        <v>1</v>
      </c>
      <c r="N40" s="46">
        <f t="shared" si="2"/>
        <v>0</v>
      </c>
      <c r="O40" s="49">
        <f>9457531-9457531</f>
        <v>0</v>
      </c>
      <c r="P40" s="14" t="s">
        <v>515</v>
      </c>
      <c r="Q40" s="14" t="s">
        <v>1473</v>
      </c>
      <c r="R40" s="11" t="s">
        <v>1175</v>
      </c>
      <c r="S40" s="14">
        <v>0</v>
      </c>
    </row>
    <row r="41" spans="1:19" ht="63.75">
      <c r="A41" s="5">
        <v>26</v>
      </c>
      <c r="B41" s="29" t="s">
        <v>710</v>
      </c>
      <c r="C41" s="30" t="s">
        <v>711</v>
      </c>
      <c r="D41" s="11" t="s">
        <v>1221</v>
      </c>
      <c r="E41" s="57" t="s">
        <v>1577</v>
      </c>
      <c r="F41" s="57" t="s">
        <v>1222</v>
      </c>
      <c r="G41" s="57" t="s">
        <v>1578</v>
      </c>
      <c r="H41" s="57" t="s">
        <v>1223</v>
      </c>
      <c r="I41" s="57" t="s">
        <v>1584</v>
      </c>
      <c r="J41" s="57" t="s">
        <v>179</v>
      </c>
      <c r="K41" s="57" t="s">
        <v>1485</v>
      </c>
      <c r="L41" s="31" t="s">
        <v>644</v>
      </c>
      <c r="M41" s="9">
        <v>1</v>
      </c>
      <c r="N41" s="46">
        <f t="shared" si="2"/>
        <v>8099890</v>
      </c>
      <c r="O41" s="49">
        <f>6749908+1349982</f>
        <v>8099890</v>
      </c>
      <c r="P41" s="14" t="s">
        <v>588</v>
      </c>
      <c r="Q41" s="14" t="s">
        <v>3267</v>
      </c>
      <c r="R41" s="11" t="s">
        <v>1175</v>
      </c>
      <c r="S41" s="14">
        <v>0</v>
      </c>
    </row>
    <row r="42" spans="1:19" ht="63.75">
      <c r="A42" s="5">
        <v>27</v>
      </c>
      <c r="B42" s="29" t="s">
        <v>710</v>
      </c>
      <c r="C42" s="30" t="s">
        <v>711</v>
      </c>
      <c r="D42" s="11" t="s">
        <v>1225</v>
      </c>
      <c r="E42" s="57" t="s">
        <v>1585</v>
      </c>
      <c r="F42" s="57" t="s">
        <v>1226</v>
      </c>
      <c r="G42" s="57" t="s">
        <v>1585</v>
      </c>
      <c r="H42" s="57" t="s">
        <v>1226</v>
      </c>
      <c r="I42" s="57" t="s">
        <v>1586</v>
      </c>
      <c r="J42" s="57" t="s">
        <v>180</v>
      </c>
      <c r="K42" s="57" t="s">
        <v>1485</v>
      </c>
      <c r="L42" s="31" t="s">
        <v>644</v>
      </c>
      <c r="M42" s="9">
        <v>1</v>
      </c>
      <c r="N42" s="46">
        <f t="shared" si="2"/>
        <v>13145600</v>
      </c>
      <c r="O42" s="49">
        <f>8874951+4270649</f>
        <v>13145600</v>
      </c>
      <c r="P42" s="14" t="s">
        <v>502</v>
      </c>
      <c r="Q42" s="14" t="s">
        <v>3267</v>
      </c>
      <c r="R42" s="11" t="s">
        <v>1175</v>
      </c>
      <c r="S42" s="14">
        <v>0</v>
      </c>
    </row>
    <row r="43" spans="1:19" ht="63.75">
      <c r="A43" s="5">
        <v>28</v>
      </c>
      <c r="B43" s="29" t="s">
        <v>710</v>
      </c>
      <c r="C43" s="30" t="s">
        <v>711</v>
      </c>
      <c r="D43" s="11" t="s">
        <v>1227</v>
      </c>
      <c r="E43" s="57" t="s">
        <v>1577</v>
      </c>
      <c r="F43" s="57" t="s">
        <v>1222</v>
      </c>
      <c r="G43" s="57" t="s">
        <v>1587</v>
      </c>
      <c r="H43" s="57" t="s">
        <v>181</v>
      </c>
      <c r="I43" s="57" t="s">
        <v>1587</v>
      </c>
      <c r="J43" s="57" t="s">
        <v>181</v>
      </c>
      <c r="K43" s="57" t="s">
        <v>1485</v>
      </c>
      <c r="L43" s="31" t="s">
        <v>644</v>
      </c>
      <c r="M43" s="9">
        <v>1</v>
      </c>
      <c r="N43" s="46">
        <f>O43/M43</f>
        <v>15178571</v>
      </c>
      <c r="O43" s="49">
        <v>15178571</v>
      </c>
      <c r="P43" s="14" t="s">
        <v>698</v>
      </c>
      <c r="Q43" s="14" t="s">
        <v>1473</v>
      </c>
      <c r="R43" s="11" t="s">
        <v>1175</v>
      </c>
      <c r="S43" s="14">
        <v>30</v>
      </c>
    </row>
    <row r="44" spans="1:19" ht="63.75">
      <c r="A44" s="5">
        <v>29</v>
      </c>
      <c r="B44" s="29" t="s">
        <v>710</v>
      </c>
      <c r="C44" s="30" t="s">
        <v>711</v>
      </c>
      <c r="D44" s="11" t="s">
        <v>1168</v>
      </c>
      <c r="E44" s="57" t="s">
        <v>1588</v>
      </c>
      <c r="F44" s="57" t="s">
        <v>1170</v>
      </c>
      <c r="G44" s="57" t="s">
        <v>1589</v>
      </c>
      <c r="H44" s="57" t="s">
        <v>1172</v>
      </c>
      <c r="I44" s="57" t="s">
        <v>1590</v>
      </c>
      <c r="J44" s="57" t="s">
        <v>121</v>
      </c>
      <c r="K44" s="57" t="s">
        <v>591</v>
      </c>
      <c r="L44" s="31" t="s">
        <v>644</v>
      </c>
      <c r="M44" s="9">
        <v>300</v>
      </c>
      <c r="N44" s="46">
        <f>O44/M44</f>
        <v>48812.5</v>
      </c>
      <c r="O44" s="49">
        <f>12203100+2440650</f>
        <v>14643750</v>
      </c>
      <c r="P44" s="14" t="s">
        <v>588</v>
      </c>
      <c r="Q44" s="14" t="s">
        <v>3267</v>
      </c>
      <c r="R44" s="11" t="s">
        <v>1175</v>
      </c>
      <c r="S44" s="14">
        <v>0</v>
      </c>
    </row>
    <row r="45" spans="1:19" ht="76.5">
      <c r="A45" s="5">
        <v>30</v>
      </c>
      <c r="B45" s="29" t="s">
        <v>710</v>
      </c>
      <c r="C45" s="30" t="s">
        <v>711</v>
      </c>
      <c r="D45" s="11" t="s">
        <v>1168</v>
      </c>
      <c r="E45" s="57" t="s">
        <v>1588</v>
      </c>
      <c r="F45" s="57" t="s">
        <v>1170</v>
      </c>
      <c r="G45" s="57" t="s">
        <v>1589</v>
      </c>
      <c r="H45" s="57" t="s">
        <v>1172</v>
      </c>
      <c r="I45" s="57" t="s">
        <v>1595</v>
      </c>
      <c r="J45" s="57" t="s">
        <v>182</v>
      </c>
      <c r="K45" s="57" t="s">
        <v>591</v>
      </c>
      <c r="L45" s="31" t="s">
        <v>644</v>
      </c>
      <c r="M45" s="9">
        <v>1</v>
      </c>
      <c r="N45" s="46">
        <v>2507813</v>
      </c>
      <c r="O45" s="49">
        <f t="shared" si="1"/>
        <v>2507813</v>
      </c>
      <c r="P45" s="14" t="s">
        <v>612</v>
      </c>
      <c r="Q45" s="14" t="s">
        <v>1474</v>
      </c>
      <c r="R45" s="11" t="s">
        <v>1175</v>
      </c>
      <c r="S45" s="14">
        <v>50</v>
      </c>
    </row>
    <row r="46" spans="1:19" ht="63.75">
      <c r="A46" s="5">
        <v>31</v>
      </c>
      <c r="B46" s="29" t="s">
        <v>710</v>
      </c>
      <c r="C46" s="30" t="s">
        <v>711</v>
      </c>
      <c r="D46" s="11" t="s">
        <v>1168</v>
      </c>
      <c r="E46" s="57" t="s">
        <v>1588</v>
      </c>
      <c r="F46" s="57" t="s">
        <v>1170</v>
      </c>
      <c r="G46" s="57" t="s">
        <v>1589</v>
      </c>
      <c r="H46" s="57" t="s">
        <v>1172</v>
      </c>
      <c r="I46" s="57" t="s">
        <v>1591</v>
      </c>
      <c r="J46" s="57" t="s">
        <v>127</v>
      </c>
      <c r="K46" s="57" t="s">
        <v>591</v>
      </c>
      <c r="L46" s="31" t="s">
        <v>644</v>
      </c>
      <c r="M46" s="9">
        <v>12</v>
      </c>
      <c r="N46" s="46">
        <f>O46/M46</f>
        <v>0</v>
      </c>
      <c r="O46" s="49">
        <f>1558740-1558740</f>
        <v>0</v>
      </c>
      <c r="P46" s="14" t="s">
        <v>515</v>
      </c>
      <c r="Q46" s="14" t="s">
        <v>1474</v>
      </c>
      <c r="R46" s="11" t="s">
        <v>1175</v>
      </c>
      <c r="S46" s="14">
        <v>30</v>
      </c>
    </row>
    <row r="47" spans="1:19" ht="63.75">
      <c r="A47" s="5">
        <v>32</v>
      </c>
      <c r="B47" s="29" t="s">
        <v>710</v>
      </c>
      <c r="C47" s="30" t="s">
        <v>711</v>
      </c>
      <c r="D47" s="11" t="s">
        <v>1168</v>
      </c>
      <c r="E47" s="57" t="s">
        <v>1588</v>
      </c>
      <c r="F47" s="57" t="s">
        <v>1170</v>
      </c>
      <c r="G47" s="57" t="s">
        <v>1589</v>
      </c>
      <c r="H47" s="57" t="s">
        <v>1172</v>
      </c>
      <c r="I47" s="57" t="s">
        <v>1592</v>
      </c>
      <c r="J47" s="57" t="s">
        <v>183</v>
      </c>
      <c r="K47" s="57" t="s">
        <v>1485</v>
      </c>
      <c r="L47" s="31" t="s">
        <v>644</v>
      </c>
      <c r="M47" s="9">
        <v>180</v>
      </c>
      <c r="N47" s="46">
        <f>O47/M47</f>
        <v>61999</v>
      </c>
      <c r="O47" s="49">
        <f>1071420+10500060-411660</f>
        <v>11159820</v>
      </c>
      <c r="P47" s="14" t="s">
        <v>502</v>
      </c>
      <c r="Q47" s="14" t="s">
        <v>1474</v>
      </c>
      <c r="R47" s="11" t="s">
        <v>1175</v>
      </c>
      <c r="S47" s="14">
        <v>0</v>
      </c>
    </row>
    <row r="48" spans="1:19" ht="63.75">
      <c r="A48" s="5">
        <v>33</v>
      </c>
      <c r="B48" s="29" t="s">
        <v>710</v>
      </c>
      <c r="C48" s="30" t="s">
        <v>711</v>
      </c>
      <c r="D48" s="11" t="s">
        <v>1168</v>
      </c>
      <c r="E48" s="57" t="s">
        <v>1588</v>
      </c>
      <c r="F48" s="57" t="s">
        <v>1170</v>
      </c>
      <c r="G48" s="57" t="s">
        <v>1589</v>
      </c>
      <c r="H48" s="57" t="s">
        <v>1172</v>
      </c>
      <c r="I48" s="57" t="s">
        <v>1593</v>
      </c>
      <c r="J48" s="57" t="s">
        <v>126</v>
      </c>
      <c r="K48" s="57" t="s">
        <v>1485</v>
      </c>
      <c r="L48" s="31" t="s">
        <v>644</v>
      </c>
      <c r="M48" s="9">
        <v>8</v>
      </c>
      <c r="N48" s="46">
        <f>O48/M48</f>
        <v>2259590.875</v>
      </c>
      <c r="O48" s="49">
        <f>17551752+1558740-963586-70179</f>
        <v>18076727</v>
      </c>
      <c r="P48" s="14" t="s">
        <v>612</v>
      </c>
      <c r="Q48" s="14" t="s">
        <v>1474</v>
      </c>
      <c r="R48" s="11" t="s">
        <v>1175</v>
      </c>
      <c r="S48" s="14">
        <v>30</v>
      </c>
    </row>
    <row r="49" spans="1:19" ht="63.75">
      <c r="A49" s="5">
        <v>34</v>
      </c>
      <c r="B49" s="29" t="s">
        <v>710</v>
      </c>
      <c r="C49" s="30" t="s">
        <v>711</v>
      </c>
      <c r="D49" s="11" t="s">
        <v>1168</v>
      </c>
      <c r="E49" s="57" t="s">
        <v>1588</v>
      </c>
      <c r="F49" s="57" t="s">
        <v>1170</v>
      </c>
      <c r="G49" s="57" t="s">
        <v>1589</v>
      </c>
      <c r="H49" s="57" t="s">
        <v>1172</v>
      </c>
      <c r="I49" s="57" t="s">
        <v>1594</v>
      </c>
      <c r="J49" s="57" t="s">
        <v>184</v>
      </c>
      <c r="K49" s="57" t="s">
        <v>1484</v>
      </c>
      <c r="L49" s="31" t="s">
        <v>644</v>
      </c>
      <c r="M49" s="9">
        <v>200</v>
      </c>
      <c r="N49" s="46">
        <f>O49/M49</f>
        <v>18708</v>
      </c>
      <c r="O49" s="49">
        <f>3118000+623600</f>
        <v>3741600</v>
      </c>
      <c r="P49" s="14" t="s">
        <v>502</v>
      </c>
      <c r="Q49" s="14" t="s">
        <v>1474</v>
      </c>
      <c r="R49" s="11" t="s">
        <v>1175</v>
      </c>
      <c r="S49" s="14">
        <v>30</v>
      </c>
    </row>
    <row r="50" spans="1:19" ht="63.75">
      <c r="A50" s="5">
        <v>35</v>
      </c>
      <c r="B50" s="15" t="s">
        <v>710</v>
      </c>
      <c r="C50" s="30" t="s">
        <v>711</v>
      </c>
      <c r="D50" s="11" t="s">
        <v>1022</v>
      </c>
      <c r="E50" s="57" t="s">
        <v>720</v>
      </c>
      <c r="F50" s="57" t="s">
        <v>720</v>
      </c>
      <c r="G50" s="57" t="s">
        <v>2108</v>
      </c>
      <c r="H50" s="57" t="s">
        <v>1023</v>
      </c>
      <c r="I50" s="57" t="s">
        <v>2091</v>
      </c>
      <c r="J50" s="57" t="s">
        <v>144</v>
      </c>
      <c r="K50" s="57" t="s">
        <v>591</v>
      </c>
      <c r="L50" s="31" t="s">
        <v>644</v>
      </c>
      <c r="M50" s="22">
        <v>3</v>
      </c>
      <c r="N50" s="46">
        <v>75893</v>
      </c>
      <c r="O50" s="49">
        <f t="shared" si="1"/>
        <v>227679</v>
      </c>
      <c r="P50" s="5" t="s">
        <v>391</v>
      </c>
      <c r="Q50" s="5" t="s">
        <v>1024</v>
      </c>
      <c r="R50" s="11" t="s">
        <v>1021</v>
      </c>
      <c r="S50" s="5">
        <v>100</v>
      </c>
    </row>
    <row r="51" spans="1:19" s="13" customFormat="1" ht="60" customHeight="1">
      <c r="A51" s="5">
        <v>36</v>
      </c>
      <c r="B51" s="29" t="s">
        <v>710</v>
      </c>
      <c r="C51" s="30" t="s">
        <v>711</v>
      </c>
      <c r="D51" s="5" t="s">
        <v>976</v>
      </c>
      <c r="E51" s="57" t="s">
        <v>730</v>
      </c>
      <c r="F51" s="57" t="s">
        <v>731</v>
      </c>
      <c r="G51" s="57" t="s">
        <v>977</v>
      </c>
      <c r="H51" s="57" t="s">
        <v>978</v>
      </c>
      <c r="I51" s="57" t="s">
        <v>2109</v>
      </c>
      <c r="J51" s="57" t="s">
        <v>338</v>
      </c>
      <c r="K51" s="57" t="s">
        <v>591</v>
      </c>
      <c r="L51" s="31" t="s">
        <v>644</v>
      </c>
      <c r="M51" s="22">
        <v>3</v>
      </c>
      <c r="N51" s="46">
        <f>O51/M51</f>
        <v>0</v>
      </c>
      <c r="O51" s="49">
        <f>118713-118713</f>
        <v>0</v>
      </c>
      <c r="P51" s="5" t="s">
        <v>612</v>
      </c>
      <c r="Q51" s="5" t="s">
        <v>766</v>
      </c>
      <c r="R51" s="11" t="s">
        <v>2023</v>
      </c>
      <c r="S51" s="22">
        <v>50</v>
      </c>
    </row>
    <row r="52" spans="1:19" s="13" customFormat="1" ht="102">
      <c r="A52" s="5">
        <v>37</v>
      </c>
      <c r="B52" s="29" t="s">
        <v>710</v>
      </c>
      <c r="C52" s="30" t="s">
        <v>711</v>
      </c>
      <c r="D52" s="10" t="s">
        <v>748</v>
      </c>
      <c r="E52" s="57" t="s">
        <v>979</v>
      </c>
      <c r="F52" s="57" t="s">
        <v>979</v>
      </c>
      <c r="G52" s="57" t="s">
        <v>2161</v>
      </c>
      <c r="H52" s="57" t="s">
        <v>751</v>
      </c>
      <c r="I52" s="57" t="s">
        <v>2110</v>
      </c>
      <c r="J52" s="57" t="s">
        <v>145</v>
      </c>
      <c r="K52" s="57" t="s">
        <v>591</v>
      </c>
      <c r="L52" s="31" t="s">
        <v>644</v>
      </c>
      <c r="M52" s="22">
        <v>2</v>
      </c>
      <c r="N52" s="46">
        <f>O52/M52</f>
        <v>28215</v>
      </c>
      <c r="O52" s="49">
        <f>56430</f>
        <v>56430</v>
      </c>
      <c r="P52" s="5" t="s">
        <v>502</v>
      </c>
      <c r="Q52" s="5" t="s">
        <v>1051</v>
      </c>
      <c r="R52" s="11" t="s">
        <v>2023</v>
      </c>
      <c r="S52" s="22">
        <v>50</v>
      </c>
    </row>
    <row r="53" spans="1:19" s="13" customFormat="1" ht="63.75">
      <c r="A53" s="5">
        <v>38</v>
      </c>
      <c r="B53" s="29" t="s">
        <v>710</v>
      </c>
      <c r="C53" s="30" t="s">
        <v>711</v>
      </c>
      <c r="D53" s="15" t="s">
        <v>763</v>
      </c>
      <c r="E53" s="57" t="s">
        <v>797</v>
      </c>
      <c r="F53" s="57" t="s">
        <v>797</v>
      </c>
      <c r="G53" s="57" t="s">
        <v>798</v>
      </c>
      <c r="H53" s="57" t="s">
        <v>764</v>
      </c>
      <c r="I53" s="57" t="s">
        <v>2152</v>
      </c>
      <c r="J53" s="57" t="s">
        <v>146</v>
      </c>
      <c r="K53" s="57" t="s">
        <v>591</v>
      </c>
      <c r="L53" s="31" t="s">
        <v>644</v>
      </c>
      <c r="M53" s="22">
        <v>2</v>
      </c>
      <c r="N53" s="46">
        <f>O53/M53</f>
        <v>0</v>
      </c>
      <c r="O53" s="49">
        <f>32142-32142</f>
        <v>0</v>
      </c>
      <c r="P53" s="5" t="s">
        <v>612</v>
      </c>
      <c r="Q53" s="5" t="s">
        <v>766</v>
      </c>
      <c r="R53" s="11" t="s">
        <v>2023</v>
      </c>
      <c r="S53" s="22">
        <v>50</v>
      </c>
    </row>
    <row r="54" spans="1:19" s="13" customFormat="1" ht="76.5">
      <c r="A54" s="5">
        <v>39</v>
      </c>
      <c r="B54" s="15" t="s">
        <v>710</v>
      </c>
      <c r="C54" s="30" t="s">
        <v>711</v>
      </c>
      <c r="D54" s="15" t="s">
        <v>723</v>
      </c>
      <c r="E54" s="57" t="s">
        <v>874</v>
      </c>
      <c r="F54" s="57" t="s">
        <v>874</v>
      </c>
      <c r="G54" s="57" t="s">
        <v>875</v>
      </c>
      <c r="H54" s="57" t="s">
        <v>876</v>
      </c>
      <c r="I54" s="57" t="s">
        <v>2085</v>
      </c>
      <c r="J54" s="57" t="s">
        <v>339</v>
      </c>
      <c r="K54" s="57" t="s">
        <v>591</v>
      </c>
      <c r="L54" s="31" t="s">
        <v>644</v>
      </c>
      <c r="M54" s="22">
        <v>2</v>
      </c>
      <c r="N54" s="46">
        <f>O54/M54</f>
        <v>0</v>
      </c>
      <c r="O54" s="49">
        <f>69714-69714</f>
        <v>0</v>
      </c>
      <c r="P54" s="5" t="s">
        <v>612</v>
      </c>
      <c r="Q54" s="5" t="s">
        <v>1051</v>
      </c>
      <c r="R54" s="11" t="s">
        <v>2023</v>
      </c>
      <c r="S54" s="22">
        <v>50</v>
      </c>
    </row>
    <row r="55" spans="1:19" s="13" customFormat="1" ht="102">
      <c r="A55" s="5">
        <v>40</v>
      </c>
      <c r="B55" s="15" t="s">
        <v>710</v>
      </c>
      <c r="C55" s="30" t="s">
        <v>711</v>
      </c>
      <c r="D55" s="15" t="s">
        <v>716</v>
      </c>
      <c r="E55" s="57" t="s">
        <v>874</v>
      </c>
      <c r="F55" s="57" t="s">
        <v>874</v>
      </c>
      <c r="G55" s="57" t="s">
        <v>877</v>
      </c>
      <c r="H55" s="57" t="s">
        <v>718</v>
      </c>
      <c r="I55" s="57" t="s">
        <v>2086</v>
      </c>
      <c r="J55" s="57" t="s">
        <v>340</v>
      </c>
      <c r="K55" s="57" t="s">
        <v>591</v>
      </c>
      <c r="L55" s="31" t="s">
        <v>644</v>
      </c>
      <c r="M55" s="22">
        <v>5</v>
      </c>
      <c r="N55" s="46">
        <v>39857</v>
      </c>
      <c r="O55" s="49">
        <f t="shared" si="1"/>
        <v>199285</v>
      </c>
      <c r="P55" s="5" t="s">
        <v>502</v>
      </c>
      <c r="Q55" s="5" t="s">
        <v>1051</v>
      </c>
      <c r="R55" s="11" t="s">
        <v>2023</v>
      </c>
      <c r="S55" s="22">
        <v>50</v>
      </c>
    </row>
    <row r="56" spans="1:19" s="13" customFormat="1" ht="63.75">
      <c r="A56" s="5">
        <v>41</v>
      </c>
      <c r="B56" s="15" t="s">
        <v>710</v>
      </c>
      <c r="C56" s="30" t="s">
        <v>711</v>
      </c>
      <c r="D56" s="5" t="s">
        <v>980</v>
      </c>
      <c r="E56" s="57" t="s">
        <v>730</v>
      </c>
      <c r="F56" s="57" t="s">
        <v>171</v>
      </c>
      <c r="G56" s="57" t="s">
        <v>981</v>
      </c>
      <c r="H56" s="57" t="s">
        <v>982</v>
      </c>
      <c r="I56" s="57" t="s">
        <v>981</v>
      </c>
      <c r="J56" s="57" t="s">
        <v>341</v>
      </c>
      <c r="K56" s="57" t="s">
        <v>591</v>
      </c>
      <c r="L56" s="31" t="s">
        <v>644</v>
      </c>
      <c r="M56" s="22">
        <v>1</v>
      </c>
      <c r="N56" s="46">
        <f>O56/M56</f>
        <v>0</v>
      </c>
      <c r="O56" s="49">
        <f>73714-73714</f>
        <v>0</v>
      </c>
      <c r="P56" s="5" t="s">
        <v>612</v>
      </c>
      <c r="Q56" s="5" t="s">
        <v>1051</v>
      </c>
      <c r="R56" s="11" t="s">
        <v>2023</v>
      </c>
      <c r="S56" s="22">
        <v>50</v>
      </c>
    </row>
    <row r="57" spans="1:19" s="13" customFormat="1" ht="63.75">
      <c r="A57" s="5">
        <v>42</v>
      </c>
      <c r="B57" s="29" t="s">
        <v>710</v>
      </c>
      <c r="C57" s="30" t="s">
        <v>711</v>
      </c>
      <c r="D57" s="5" t="s">
        <v>983</v>
      </c>
      <c r="E57" s="57" t="s">
        <v>755</v>
      </c>
      <c r="F57" s="57" t="s">
        <v>755</v>
      </c>
      <c r="G57" s="57" t="s">
        <v>984</v>
      </c>
      <c r="H57" s="57" t="s">
        <v>985</v>
      </c>
      <c r="I57" s="57" t="s">
        <v>2111</v>
      </c>
      <c r="J57" s="57" t="s">
        <v>2111</v>
      </c>
      <c r="K57" s="57" t="s">
        <v>591</v>
      </c>
      <c r="L57" s="31" t="s">
        <v>644</v>
      </c>
      <c r="M57" s="22">
        <v>1</v>
      </c>
      <c r="N57" s="46">
        <v>94714</v>
      </c>
      <c r="O57" s="49">
        <f t="shared" si="1"/>
        <v>94714</v>
      </c>
      <c r="P57" s="5" t="s">
        <v>515</v>
      </c>
      <c r="Q57" s="5" t="s">
        <v>1051</v>
      </c>
      <c r="R57" s="11" t="s">
        <v>2023</v>
      </c>
      <c r="S57" s="22">
        <v>50</v>
      </c>
    </row>
    <row r="58" spans="1:19" s="13" customFormat="1" ht="63.75">
      <c r="A58" s="5">
        <v>43</v>
      </c>
      <c r="B58" s="15" t="s">
        <v>710</v>
      </c>
      <c r="C58" s="30" t="s">
        <v>711</v>
      </c>
      <c r="D58" s="5" t="s">
        <v>947</v>
      </c>
      <c r="E58" s="57" t="s">
        <v>979</v>
      </c>
      <c r="F58" s="57" t="s">
        <v>979</v>
      </c>
      <c r="G58" s="57" t="s">
        <v>986</v>
      </c>
      <c r="H58" s="57" t="s">
        <v>987</v>
      </c>
      <c r="I58" s="57" t="s">
        <v>979</v>
      </c>
      <c r="J58" s="57" t="s">
        <v>979</v>
      </c>
      <c r="K58" s="57" t="s">
        <v>591</v>
      </c>
      <c r="L58" s="31" t="s">
        <v>644</v>
      </c>
      <c r="M58" s="22">
        <v>2</v>
      </c>
      <c r="N58" s="46">
        <v>58429</v>
      </c>
      <c r="O58" s="49">
        <f t="shared" si="1"/>
        <v>116858</v>
      </c>
      <c r="P58" s="5" t="s">
        <v>391</v>
      </c>
      <c r="Q58" s="5" t="s">
        <v>1051</v>
      </c>
      <c r="R58" s="11" t="s">
        <v>2023</v>
      </c>
      <c r="S58" s="22">
        <v>50</v>
      </c>
    </row>
    <row r="59" spans="1:19" s="13" customFormat="1" ht="114.75">
      <c r="A59" s="5">
        <v>44</v>
      </c>
      <c r="B59" s="29" t="s">
        <v>710</v>
      </c>
      <c r="C59" s="30" t="s">
        <v>711</v>
      </c>
      <c r="D59" s="11" t="s">
        <v>995</v>
      </c>
      <c r="E59" s="57" t="s">
        <v>730</v>
      </c>
      <c r="F59" s="57" t="s">
        <v>731</v>
      </c>
      <c r="G59" s="57" t="s">
        <v>996</v>
      </c>
      <c r="H59" s="57" t="s">
        <v>997</v>
      </c>
      <c r="I59" s="57" t="s">
        <v>2112</v>
      </c>
      <c r="J59" s="57" t="s">
        <v>342</v>
      </c>
      <c r="K59" s="57" t="s">
        <v>591</v>
      </c>
      <c r="L59" s="31" t="s">
        <v>644</v>
      </c>
      <c r="M59" s="22">
        <v>3</v>
      </c>
      <c r="N59" s="46">
        <f>O59/M59</f>
        <v>0</v>
      </c>
      <c r="O59" s="49">
        <f>58713-58713</f>
        <v>0</v>
      </c>
      <c r="P59" s="5" t="s">
        <v>612</v>
      </c>
      <c r="Q59" s="5" t="s">
        <v>766</v>
      </c>
      <c r="R59" s="11" t="s">
        <v>2023</v>
      </c>
      <c r="S59" s="22">
        <v>50</v>
      </c>
    </row>
    <row r="60" spans="1:19" s="13" customFormat="1" ht="89.25">
      <c r="A60" s="5">
        <v>45</v>
      </c>
      <c r="B60" s="15" t="s">
        <v>710</v>
      </c>
      <c r="C60" s="30" t="s">
        <v>711</v>
      </c>
      <c r="D60" s="11" t="s">
        <v>945</v>
      </c>
      <c r="E60" s="57" t="s">
        <v>1529</v>
      </c>
      <c r="F60" s="57" t="s">
        <v>1529</v>
      </c>
      <c r="G60" s="57" t="s">
        <v>988</v>
      </c>
      <c r="H60" s="57" t="s">
        <v>946</v>
      </c>
      <c r="I60" s="57" t="s">
        <v>2113</v>
      </c>
      <c r="J60" s="57" t="s">
        <v>343</v>
      </c>
      <c r="K60" s="57" t="s">
        <v>591</v>
      </c>
      <c r="L60" s="31" t="s">
        <v>644</v>
      </c>
      <c r="M60" s="22">
        <v>3</v>
      </c>
      <c r="N60" s="46">
        <f>O60/M60</f>
        <v>0</v>
      </c>
      <c r="O60" s="49">
        <f>54429-54429</f>
        <v>0</v>
      </c>
      <c r="P60" s="5" t="s">
        <v>612</v>
      </c>
      <c r="Q60" s="5" t="s">
        <v>1051</v>
      </c>
      <c r="R60" s="11" t="s">
        <v>2023</v>
      </c>
      <c r="S60" s="22">
        <v>50</v>
      </c>
    </row>
    <row r="61" spans="1:19" s="13" customFormat="1" ht="89.25">
      <c r="A61" s="5">
        <v>46</v>
      </c>
      <c r="B61" s="29" t="s">
        <v>710</v>
      </c>
      <c r="C61" s="30" t="s">
        <v>711</v>
      </c>
      <c r="D61" s="11" t="s">
        <v>989</v>
      </c>
      <c r="E61" s="57" t="s">
        <v>749</v>
      </c>
      <c r="F61" s="57" t="s">
        <v>749</v>
      </c>
      <c r="G61" s="57" t="s">
        <v>990</v>
      </c>
      <c r="H61" s="57" t="s">
        <v>991</v>
      </c>
      <c r="I61" s="57" t="s">
        <v>2115</v>
      </c>
      <c r="J61" s="57" t="s">
        <v>2114</v>
      </c>
      <c r="K61" s="57" t="s">
        <v>591</v>
      </c>
      <c r="L61" s="31" t="s">
        <v>644</v>
      </c>
      <c r="M61" s="22">
        <v>1</v>
      </c>
      <c r="N61" s="46">
        <f>O61/M61</f>
        <v>0</v>
      </c>
      <c r="O61" s="49">
        <f>53143-53143</f>
        <v>0</v>
      </c>
      <c r="P61" s="5" t="s">
        <v>612</v>
      </c>
      <c r="Q61" s="5" t="s">
        <v>1051</v>
      </c>
      <c r="R61" s="11" t="s">
        <v>2023</v>
      </c>
      <c r="S61" s="22">
        <v>50</v>
      </c>
    </row>
    <row r="62" spans="1:19" s="13" customFormat="1" ht="140.25">
      <c r="A62" s="5">
        <v>47</v>
      </c>
      <c r="B62" s="29" t="s">
        <v>710</v>
      </c>
      <c r="C62" s="30" t="s">
        <v>711</v>
      </c>
      <c r="D62" s="11" t="s">
        <v>992</v>
      </c>
      <c r="E62" s="57" t="s">
        <v>749</v>
      </c>
      <c r="F62" s="57" t="s">
        <v>749</v>
      </c>
      <c r="G62" s="57" t="s">
        <v>993</v>
      </c>
      <c r="H62" s="57" t="s">
        <v>994</v>
      </c>
      <c r="I62" s="57" t="s">
        <v>2117</v>
      </c>
      <c r="J62" s="57" t="s">
        <v>2116</v>
      </c>
      <c r="K62" s="57" t="s">
        <v>591</v>
      </c>
      <c r="L62" s="31" t="s">
        <v>644</v>
      </c>
      <c r="M62" s="22">
        <v>6</v>
      </c>
      <c r="N62" s="46">
        <v>38286</v>
      </c>
      <c r="O62" s="49">
        <f t="shared" si="1"/>
        <v>229716</v>
      </c>
      <c r="P62" s="5" t="s">
        <v>612</v>
      </c>
      <c r="Q62" s="5" t="s">
        <v>1051</v>
      </c>
      <c r="R62" s="11" t="s">
        <v>2023</v>
      </c>
      <c r="S62" s="22">
        <v>50</v>
      </c>
    </row>
    <row r="63" spans="1:19" s="13" customFormat="1" ht="114.75">
      <c r="A63" s="5">
        <v>48</v>
      </c>
      <c r="B63" s="29" t="s">
        <v>710</v>
      </c>
      <c r="C63" s="30" t="s">
        <v>711</v>
      </c>
      <c r="D63" s="11" t="s">
        <v>995</v>
      </c>
      <c r="E63" s="57" t="s">
        <v>730</v>
      </c>
      <c r="F63" s="57" t="s">
        <v>731</v>
      </c>
      <c r="G63" s="57" t="s">
        <v>996</v>
      </c>
      <c r="H63" s="57" t="s">
        <v>997</v>
      </c>
      <c r="I63" s="57" t="s">
        <v>2112</v>
      </c>
      <c r="J63" s="57" t="s">
        <v>344</v>
      </c>
      <c r="K63" s="57" t="s">
        <v>591</v>
      </c>
      <c r="L63" s="31" t="s">
        <v>644</v>
      </c>
      <c r="M63" s="22">
        <v>2</v>
      </c>
      <c r="N63" s="46">
        <v>19571</v>
      </c>
      <c r="O63" s="49">
        <f t="shared" si="1"/>
        <v>39142</v>
      </c>
      <c r="P63" s="5" t="s">
        <v>698</v>
      </c>
      <c r="Q63" s="5" t="s">
        <v>766</v>
      </c>
      <c r="R63" s="11" t="s">
        <v>2023</v>
      </c>
      <c r="S63" s="22">
        <v>50</v>
      </c>
    </row>
    <row r="64" spans="1:19" s="13" customFormat="1" ht="102">
      <c r="A64" s="5">
        <v>49</v>
      </c>
      <c r="B64" s="29" t="s">
        <v>710</v>
      </c>
      <c r="C64" s="30" t="s">
        <v>711</v>
      </c>
      <c r="D64" s="10" t="s">
        <v>748</v>
      </c>
      <c r="E64" s="57" t="s">
        <v>979</v>
      </c>
      <c r="F64" s="57" t="s">
        <v>979</v>
      </c>
      <c r="G64" s="57" t="s">
        <v>750</v>
      </c>
      <c r="H64" s="57" t="s">
        <v>751</v>
      </c>
      <c r="I64" s="57" t="s">
        <v>2118</v>
      </c>
      <c r="J64" s="57" t="s">
        <v>2119</v>
      </c>
      <c r="K64" s="57" t="s">
        <v>591</v>
      </c>
      <c r="L64" s="31" t="s">
        <v>644</v>
      </c>
      <c r="M64" s="22">
        <v>1</v>
      </c>
      <c r="N64" s="46">
        <f>O64/M64</f>
        <v>0</v>
      </c>
      <c r="O64" s="49">
        <f>60286-60286</f>
        <v>0</v>
      </c>
      <c r="P64" s="5" t="s">
        <v>612</v>
      </c>
      <c r="Q64" s="5" t="s">
        <v>1051</v>
      </c>
      <c r="R64" s="11" t="s">
        <v>2023</v>
      </c>
      <c r="S64" s="22">
        <v>50</v>
      </c>
    </row>
    <row r="65" spans="1:19" s="13" customFormat="1" ht="63.75">
      <c r="A65" s="5">
        <v>50</v>
      </c>
      <c r="B65" s="15" t="s">
        <v>710</v>
      </c>
      <c r="C65" s="30" t="s">
        <v>711</v>
      </c>
      <c r="D65" s="11" t="s">
        <v>998</v>
      </c>
      <c r="E65" s="57" t="s">
        <v>720</v>
      </c>
      <c r="F65" s="57" t="s">
        <v>720</v>
      </c>
      <c r="G65" s="57" t="s">
        <v>999</v>
      </c>
      <c r="H65" s="57" t="s">
        <v>1000</v>
      </c>
      <c r="I65" s="57" t="s">
        <v>2091</v>
      </c>
      <c r="J65" s="57" t="s">
        <v>144</v>
      </c>
      <c r="K65" s="57" t="s">
        <v>591</v>
      </c>
      <c r="L65" s="31" t="s">
        <v>644</v>
      </c>
      <c r="M65" s="22">
        <v>3</v>
      </c>
      <c r="N65" s="46">
        <v>57143</v>
      </c>
      <c r="O65" s="49">
        <f t="shared" si="1"/>
        <v>171429</v>
      </c>
      <c r="P65" s="5" t="s">
        <v>391</v>
      </c>
      <c r="Q65" s="5" t="s">
        <v>1051</v>
      </c>
      <c r="R65" s="11" t="s">
        <v>2023</v>
      </c>
      <c r="S65" s="22">
        <v>50</v>
      </c>
    </row>
    <row r="66" spans="1:19" s="32" customFormat="1" ht="78" customHeight="1">
      <c r="A66" s="5">
        <v>51</v>
      </c>
      <c r="B66" s="29" t="s">
        <v>710</v>
      </c>
      <c r="C66" s="30" t="s">
        <v>711</v>
      </c>
      <c r="D66" s="5" t="s">
        <v>729</v>
      </c>
      <c r="E66" s="57" t="s">
        <v>730</v>
      </c>
      <c r="F66" s="57" t="s">
        <v>731</v>
      </c>
      <c r="G66" s="57" t="s">
        <v>873</v>
      </c>
      <c r="H66" s="57" t="s">
        <v>733</v>
      </c>
      <c r="I66" s="57" t="s">
        <v>2120</v>
      </c>
      <c r="J66" s="57" t="s">
        <v>147</v>
      </c>
      <c r="K66" s="57" t="s">
        <v>591</v>
      </c>
      <c r="L66" s="31" t="s">
        <v>644</v>
      </c>
      <c r="M66" s="22">
        <v>1</v>
      </c>
      <c r="N66" s="46">
        <v>69643</v>
      </c>
      <c r="O66" s="49">
        <f t="shared" si="1"/>
        <v>69643</v>
      </c>
      <c r="P66" s="5" t="s">
        <v>391</v>
      </c>
      <c r="Q66" s="5" t="s">
        <v>515</v>
      </c>
      <c r="R66" s="11" t="s">
        <v>902</v>
      </c>
      <c r="S66" s="22">
        <v>100</v>
      </c>
    </row>
    <row r="67" spans="1:19" s="32" customFormat="1" ht="81" customHeight="1">
      <c r="A67" s="5">
        <v>52</v>
      </c>
      <c r="B67" s="15" t="s">
        <v>710</v>
      </c>
      <c r="C67" s="30" t="s">
        <v>711</v>
      </c>
      <c r="D67" s="5" t="s">
        <v>723</v>
      </c>
      <c r="E67" s="57" t="s">
        <v>720</v>
      </c>
      <c r="F67" s="57" t="s">
        <v>874</v>
      </c>
      <c r="G67" s="57" t="s">
        <v>875</v>
      </c>
      <c r="H67" s="57" t="s">
        <v>876</v>
      </c>
      <c r="I67" s="57" t="s">
        <v>2085</v>
      </c>
      <c r="J67" s="57" t="s">
        <v>125</v>
      </c>
      <c r="K67" s="57" t="s">
        <v>591</v>
      </c>
      <c r="L67" s="31" t="s">
        <v>644</v>
      </c>
      <c r="M67" s="22">
        <v>1</v>
      </c>
      <c r="N67" s="46">
        <v>33482</v>
      </c>
      <c r="O67" s="49">
        <f t="shared" si="1"/>
        <v>33482</v>
      </c>
      <c r="P67" s="5" t="s">
        <v>391</v>
      </c>
      <c r="Q67" s="5" t="s">
        <v>391</v>
      </c>
      <c r="R67" s="11" t="s">
        <v>902</v>
      </c>
      <c r="S67" s="22">
        <v>100</v>
      </c>
    </row>
    <row r="68" spans="1:19" s="32" customFormat="1" ht="90" customHeight="1">
      <c r="A68" s="5">
        <v>53</v>
      </c>
      <c r="B68" s="15" t="s">
        <v>710</v>
      </c>
      <c r="C68" s="30" t="s">
        <v>711</v>
      </c>
      <c r="D68" s="5" t="s">
        <v>716</v>
      </c>
      <c r="E68" s="57" t="s">
        <v>720</v>
      </c>
      <c r="F68" s="57" t="s">
        <v>874</v>
      </c>
      <c r="G68" s="57" t="s">
        <v>877</v>
      </c>
      <c r="H68" s="57" t="s">
        <v>718</v>
      </c>
      <c r="I68" s="57" t="s">
        <v>2086</v>
      </c>
      <c r="J68" s="57" t="s">
        <v>148</v>
      </c>
      <c r="K68" s="57" t="s">
        <v>591</v>
      </c>
      <c r="L68" s="31" t="s">
        <v>644</v>
      </c>
      <c r="M68" s="22">
        <v>1</v>
      </c>
      <c r="N68" s="46">
        <v>33482</v>
      </c>
      <c r="O68" s="49">
        <f t="shared" si="1"/>
        <v>33482</v>
      </c>
      <c r="P68" s="5" t="s">
        <v>391</v>
      </c>
      <c r="Q68" s="5" t="s">
        <v>391</v>
      </c>
      <c r="R68" s="11" t="s">
        <v>902</v>
      </c>
      <c r="S68" s="22">
        <v>100</v>
      </c>
    </row>
    <row r="69" spans="1:19" s="32" customFormat="1" ht="73.5" customHeight="1">
      <c r="A69" s="5">
        <v>54</v>
      </c>
      <c r="B69" s="29" t="s">
        <v>710</v>
      </c>
      <c r="C69" s="30" t="s">
        <v>711</v>
      </c>
      <c r="D69" s="5" t="s">
        <v>754</v>
      </c>
      <c r="E69" s="57" t="s">
        <v>755</v>
      </c>
      <c r="F69" s="57" t="s">
        <v>755</v>
      </c>
      <c r="G69" s="57" t="s">
        <v>878</v>
      </c>
      <c r="H69" s="57" t="s">
        <v>879</v>
      </c>
      <c r="I69" s="57" t="s">
        <v>2121</v>
      </c>
      <c r="J69" s="57" t="s">
        <v>149</v>
      </c>
      <c r="K69" s="57" t="s">
        <v>591</v>
      </c>
      <c r="L69" s="31" t="s">
        <v>644</v>
      </c>
      <c r="M69" s="22">
        <v>1</v>
      </c>
      <c r="N69" s="46">
        <v>66964</v>
      </c>
      <c r="O69" s="49">
        <f t="shared" si="1"/>
        <v>66964</v>
      </c>
      <c r="P69" s="5" t="s">
        <v>391</v>
      </c>
      <c r="Q69" s="5" t="s">
        <v>391</v>
      </c>
      <c r="R69" s="11" t="s">
        <v>902</v>
      </c>
      <c r="S69" s="22">
        <v>100</v>
      </c>
    </row>
    <row r="70" spans="1:19" s="32" customFormat="1" ht="56.25" customHeight="1">
      <c r="A70" s="5">
        <v>55</v>
      </c>
      <c r="B70" s="15" t="s">
        <v>710</v>
      </c>
      <c r="C70" s="30" t="s">
        <v>711</v>
      </c>
      <c r="D70" s="5" t="s">
        <v>880</v>
      </c>
      <c r="E70" s="57" t="s">
        <v>881</v>
      </c>
      <c r="F70" s="57" t="s">
        <v>881</v>
      </c>
      <c r="G70" s="57" t="s">
        <v>882</v>
      </c>
      <c r="H70" s="57" t="s">
        <v>882</v>
      </c>
      <c r="I70" s="57" t="s">
        <v>979</v>
      </c>
      <c r="J70" s="57" t="s">
        <v>150</v>
      </c>
      <c r="K70" s="57" t="s">
        <v>591</v>
      </c>
      <c r="L70" s="31" t="s">
        <v>644</v>
      </c>
      <c r="M70" s="22">
        <v>1</v>
      </c>
      <c r="N70" s="46">
        <v>45089</v>
      </c>
      <c r="O70" s="49">
        <f t="shared" si="1"/>
        <v>45089</v>
      </c>
      <c r="P70" s="5" t="s">
        <v>391</v>
      </c>
      <c r="Q70" s="5" t="s">
        <v>391</v>
      </c>
      <c r="R70" s="11" t="s">
        <v>902</v>
      </c>
      <c r="S70" s="22">
        <v>100</v>
      </c>
    </row>
    <row r="71" spans="1:19" s="32" customFormat="1" ht="87" customHeight="1">
      <c r="A71" s="5">
        <v>56</v>
      </c>
      <c r="B71" s="29" t="s">
        <v>710</v>
      </c>
      <c r="C71" s="30" t="s">
        <v>711</v>
      </c>
      <c r="D71" s="5" t="s">
        <v>883</v>
      </c>
      <c r="E71" s="57" t="s">
        <v>169</v>
      </c>
      <c r="F71" s="57" t="s">
        <v>169</v>
      </c>
      <c r="G71" s="57" t="s">
        <v>885</v>
      </c>
      <c r="H71" s="57" t="s">
        <v>886</v>
      </c>
      <c r="I71" s="57" t="s">
        <v>2122</v>
      </c>
      <c r="J71" s="57" t="s">
        <v>1374</v>
      </c>
      <c r="K71" s="57" t="s">
        <v>591</v>
      </c>
      <c r="L71" s="31" t="s">
        <v>644</v>
      </c>
      <c r="M71" s="22">
        <v>10</v>
      </c>
      <c r="N71" s="46">
        <v>49107</v>
      </c>
      <c r="O71" s="49">
        <f t="shared" si="1"/>
        <v>491070</v>
      </c>
      <c r="P71" s="5" t="s">
        <v>612</v>
      </c>
      <c r="Q71" s="5" t="s">
        <v>501</v>
      </c>
      <c r="R71" s="11" t="s">
        <v>902</v>
      </c>
      <c r="S71" s="22">
        <v>30</v>
      </c>
    </row>
    <row r="72" spans="1:19" ht="178.5" outlineLevel="1">
      <c r="A72" s="5">
        <v>57</v>
      </c>
      <c r="B72" s="15" t="s">
        <v>710</v>
      </c>
      <c r="C72" s="30" t="s">
        <v>711</v>
      </c>
      <c r="D72" s="11" t="s">
        <v>2123</v>
      </c>
      <c r="E72" s="57" t="s">
        <v>2124</v>
      </c>
      <c r="F72" s="57" t="s">
        <v>1358</v>
      </c>
      <c r="G72" s="57" t="s">
        <v>1357</v>
      </c>
      <c r="H72" s="57" t="s">
        <v>1356</v>
      </c>
      <c r="I72" s="57" t="s">
        <v>2125</v>
      </c>
      <c r="J72" s="57" t="s">
        <v>151</v>
      </c>
      <c r="K72" s="57" t="s">
        <v>591</v>
      </c>
      <c r="L72" s="31" t="s">
        <v>644</v>
      </c>
      <c r="M72" s="22">
        <v>1</v>
      </c>
      <c r="N72" s="46">
        <v>319464</v>
      </c>
      <c r="O72" s="49">
        <f t="shared" si="1"/>
        <v>319464</v>
      </c>
      <c r="P72" s="5" t="s">
        <v>515</v>
      </c>
      <c r="Q72" s="5" t="s">
        <v>766</v>
      </c>
      <c r="R72" s="11" t="s">
        <v>2024</v>
      </c>
      <c r="S72" s="5">
        <v>30</v>
      </c>
    </row>
    <row r="73" spans="1:19" ht="178.5" outlineLevel="1">
      <c r="A73" s="5">
        <v>58</v>
      </c>
      <c r="B73" s="15" t="s">
        <v>710</v>
      </c>
      <c r="C73" s="30" t="s">
        <v>711</v>
      </c>
      <c r="D73" s="11" t="s">
        <v>2123</v>
      </c>
      <c r="E73" s="57" t="s">
        <v>2124</v>
      </c>
      <c r="F73" s="57" t="s">
        <v>1358</v>
      </c>
      <c r="G73" s="57" t="s">
        <v>1357</v>
      </c>
      <c r="H73" s="57" t="s">
        <v>1356</v>
      </c>
      <c r="I73" s="57" t="s">
        <v>2125</v>
      </c>
      <c r="J73" s="57" t="s">
        <v>152</v>
      </c>
      <c r="K73" s="57" t="s">
        <v>591</v>
      </c>
      <c r="L73" s="31" t="s">
        <v>644</v>
      </c>
      <c r="M73" s="22">
        <v>1</v>
      </c>
      <c r="N73" s="46">
        <v>152406</v>
      </c>
      <c r="O73" s="49">
        <f t="shared" si="1"/>
        <v>152406</v>
      </c>
      <c r="P73" s="5" t="s">
        <v>515</v>
      </c>
      <c r="Q73" s="5" t="s">
        <v>766</v>
      </c>
      <c r="R73" s="11" t="s">
        <v>2024</v>
      </c>
      <c r="S73" s="5">
        <v>30</v>
      </c>
    </row>
    <row r="74" spans="1:19" ht="63.75" outlineLevel="1">
      <c r="A74" s="5">
        <v>59</v>
      </c>
      <c r="B74" s="15" t="s">
        <v>710</v>
      </c>
      <c r="C74" s="30" t="s">
        <v>711</v>
      </c>
      <c r="D74" s="15" t="s">
        <v>716</v>
      </c>
      <c r="E74" s="57" t="s">
        <v>874</v>
      </c>
      <c r="F74" s="57" t="s">
        <v>874</v>
      </c>
      <c r="G74" s="57" t="s">
        <v>798</v>
      </c>
      <c r="H74" s="57" t="s">
        <v>764</v>
      </c>
      <c r="I74" s="57" t="s">
        <v>2087</v>
      </c>
      <c r="J74" s="57" t="s">
        <v>153</v>
      </c>
      <c r="K74" s="57" t="s">
        <v>591</v>
      </c>
      <c r="L74" s="31" t="s">
        <v>644</v>
      </c>
      <c r="M74" s="22">
        <v>3</v>
      </c>
      <c r="N74" s="46">
        <v>56227</v>
      </c>
      <c r="O74" s="49">
        <f t="shared" si="1"/>
        <v>168681</v>
      </c>
      <c r="P74" s="5" t="s">
        <v>612</v>
      </c>
      <c r="Q74" s="5" t="s">
        <v>766</v>
      </c>
      <c r="R74" s="11" t="s">
        <v>2024</v>
      </c>
      <c r="S74" s="5">
        <v>30</v>
      </c>
    </row>
    <row r="75" spans="1:19" ht="102" outlineLevel="1">
      <c r="A75" s="5">
        <v>60</v>
      </c>
      <c r="B75" s="15" t="s">
        <v>710</v>
      </c>
      <c r="C75" s="30" t="s">
        <v>711</v>
      </c>
      <c r="D75" s="15" t="s">
        <v>716</v>
      </c>
      <c r="E75" s="57" t="s">
        <v>874</v>
      </c>
      <c r="F75" s="57" t="s">
        <v>874</v>
      </c>
      <c r="G75" s="57" t="s">
        <v>877</v>
      </c>
      <c r="H75" s="57" t="s">
        <v>718</v>
      </c>
      <c r="I75" s="57" t="s">
        <v>2088</v>
      </c>
      <c r="J75" s="57" t="s">
        <v>154</v>
      </c>
      <c r="K75" s="57" t="s">
        <v>591</v>
      </c>
      <c r="L75" s="31" t="s">
        <v>644</v>
      </c>
      <c r="M75" s="22">
        <v>1</v>
      </c>
      <c r="N75" s="46">
        <v>41523</v>
      </c>
      <c r="O75" s="49">
        <f t="shared" si="1"/>
        <v>41523</v>
      </c>
      <c r="P75" s="5" t="s">
        <v>515</v>
      </c>
      <c r="Q75" s="5" t="s">
        <v>766</v>
      </c>
      <c r="R75" s="11" t="s">
        <v>2024</v>
      </c>
      <c r="S75" s="5">
        <v>30</v>
      </c>
    </row>
    <row r="76" spans="1:19" ht="76.5" outlineLevel="1">
      <c r="A76" s="5">
        <v>61</v>
      </c>
      <c r="B76" s="29" t="s">
        <v>710</v>
      </c>
      <c r="C76" s="30" t="s">
        <v>711</v>
      </c>
      <c r="D76" s="15" t="s">
        <v>729</v>
      </c>
      <c r="E76" s="57" t="s">
        <v>730</v>
      </c>
      <c r="F76" s="57" t="s">
        <v>731</v>
      </c>
      <c r="G76" s="57" t="s">
        <v>873</v>
      </c>
      <c r="H76" s="57" t="s">
        <v>733</v>
      </c>
      <c r="I76" s="57" t="s">
        <v>2128</v>
      </c>
      <c r="J76" s="57" t="s">
        <v>1359</v>
      </c>
      <c r="K76" s="57" t="s">
        <v>591</v>
      </c>
      <c r="L76" s="31" t="s">
        <v>644</v>
      </c>
      <c r="M76" s="22">
        <v>1</v>
      </c>
      <c r="N76" s="46">
        <v>46647</v>
      </c>
      <c r="O76" s="49">
        <f t="shared" si="1"/>
        <v>46647</v>
      </c>
      <c r="P76" s="5" t="s">
        <v>515</v>
      </c>
      <c r="Q76" s="5" t="s">
        <v>766</v>
      </c>
      <c r="R76" s="11" t="s">
        <v>2024</v>
      </c>
      <c r="S76" s="5">
        <v>30</v>
      </c>
    </row>
    <row r="77" spans="1:19" ht="51" outlineLevel="1">
      <c r="A77" s="5">
        <v>62</v>
      </c>
      <c r="B77" s="15" t="s">
        <v>710</v>
      </c>
      <c r="C77" s="30" t="s">
        <v>711</v>
      </c>
      <c r="D77" s="15" t="s">
        <v>1360</v>
      </c>
      <c r="E77" s="57" t="s">
        <v>2129</v>
      </c>
      <c r="F77" s="57" t="s">
        <v>2130</v>
      </c>
      <c r="G77" s="57" t="s">
        <v>2131</v>
      </c>
      <c r="H77" s="57" t="s">
        <v>2132</v>
      </c>
      <c r="I77" s="57" t="s">
        <v>2133</v>
      </c>
      <c r="J77" s="57" t="s">
        <v>155</v>
      </c>
      <c r="K77" s="57" t="s">
        <v>591</v>
      </c>
      <c r="L77" s="31" t="s">
        <v>644</v>
      </c>
      <c r="M77" s="22">
        <v>1</v>
      </c>
      <c r="N77" s="46">
        <v>177287</v>
      </c>
      <c r="O77" s="49">
        <f t="shared" si="1"/>
        <v>177287</v>
      </c>
      <c r="P77" s="5" t="s">
        <v>515</v>
      </c>
      <c r="Q77" s="5" t="s">
        <v>766</v>
      </c>
      <c r="R77" s="11" t="s">
        <v>2024</v>
      </c>
      <c r="S77" s="5">
        <v>30</v>
      </c>
    </row>
    <row r="78" spans="1:19" ht="51" outlineLevel="1">
      <c r="A78" s="5">
        <v>63</v>
      </c>
      <c r="B78" s="29" t="s">
        <v>710</v>
      </c>
      <c r="C78" s="30" t="s">
        <v>711</v>
      </c>
      <c r="D78" s="5" t="s">
        <v>1375</v>
      </c>
      <c r="E78" s="57" t="s">
        <v>156</v>
      </c>
      <c r="F78" s="57" t="s">
        <v>156</v>
      </c>
      <c r="G78" s="57" t="s">
        <v>2134</v>
      </c>
      <c r="H78" s="57" t="s">
        <v>2135</v>
      </c>
      <c r="I78" s="57" t="s">
        <v>156</v>
      </c>
      <c r="J78" s="57" t="s">
        <v>156</v>
      </c>
      <c r="K78" s="57" t="s">
        <v>591</v>
      </c>
      <c r="L78" s="31" t="s">
        <v>644</v>
      </c>
      <c r="M78" s="22">
        <v>1</v>
      </c>
      <c r="N78" s="46">
        <v>49234</v>
      </c>
      <c r="O78" s="49">
        <f t="shared" si="1"/>
        <v>49234</v>
      </c>
      <c r="P78" s="5" t="s">
        <v>588</v>
      </c>
      <c r="Q78" s="5" t="s">
        <v>766</v>
      </c>
      <c r="R78" s="11" t="s">
        <v>2024</v>
      </c>
      <c r="S78" s="5">
        <v>30</v>
      </c>
    </row>
    <row r="79" spans="1:19" ht="51" outlineLevel="1">
      <c r="A79" s="5">
        <v>64</v>
      </c>
      <c r="B79" s="15" t="s">
        <v>710</v>
      </c>
      <c r="C79" s="30" t="s">
        <v>711</v>
      </c>
      <c r="D79" s="5" t="s">
        <v>2136</v>
      </c>
      <c r="E79" s="57" t="s">
        <v>2139</v>
      </c>
      <c r="F79" s="57" t="s">
        <v>2137</v>
      </c>
      <c r="G79" s="57" t="s">
        <v>2140</v>
      </c>
      <c r="H79" s="57" t="s">
        <v>2138</v>
      </c>
      <c r="I79" s="57" t="s">
        <v>2141</v>
      </c>
      <c r="J79" s="57" t="s">
        <v>157</v>
      </c>
      <c r="K79" s="57" t="s">
        <v>591</v>
      </c>
      <c r="L79" s="31" t="s">
        <v>644</v>
      </c>
      <c r="M79" s="22">
        <v>1</v>
      </c>
      <c r="N79" s="46">
        <v>43005</v>
      </c>
      <c r="O79" s="49">
        <f t="shared" si="1"/>
        <v>43005</v>
      </c>
      <c r="P79" s="5" t="s">
        <v>698</v>
      </c>
      <c r="Q79" s="5" t="s">
        <v>766</v>
      </c>
      <c r="R79" s="11" t="s">
        <v>2024</v>
      </c>
      <c r="S79" s="5">
        <v>30</v>
      </c>
    </row>
    <row r="80" spans="1:19" ht="51" outlineLevel="1">
      <c r="A80" s="5">
        <v>65</v>
      </c>
      <c r="B80" s="15" t="s">
        <v>710</v>
      </c>
      <c r="C80" s="30" t="s">
        <v>711</v>
      </c>
      <c r="D80" s="15" t="s">
        <v>1361</v>
      </c>
      <c r="E80" s="57" t="s">
        <v>2080</v>
      </c>
      <c r="F80" s="57" t="s">
        <v>1053</v>
      </c>
      <c r="G80" s="57" t="s">
        <v>2084</v>
      </c>
      <c r="H80" s="57" t="s">
        <v>1362</v>
      </c>
      <c r="I80" s="57" t="s">
        <v>2080</v>
      </c>
      <c r="J80" s="57" t="s">
        <v>158</v>
      </c>
      <c r="K80" s="57" t="s">
        <v>591</v>
      </c>
      <c r="L80" s="31" t="s">
        <v>644</v>
      </c>
      <c r="M80" s="22">
        <v>1</v>
      </c>
      <c r="N80" s="46">
        <v>77666</v>
      </c>
      <c r="O80" s="49">
        <f t="shared" si="1"/>
        <v>77666</v>
      </c>
      <c r="P80" s="5" t="s">
        <v>515</v>
      </c>
      <c r="Q80" s="5" t="s">
        <v>766</v>
      </c>
      <c r="R80" s="11" t="s">
        <v>2024</v>
      </c>
      <c r="S80" s="5">
        <v>30</v>
      </c>
    </row>
    <row r="81" spans="1:19" ht="63.75" customHeight="1" outlineLevel="1">
      <c r="A81" s="5">
        <v>66</v>
      </c>
      <c r="B81" s="29" t="s">
        <v>710</v>
      </c>
      <c r="C81" s="30" t="s">
        <v>711</v>
      </c>
      <c r="D81" s="11" t="s">
        <v>712</v>
      </c>
      <c r="E81" s="57" t="s">
        <v>730</v>
      </c>
      <c r="F81" s="57" t="s">
        <v>731</v>
      </c>
      <c r="G81" s="57" t="s">
        <v>713</v>
      </c>
      <c r="H81" s="57" t="s">
        <v>714</v>
      </c>
      <c r="I81" s="57" t="s">
        <v>2142</v>
      </c>
      <c r="J81" s="57" t="s">
        <v>345</v>
      </c>
      <c r="K81" s="57" t="s">
        <v>591</v>
      </c>
      <c r="L81" s="31" t="s">
        <v>644</v>
      </c>
      <c r="M81" s="22">
        <v>1</v>
      </c>
      <c r="N81" s="46">
        <v>101295</v>
      </c>
      <c r="O81" s="49">
        <f t="shared" si="1"/>
        <v>101295</v>
      </c>
      <c r="P81" s="5" t="s">
        <v>391</v>
      </c>
      <c r="Q81" s="5" t="s">
        <v>515</v>
      </c>
      <c r="R81" s="11" t="s">
        <v>715</v>
      </c>
      <c r="S81" s="5">
        <v>50</v>
      </c>
    </row>
    <row r="82" spans="1:19" ht="69.75" customHeight="1" outlineLevel="1">
      <c r="A82" s="5">
        <v>67</v>
      </c>
      <c r="B82" s="29" t="s">
        <v>710</v>
      </c>
      <c r="C82" s="30" t="s">
        <v>711</v>
      </c>
      <c r="D82" s="11" t="s">
        <v>716</v>
      </c>
      <c r="E82" s="57" t="s">
        <v>874</v>
      </c>
      <c r="F82" s="57" t="s">
        <v>874</v>
      </c>
      <c r="G82" s="57" t="s">
        <v>717</v>
      </c>
      <c r="H82" s="57" t="s">
        <v>718</v>
      </c>
      <c r="I82" s="57" t="s">
        <v>2089</v>
      </c>
      <c r="J82" s="57" t="s">
        <v>159</v>
      </c>
      <c r="K82" s="57" t="s">
        <v>591</v>
      </c>
      <c r="L82" s="31" t="s">
        <v>644</v>
      </c>
      <c r="M82" s="22">
        <v>6</v>
      </c>
      <c r="N82" s="46">
        <v>33036</v>
      </c>
      <c r="O82" s="49">
        <f t="shared" si="1"/>
        <v>198216</v>
      </c>
      <c r="P82" s="5" t="s">
        <v>391</v>
      </c>
      <c r="Q82" s="5" t="s">
        <v>515</v>
      </c>
      <c r="R82" s="11" t="s">
        <v>715</v>
      </c>
      <c r="S82" s="5">
        <v>50</v>
      </c>
    </row>
    <row r="83" spans="1:19" ht="114.75" outlineLevel="1">
      <c r="A83" s="5">
        <v>68</v>
      </c>
      <c r="B83" s="29" t="s">
        <v>710</v>
      </c>
      <c r="C83" s="30" t="s">
        <v>711</v>
      </c>
      <c r="D83" s="11" t="s">
        <v>719</v>
      </c>
      <c r="E83" s="57" t="s">
        <v>2090</v>
      </c>
      <c r="F83" s="57" t="s">
        <v>160</v>
      </c>
      <c r="G83" s="57" t="s">
        <v>721</v>
      </c>
      <c r="H83" s="57" t="s">
        <v>722</v>
      </c>
      <c r="I83" s="57" t="s">
        <v>2090</v>
      </c>
      <c r="J83" s="57" t="s">
        <v>160</v>
      </c>
      <c r="K83" s="57" t="s">
        <v>591</v>
      </c>
      <c r="L83" s="31" t="s">
        <v>644</v>
      </c>
      <c r="M83" s="22">
        <v>6</v>
      </c>
      <c r="N83" s="46">
        <v>43750</v>
      </c>
      <c r="O83" s="49">
        <f t="shared" si="1"/>
        <v>262500</v>
      </c>
      <c r="P83" s="5" t="s">
        <v>391</v>
      </c>
      <c r="Q83" s="5" t="s">
        <v>515</v>
      </c>
      <c r="R83" s="11" t="s">
        <v>715</v>
      </c>
      <c r="S83" s="5">
        <v>50</v>
      </c>
    </row>
    <row r="84" spans="1:19" ht="89.25" outlineLevel="1">
      <c r="A84" s="5">
        <v>69</v>
      </c>
      <c r="B84" s="29" t="s">
        <v>710</v>
      </c>
      <c r="C84" s="30" t="s">
        <v>711</v>
      </c>
      <c r="D84" s="11" t="s">
        <v>723</v>
      </c>
      <c r="E84" s="57" t="s">
        <v>720</v>
      </c>
      <c r="F84" s="57" t="s">
        <v>720</v>
      </c>
      <c r="G84" s="57" t="s">
        <v>724</v>
      </c>
      <c r="H84" s="57" t="s">
        <v>725</v>
      </c>
      <c r="I84" s="57" t="s">
        <v>2085</v>
      </c>
      <c r="J84" s="57" t="s">
        <v>125</v>
      </c>
      <c r="K84" s="57" t="s">
        <v>591</v>
      </c>
      <c r="L84" s="31" t="s">
        <v>644</v>
      </c>
      <c r="M84" s="22">
        <v>4</v>
      </c>
      <c r="N84" s="46">
        <v>26786</v>
      </c>
      <c r="O84" s="49">
        <f t="shared" si="1"/>
        <v>107144</v>
      </c>
      <c r="P84" s="5" t="s">
        <v>391</v>
      </c>
      <c r="Q84" s="5" t="s">
        <v>515</v>
      </c>
      <c r="R84" s="11" t="s">
        <v>715</v>
      </c>
      <c r="S84" s="5">
        <v>50</v>
      </c>
    </row>
    <row r="85" spans="1:19" ht="41.25" customHeight="1" outlineLevel="1">
      <c r="A85" s="5">
        <v>70</v>
      </c>
      <c r="B85" s="29" t="s">
        <v>710</v>
      </c>
      <c r="C85" s="30" t="s">
        <v>711</v>
      </c>
      <c r="D85" s="15" t="s">
        <v>726</v>
      </c>
      <c r="E85" s="57" t="s">
        <v>720</v>
      </c>
      <c r="F85" s="57" t="s">
        <v>720</v>
      </c>
      <c r="G85" s="57" t="s">
        <v>727</v>
      </c>
      <c r="H85" s="57" t="s">
        <v>728</v>
      </c>
      <c r="I85" s="57" t="s">
        <v>2091</v>
      </c>
      <c r="J85" s="57" t="s">
        <v>1</v>
      </c>
      <c r="K85" s="57" t="s">
        <v>591</v>
      </c>
      <c r="L85" s="31" t="s">
        <v>644</v>
      </c>
      <c r="M85" s="22">
        <v>4</v>
      </c>
      <c r="N85" s="46">
        <v>49107</v>
      </c>
      <c r="O85" s="49">
        <f t="shared" si="1"/>
        <v>196428</v>
      </c>
      <c r="P85" s="5" t="s">
        <v>391</v>
      </c>
      <c r="Q85" s="5" t="s">
        <v>515</v>
      </c>
      <c r="R85" s="11" t="s">
        <v>715</v>
      </c>
      <c r="S85" s="5">
        <v>50</v>
      </c>
    </row>
    <row r="86" spans="1:19" ht="54.75" customHeight="1" outlineLevel="1">
      <c r="A86" s="5">
        <v>71</v>
      </c>
      <c r="B86" s="29" t="s">
        <v>710</v>
      </c>
      <c r="C86" s="30" t="s">
        <v>711</v>
      </c>
      <c r="D86" s="11" t="s">
        <v>729</v>
      </c>
      <c r="E86" s="57" t="s">
        <v>730</v>
      </c>
      <c r="F86" s="57" t="s">
        <v>731</v>
      </c>
      <c r="G86" s="57" t="s">
        <v>732</v>
      </c>
      <c r="H86" s="57" t="s">
        <v>733</v>
      </c>
      <c r="I86" s="57" t="s">
        <v>2143</v>
      </c>
      <c r="J86" s="57" t="s">
        <v>161</v>
      </c>
      <c r="K86" s="57" t="s">
        <v>591</v>
      </c>
      <c r="L86" s="31" t="s">
        <v>644</v>
      </c>
      <c r="M86" s="22">
        <v>4</v>
      </c>
      <c r="N86" s="46">
        <v>22321</v>
      </c>
      <c r="O86" s="49">
        <f t="shared" si="1"/>
        <v>89284</v>
      </c>
      <c r="P86" s="5" t="s">
        <v>391</v>
      </c>
      <c r="Q86" s="5" t="s">
        <v>515</v>
      </c>
      <c r="R86" s="11" t="s">
        <v>715</v>
      </c>
      <c r="S86" s="5">
        <v>50</v>
      </c>
    </row>
    <row r="87" spans="1:19" ht="48.75" customHeight="1" outlineLevel="1">
      <c r="A87" s="5">
        <v>72</v>
      </c>
      <c r="B87" s="29" t="s">
        <v>710</v>
      </c>
      <c r="C87" s="30" t="s">
        <v>711</v>
      </c>
      <c r="D87" s="11" t="s">
        <v>734</v>
      </c>
      <c r="E87" s="57" t="s">
        <v>2145</v>
      </c>
      <c r="F87" s="57" t="s">
        <v>2144</v>
      </c>
      <c r="G87" s="57" t="s">
        <v>735</v>
      </c>
      <c r="H87" s="57" t="s">
        <v>736</v>
      </c>
      <c r="I87" s="57" t="s">
        <v>2145</v>
      </c>
      <c r="J87" s="57" t="s">
        <v>2144</v>
      </c>
      <c r="K87" s="57" t="s">
        <v>591</v>
      </c>
      <c r="L87" s="31" t="s">
        <v>644</v>
      </c>
      <c r="M87" s="22">
        <v>4</v>
      </c>
      <c r="N87" s="46">
        <v>25000</v>
      </c>
      <c r="O87" s="49">
        <f t="shared" si="1"/>
        <v>100000</v>
      </c>
      <c r="P87" s="5" t="s">
        <v>391</v>
      </c>
      <c r="Q87" s="5" t="s">
        <v>515</v>
      </c>
      <c r="R87" s="11" t="s">
        <v>715</v>
      </c>
      <c r="S87" s="5">
        <v>50</v>
      </c>
    </row>
    <row r="88" spans="1:19" ht="25.5" outlineLevel="1">
      <c r="A88" s="5">
        <v>73</v>
      </c>
      <c r="B88" s="29" t="s">
        <v>710</v>
      </c>
      <c r="C88" s="30" t="s">
        <v>711</v>
      </c>
      <c r="D88" s="11" t="s">
        <v>737</v>
      </c>
      <c r="E88" s="57" t="s">
        <v>730</v>
      </c>
      <c r="F88" s="57" t="s">
        <v>731</v>
      </c>
      <c r="G88" s="57" t="s">
        <v>738</v>
      </c>
      <c r="H88" s="57" t="s">
        <v>739</v>
      </c>
      <c r="I88" s="57" t="s">
        <v>2146</v>
      </c>
      <c r="J88" s="57" t="s">
        <v>162</v>
      </c>
      <c r="K88" s="57" t="s">
        <v>591</v>
      </c>
      <c r="L88" s="31" t="s">
        <v>644</v>
      </c>
      <c r="M88" s="22">
        <v>1</v>
      </c>
      <c r="N88" s="46">
        <v>13393</v>
      </c>
      <c r="O88" s="49">
        <f t="shared" ref="O88:O151" si="3">M88*N88</f>
        <v>13393</v>
      </c>
      <c r="P88" s="5" t="s">
        <v>515</v>
      </c>
      <c r="Q88" s="5" t="s">
        <v>612</v>
      </c>
      <c r="R88" s="11" t="s">
        <v>715</v>
      </c>
      <c r="S88" s="5">
        <v>50</v>
      </c>
    </row>
    <row r="89" spans="1:19" ht="44.25" customHeight="1" outlineLevel="1">
      <c r="A89" s="5">
        <v>74</v>
      </c>
      <c r="B89" s="29" t="s">
        <v>710</v>
      </c>
      <c r="C89" s="30" t="s">
        <v>711</v>
      </c>
      <c r="D89" s="11" t="s">
        <v>740</v>
      </c>
      <c r="E89" s="57" t="s">
        <v>741</v>
      </c>
      <c r="F89" s="57" t="s">
        <v>163</v>
      </c>
      <c r="G89" s="57" t="s">
        <v>742</v>
      </c>
      <c r="H89" s="57" t="s">
        <v>743</v>
      </c>
      <c r="I89" s="57" t="s">
        <v>741</v>
      </c>
      <c r="J89" s="57" t="s">
        <v>163</v>
      </c>
      <c r="K89" s="57" t="s">
        <v>591</v>
      </c>
      <c r="L89" s="31" t="s">
        <v>644</v>
      </c>
      <c r="M89" s="22">
        <v>3</v>
      </c>
      <c r="N89" s="46">
        <v>3571</v>
      </c>
      <c r="O89" s="49">
        <f t="shared" si="3"/>
        <v>10713</v>
      </c>
      <c r="P89" s="5" t="s">
        <v>515</v>
      </c>
      <c r="Q89" s="5" t="s">
        <v>612</v>
      </c>
      <c r="R89" s="11" t="s">
        <v>715</v>
      </c>
      <c r="S89" s="5">
        <v>50</v>
      </c>
    </row>
    <row r="90" spans="1:19" ht="51.75" customHeight="1" outlineLevel="1">
      <c r="A90" s="5">
        <v>75</v>
      </c>
      <c r="B90" s="29" t="s">
        <v>710</v>
      </c>
      <c r="C90" s="30" t="s">
        <v>711</v>
      </c>
      <c r="D90" s="15" t="s">
        <v>744</v>
      </c>
      <c r="E90" s="57" t="s">
        <v>745</v>
      </c>
      <c r="F90" s="57" t="s">
        <v>109</v>
      </c>
      <c r="G90" s="57" t="s">
        <v>746</v>
      </c>
      <c r="H90" s="57" t="s">
        <v>747</v>
      </c>
      <c r="I90" s="57" t="s">
        <v>2147</v>
      </c>
      <c r="J90" s="57" t="s">
        <v>164</v>
      </c>
      <c r="K90" s="57" t="s">
        <v>591</v>
      </c>
      <c r="L90" s="31" t="s">
        <v>644</v>
      </c>
      <c r="M90" s="22">
        <v>10</v>
      </c>
      <c r="N90" s="46">
        <v>3571</v>
      </c>
      <c r="O90" s="49">
        <f t="shared" si="3"/>
        <v>35710</v>
      </c>
      <c r="P90" s="5" t="s">
        <v>391</v>
      </c>
      <c r="Q90" s="5" t="s">
        <v>515</v>
      </c>
      <c r="R90" s="11" t="s">
        <v>715</v>
      </c>
      <c r="S90" s="5">
        <v>50</v>
      </c>
    </row>
    <row r="91" spans="1:19" ht="60.75" customHeight="1" outlineLevel="1">
      <c r="A91" s="5">
        <v>76</v>
      </c>
      <c r="B91" s="29" t="s">
        <v>710</v>
      </c>
      <c r="C91" s="30" t="s">
        <v>711</v>
      </c>
      <c r="D91" s="10" t="s">
        <v>748</v>
      </c>
      <c r="E91" s="57" t="s">
        <v>749</v>
      </c>
      <c r="F91" s="57" t="s">
        <v>749</v>
      </c>
      <c r="G91" s="57" t="s">
        <v>750</v>
      </c>
      <c r="H91" s="57" t="s">
        <v>751</v>
      </c>
      <c r="I91" s="57" t="s">
        <v>2148</v>
      </c>
      <c r="J91" s="57" t="s">
        <v>165</v>
      </c>
      <c r="K91" s="57" t="s">
        <v>591</v>
      </c>
      <c r="L91" s="31" t="s">
        <v>644</v>
      </c>
      <c r="M91" s="22">
        <v>13</v>
      </c>
      <c r="N91" s="46">
        <v>10714</v>
      </c>
      <c r="O91" s="49">
        <f t="shared" si="3"/>
        <v>139282</v>
      </c>
      <c r="P91" s="5" t="s">
        <v>391</v>
      </c>
      <c r="Q91" s="5" t="s">
        <v>515</v>
      </c>
      <c r="R91" s="11" t="s">
        <v>715</v>
      </c>
      <c r="S91" s="5">
        <v>50</v>
      </c>
    </row>
    <row r="92" spans="1:19" ht="69.75" customHeight="1" outlineLevel="1">
      <c r="A92" s="5">
        <v>77</v>
      </c>
      <c r="B92" s="29" t="s">
        <v>710</v>
      </c>
      <c r="C92" s="30" t="s">
        <v>711</v>
      </c>
      <c r="D92" s="10" t="s">
        <v>748</v>
      </c>
      <c r="E92" s="57" t="s">
        <v>749</v>
      </c>
      <c r="F92" s="57" t="s">
        <v>749</v>
      </c>
      <c r="G92" s="57" t="s">
        <v>752</v>
      </c>
      <c r="H92" s="57" t="s">
        <v>753</v>
      </c>
      <c r="I92" s="57" t="s">
        <v>2149</v>
      </c>
      <c r="J92" s="57" t="s">
        <v>166</v>
      </c>
      <c r="K92" s="57" t="s">
        <v>591</v>
      </c>
      <c r="L92" s="31" t="s">
        <v>644</v>
      </c>
      <c r="M92" s="22">
        <v>15</v>
      </c>
      <c r="N92" s="46">
        <v>17857</v>
      </c>
      <c r="O92" s="49">
        <f t="shared" si="3"/>
        <v>267855</v>
      </c>
      <c r="P92" s="5" t="s">
        <v>515</v>
      </c>
      <c r="Q92" s="5" t="s">
        <v>612</v>
      </c>
      <c r="R92" s="11" t="s">
        <v>715</v>
      </c>
      <c r="S92" s="5">
        <v>50</v>
      </c>
    </row>
    <row r="93" spans="1:19" ht="42.75" customHeight="1" outlineLevel="1">
      <c r="A93" s="5">
        <v>78</v>
      </c>
      <c r="B93" s="29" t="s">
        <v>710</v>
      </c>
      <c r="C93" s="30" t="s">
        <v>711</v>
      </c>
      <c r="D93" s="33" t="s">
        <v>754</v>
      </c>
      <c r="E93" s="57" t="s">
        <v>755</v>
      </c>
      <c r="F93" s="57" t="s">
        <v>755</v>
      </c>
      <c r="G93" s="57" t="s">
        <v>756</v>
      </c>
      <c r="H93" s="57" t="s">
        <v>757</v>
      </c>
      <c r="I93" s="57" t="s">
        <v>2150</v>
      </c>
      <c r="J93" s="57" t="s">
        <v>167</v>
      </c>
      <c r="K93" s="57" t="s">
        <v>591</v>
      </c>
      <c r="L93" s="31" t="s">
        <v>644</v>
      </c>
      <c r="M93" s="22">
        <v>2</v>
      </c>
      <c r="N93" s="46">
        <v>45179</v>
      </c>
      <c r="O93" s="49">
        <f t="shared" si="3"/>
        <v>90358</v>
      </c>
      <c r="P93" s="5" t="s">
        <v>515</v>
      </c>
      <c r="Q93" s="5" t="s">
        <v>612</v>
      </c>
      <c r="R93" s="11" t="s">
        <v>715</v>
      </c>
      <c r="S93" s="5">
        <v>50</v>
      </c>
    </row>
    <row r="94" spans="1:19" ht="63.75" outlineLevel="1">
      <c r="A94" s="5">
        <v>79</v>
      </c>
      <c r="B94" s="29" t="s">
        <v>710</v>
      </c>
      <c r="C94" s="30" t="s">
        <v>711</v>
      </c>
      <c r="D94" s="10" t="s">
        <v>758</v>
      </c>
      <c r="E94" s="57" t="s">
        <v>169</v>
      </c>
      <c r="F94" s="57" t="s">
        <v>169</v>
      </c>
      <c r="G94" s="57" t="s">
        <v>759</v>
      </c>
      <c r="H94" s="57" t="s">
        <v>760</v>
      </c>
      <c r="I94" s="57" t="s">
        <v>2151</v>
      </c>
      <c r="J94" s="57" t="s">
        <v>168</v>
      </c>
      <c r="K94" s="57" t="s">
        <v>591</v>
      </c>
      <c r="L94" s="31" t="s">
        <v>644</v>
      </c>
      <c r="M94" s="22">
        <v>1</v>
      </c>
      <c r="N94" s="46">
        <v>204464</v>
      </c>
      <c r="O94" s="49">
        <f t="shared" si="3"/>
        <v>204464</v>
      </c>
      <c r="P94" s="5" t="s">
        <v>501</v>
      </c>
      <c r="Q94" s="5" t="s">
        <v>502</v>
      </c>
      <c r="R94" s="11" t="s">
        <v>715</v>
      </c>
      <c r="S94" s="5">
        <v>50</v>
      </c>
    </row>
    <row r="95" spans="1:19" ht="63.75" outlineLevel="1">
      <c r="A95" s="5">
        <v>80</v>
      </c>
      <c r="B95" s="29" t="s">
        <v>710</v>
      </c>
      <c r="C95" s="30" t="s">
        <v>711</v>
      </c>
      <c r="D95" s="10" t="s">
        <v>758</v>
      </c>
      <c r="E95" s="57" t="s">
        <v>169</v>
      </c>
      <c r="F95" s="57" t="s">
        <v>169</v>
      </c>
      <c r="G95" s="57" t="s">
        <v>761</v>
      </c>
      <c r="H95" s="57" t="s">
        <v>762</v>
      </c>
      <c r="I95" s="57" t="s">
        <v>169</v>
      </c>
      <c r="J95" s="57" t="s">
        <v>169</v>
      </c>
      <c r="K95" s="57" t="s">
        <v>591</v>
      </c>
      <c r="L95" s="31" t="s">
        <v>644</v>
      </c>
      <c r="M95" s="22">
        <v>5</v>
      </c>
      <c r="N95" s="46">
        <v>62411</v>
      </c>
      <c r="O95" s="49">
        <f t="shared" si="3"/>
        <v>312055</v>
      </c>
      <c r="P95" s="5" t="s">
        <v>501</v>
      </c>
      <c r="Q95" s="5" t="s">
        <v>502</v>
      </c>
      <c r="R95" s="11" t="s">
        <v>715</v>
      </c>
      <c r="S95" s="5">
        <v>50</v>
      </c>
    </row>
    <row r="96" spans="1:19" ht="63.75" outlineLevel="1">
      <c r="A96" s="5">
        <v>81</v>
      </c>
      <c r="B96" s="29" t="s">
        <v>710</v>
      </c>
      <c r="C96" s="30" t="s">
        <v>711</v>
      </c>
      <c r="D96" s="10" t="s">
        <v>758</v>
      </c>
      <c r="E96" s="57" t="s">
        <v>169</v>
      </c>
      <c r="F96" s="57" t="s">
        <v>169</v>
      </c>
      <c r="G96" s="57" t="s">
        <v>761</v>
      </c>
      <c r="H96" s="57" t="s">
        <v>762</v>
      </c>
      <c r="I96" s="57" t="s">
        <v>175</v>
      </c>
      <c r="J96" s="57" t="s">
        <v>175</v>
      </c>
      <c r="K96" s="57" t="s">
        <v>591</v>
      </c>
      <c r="L96" s="31" t="s">
        <v>644</v>
      </c>
      <c r="M96" s="22">
        <v>1</v>
      </c>
      <c r="N96" s="46">
        <v>107143</v>
      </c>
      <c r="O96" s="49">
        <f t="shared" si="3"/>
        <v>107143</v>
      </c>
      <c r="P96" s="5" t="s">
        <v>501</v>
      </c>
      <c r="Q96" s="5" t="s">
        <v>502</v>
      </c>
      <c r="R96" s="11" t="s">
        <v>715</v>
      </c>
      <c r="S96" s="5">
        <v>50</v>
      </c>
    </row>
    <row r="97" spans="1:19" ht="61.5" customHeight="1" outlineLevel="1">
      <c r="A97" s="5">
        <v>82</v>
      </c>
      <c r="B97" s="29" t="s">
        <v>710</v>
      </c>
      <c r="C97" s="30" t="s">
        <v>711</v>
      </c>
      <c r="D97" s="15" t="s">
        <v>763</v>
      </c>
      <c r="E97" s="57" t="s">
        <v>797</v>
      </c>
      <c r="F97" s="57" t="s">
        <v>797</v>
      </c>
      <c r="G97" s="57" t="s">
        <v>798</v>
      </c>
      <c r="H97" s="57" t="s">
        <v>764</v>
      </c>
      <c r="I97" s="57" t="s">
        <v>2152</v>
      </c>
      <c r="J97" s="57" t="s">
        <v>146</v>
      </c>
      <c r="K97" s="57" t="s">
        <v>591</v>
      </c>
      <c r="L97" s="31" t="s">
        <v>644</v>
      </c>
      <c r="M97" s="22">
        <v>5</v>
      </c>
      <c r="N97" s="46">
        <v>25000</v>
      </c>
      <c r="O97" s="49">
        <f t="shared" si="3"/>
        <v>125000</v>
      </c>
      <c r="P97" s="5" t="s">
        <v>612</v>
      </c>
      <c r="Q97" s="5" t="s">
        <v>501</v>
      </c>
      <c r="R97" s="11" t="s">
        <v>715</v>
      </c>
      <c r="S97" s="5">
        <v>50</v>
      </c>
    </row>
    <row r="98" spans="1:19" ht="114.75" outlineLevel="1">
      <c r="A98" s="5">
        <v>83</v>
      </c>
      <c r="B98" s="29" t="s">
        <v>710</v>
      </c>
      <c r="C98" s="30" t="s">
        <v>711</v>
      </c>
      <c r="D98" s="5" t="s">
        <v>785</v>
      </c>
      <c r="E98" s="57" t="s">
        <v>749</v>
      </c>
      <c r="F98" s="57" t="s">
        <v>749</v>
      </c>
      <c r="G98" s="57" t="s">
        <v>786</v>
      </c>
      <c r="H98" s="57" t="s">
        <v>787</v>
      </c>
      <c r="I98" s="57" t="s">
        <v>788</v>
      </c>
      <c r="J98" s="57" t="s">
        <v>145</v>
      </c>
      <c r="K98" s="57" t="s">
        <v>591</v>
      </c>
      <c r="L98" s="31" t="s">
        <v>644</v>
      </c>
      <c r="M98" s="22">
        <v>5</v>
      </c>
      <c r="N98" s="46">
        <v>13839</v>
      </c>
      <c r="O98" s="49">
        <f t="shared" si="3"/>
        <v>69195</v>
      </c>
      <c r="P98" s="5" t="s">
        <v>515</v>
      </c>
      <c r="Q98" s="14" t="s">
        <v>1474</v>
      </c>
      <c r="R98" s="11" t="s">
        <v>789</v>
      </c>
      <c r="S98" s="5">
        <v>100</v>
      </c>
    </row>
    <row r="99" spans="1:19" ht="63.75" outlineLevel="1">
      <c r="A99" s="5">
        <v>84</v>
      </c>
      <c r="B99" s="29" t="s">
        <v>710</v>
      </c>
      <c r="C99" s="30" t="s">
        <v>711</v>
      </c>
      <c r="D99" s="5" t="s">
        <v>790</v>
      </c>
      <c r="E99" s="57" t="s">
        <v>749</v>
      </c>
      <c r="F99" s="57" t="s">
        <v>749</v>
      </c>
      <c r="G99" s="57" t="s">
        <v>791</v>
      </c>
      <c r="H99" s="57" t="s">
        <v>792</v>
      </c>
      <c r="I99" s="57" t="s">
        <v>793</v>
      </c>
      <c r="J99" s="57" t="s">
        <v>170</v>
      </c>
      <c r="K99" s="57" t="s">
        <v>591</v>
      </c>
      <c r="L99" s="31" t="s">
        <v>644</v>
      </c>
      <c r="M99" s="22">
        <v>4</v>
      </c>
      <c r="N99" s="46">
        <v>17857</v>
      </c>
      <c r="O99" s="49">
        <f t="shared" si="3"/>
        <v>71428</v>
      </c>
      <c r="P99" s="5" t="s">
        <v>515</v>
      </c>
      <c r="Q99" s="14" t="s">
        <v>1474</v>
      </c>
      <c r="R99" s="11" t="s">
        <v>789</v>
      </c>
      <c r="S99" s="5">
        <v>100</v>
      </c>
    </row>
    <row r="100" spans="1:19" ht="41.25" customHeight="1" outlineLevel="1">
      <c r="A100" s="5">
        <v>85</v>
      </c>
      <c r="B100" s="15" t="s">
        <v>710</v>
      </c>
      <c r="C100" s="30" t="s">
        <v>711</v>
      </c>
      <c r="D100" s="5" t="s">
        <v>794</v>
      </c>
      <c r="E100" s="57" t="s">
        <v>720</v>
      </c>
      <c r="F100" s="57" t="s">
        <v>720</v>
      </c>
      <c r="G100" s="57" t="s">
        <v>795</v>
      </c>
      <c r="H100" s="57" t="s">
        <v>796</v>
      </c>
      <c r="I100" s="57" t="s">
        <v>2092</v>
      </c>
      <c r="J100" s="57" t="s">
        <v>340</v>
      </c>
      <c r="K100" s="57" t="s">
        <v>591</v>
      </c>
      <c r="L100" s="31" t="s">
        <v>644</v>
      </c>
      <c r="M100" s="22">
        <v>3</v>
      </c>
      <c r="N100" s="46">
        <f>O100/M100</f>
        <v>0</v>
      </c>
      <c r="O100" s="49">
        <f>107142-50142-57000</f>
        <v>0</v>
      </c>
      <c r="P100" s="5" t="s">
        <v>515</v>
      </c>
      <c r="Q100" s="14" t="s">
        <v>1474</v>
      </c>
      <c r="R100" s="11" t="s">
        <v>789</v>
      </c>
      <c r="S100" s="5">
        <v>100</v>
      </c>
    </row>
    <row r="101" spans="1:19" ht="63.75" customHeight="1" outlineLevel="1">
      <c r="A101" s="5">
        <v>86</v>
      </c>
      <c r="B101" s="29" t="s">
        <v>710</v>
      </c>
      <c r="C101" s="30" t="s">
        <v>711</v>
      </c>
      <c r="D101" s="15" t="s">
        <v>763</v>
      </c>
      <c r="E101" s="57" t="s">
        <v>797</v>
      </c>
      <c r="F101" s="57" t="s">
        <v>797</v>
      </c>
      <c r="G101" s="57" t="s">
        <v>798</v>
      </c>
      <c r="H101" s="57" t="s">
        <v>764</v>
      </c>
      <c r="I101" s="57" t="s">
        <v>2153</v>
      </c>
      <c r="J101" s="57" t="s">
        <v>2154</v>
      </c>
      <c r="K101" s="57" t="s">
        <v>591</v>
      </c>
      <c r="L101" s="31" t="s">
        <v>644</v>
      </c>
      <c r="M101" s="22">
        <v>2</v>
      </c>
      <c r="N101" s="46">
        <f>O101/M101</f>
        <v>0</v>
      </c>
      <c r="O101" s="49">
        <f>39286-39286</f>
        <v>0</v>
      </c>
      <c r="P101" s="5" t="s">
        <v>515</v>
      </c>
      <c r="Q101" s="14" t="s">
        <v>1474</v>
      </c>
      <c r="R101" s="11" t="s">
        <v>789</v>
      </c>
      <c r="S101" s="5">
        <v>100</v>
      </c>
    </row>
    <row r="102" spans="1:19" ht="76.5" outlineLevel="1">
      <c r="A102" s="5">
        <v>87</v>
      </c>
      <c r="B102" s="29" t="s">
        <v>710</v>
      </c>
      <c r="C102" s="30" t="s">
        <v>711</v>
      </c>
      <c r="D102" s="5" t="s">
        <v>799</v>
      </c>
      <c r="E102" s="57" t="s">
        <v>730</v>
      </c>
      <c r="F102" s="57" t="s">
        <v>731</v>
      </c>
      <c r="G102" s="57" t="s">
        <v>800</v>
      </c>
      <c r="H102" s="57" t="s">
        <v>801</v>
      </c>
      <c r="I102" s="57" t="s">
        <v>730</v>
      </c>
      <c r="J102" s="57" t="s">
        <v>731</v>
      </c>
      <c r="K102" s="57" t="s">
        <v>591</v>
      </c>
      <c r="L102" s="31" t="s">
        <v>644</v>
      </c>
      <c r="M102" s="22">
        <v>1</v>
      </c>
      <c r="N102" s="46">
        <f>O102/M102</f>
        <v>0</v>
      </c>
      <c r="O102" s="49">
        <f>31875-31875</f>
        <v>0</v>
      </c>
      <c r="P102" s="5" t="s">
        <v>515</v>
      </c>
      <c r="Q102" s="14" t="s">
        <v>1474</v>
      </c>
      <c r="R102" s="11" t="s">
        <v>789</v>
      </c>
      <c r="S102" s="5">
        <v>100</v>
      </c>
    </row>
    <row r="103" spans="1:19" ht="102" outlineLevel="1">
      <c r="A103" s="5">
        <v>88</v>
      </c>
      <c r="B103" s="29" t="s">
        <v>710</v>
      </c>
      <c r="C103" s="30" t="s">
        <v>711</v>
      </c>
      <c r="D103" s="15" t="s">
        <v>883</v>
      </c>
      <c r="E103" s="57" t="s">
        <v>169</v>
      </c>
      <c r="F103" s="57" t="s">
        <v>169</v>
      </c>
      <c r="G103" s="57" t="s">
        <v>885</v>
      </c>
      <c r="H103" s="57" t="s">
        <v>886</v>
      </c>
      <c r="I103" s="57" t="s">
        <v>884</v>
      </c>
      <c r="J103" s="57" t="s">
        <v>175</v>
      </c>
      <c r="K103" s="57" t="s">
        <v>591</v>
      </c>
      <c r="L103" s="31" t="s">
        <v>644</v>
      </c>
      <c r="M103" s="22">
        <v>5</v>
      </c>
      <c r="N103" s="46">
        <f>O103/M103</f>
        <v>0</v>
      </c>
      <c r="O103" s="49">
        <f>214950-210000-4950</f>
        <v>0</v>
      </c>
      <c r="P103" s="5" t="s">
        <v>612</v>
      </c>
      <c r="Q103" s="5" t="s">
        <v>501</v>
      </c>
      <c r="R103" s="11" t="s">
        <v>3339</v>
      </c>
      <c r="S103" s="22">
        <v>100</v>
      </c>
    </row>
    <row r="104" spans="1:19" ht="127.5" outlineLevel="1">
      <c r="A104" s="5">
        <v>89</v>
      </c>
      <c r="B104" s="29" t="s">
        <v>710</v>
      </c>
      <c r="C104" s="30" t="s">
        <v>711</v>
      </c>
      <c r="D104" s="11" t="s">
        <v>871</v>
      </c>
      <c r="E104" s="57" t="s">
        <v>2155</v>
      </c>
      <c r="F104" s="57" t="s">
        <v>171</v>
      </c>
      <c r="G104" s="57" t="s">
        <v>2156</v>
      </c>
      <c r="H104" s="57" t="s">
        <v>872</v>
      </c>
      <c r="I104" s="57" t="s">
        <v>2157</v>
      </c>
      <c r="J104" s="57" t="s">
        <v>172</v>
      </c>
      <c r="K104" s="57" t="s">
        <v>591</v>
      </c>
      <c r="L104" s="31" t="s">
        <v>644</v>
      </c>
      <c r="M104" s="22">
        <v>1</v>
      </c>
      <c r="N104" s="46">
        <v>107143</v>
      </c>
      <c r="O104" s="49">
        <f t="shared" si="3"/>
        <v>107143</v>
      </c>
      <c r="P104" s="5" t="s">
        <v>391</v>
      </c>
      <c r="Q104" s="5" t="s">
        <v>766</v>
      </c>
      <c r="R104" s="11" t="s">
        <v>2030</v>
      </c>
      <c r="S104" s="22">
        <v>30</v>
      </c>
    </row>
    <row r="105" spans="1:19" ht="89.25" outlineLevel="1">
      <c r="A105" s="5">
        <v>90</v>
      </c>
      <c r="B105" s="15" t="s">
        <v>710</v>
      </c>
      <c r="C105" s="30" t="s">
        <v>711</v>
      </c>
      <c r="D105" s="11" t="s">
        <v>945</v>
      </c>
      <c r="E105" s="57" t="s">
        <v>1529</v>
      </c>
      <c r="F105" s="57" t="s">
        <v>1529</v>
      </c>
      <c r="G105" s="57" t="s">
        <v>988</v>
      </c>
      <c r="H105" s="57" t="s">
        <v>946</v>
      </c>
      <c r="I105" s="57" t="s">
        <v>2158</v>
      </c>
      <c r="J105" s="57" t="s">
        <v>173</v>
      </c>
      <c r="K105" s="57" t="s">
        <v>591</v>
      </c>
      <c r="L105" s="31" t="s">
        <v>644</v>
      </c>
      <c r="M105" s="22">
        <v>4</v>
      </c>
      <c r="N105" s="46">
        <v>12768</v>
      </c>
      <c r="O105" s="49">
        <f t="shared" si="3"/>
        <v>51072</v>
      </c>
      <c r="P105" s="5" t="s">
        <v>612</v>
      </c>
      <c r="Q105" s="5" t="s">
        <v>766</v>
      </c>
      <c r="R105" s="11" t="s">
        <v>2514</v>
      </c>
      <c r="S105" s="22">
        <v>30</v>
      </c>
    </row>
    <row r="106" spans="1:19" ht="51" outlineLevel="1">
      <c r="A106" s="5">
        <v>91</v>
      </c>
      <c r="B106" s="29" t="s">
        <v>710</v>
      </c>
      <c r="C106" s="30" t="s">
        <v>711</v>
      </c>
      <c r="D106" s="11" t="s">
        <v>947</v>
      </c>
      <c r="E106" s="57" t="s">
        <v>979</v>
      </c>
      <c r="F106" s="57" t="s">
        <v>979</v>
      </c>
      <c r="G106" s="57" t="s">
        <v>986</v>
      </c>
      <c r="H106" s="57" t="s">
        <v>987</v>
      </c>
      <c r="I106" s="57" t="s">
        <v>2159</v>
      </c>
      <c r="J106" s="57" t="s">
        <v>108</v>
      </c>
      <c r="K106" s="57" t="s">
        <v>591</v>
      </c>
      <c r="L106" s="31" t="s">
        <v>644</v>
      </c>
      <c r="M106" s="22">
        <v>1</v>
      </c>
      <c r="N106" s="46">
        <v>49054</v>
      </c>
      <c r="O106" s="49">
        <f t="shared" si="3"/>
        <v>49054</v>
      </c>
      <c r="P106" s="5" t="s">
        <v>501</v>
      </c>
      <c r="Q106" s="5" t="s">
        <v>766</v>
      </c>
      <c r="R106" s="11" t="s">
        <v>2514</v>
      </c>
      <c r="S106" s="22">
        <v>30</v>
      </c>
    </row>
    <row r="107" spans="1:19" ht="76.5" outlineLevel="1">
      <c r="A107" s="5">
        <v>92</v>
      </c>
      <c r="B107" s="29" t="s">
        <v>710</v>
      </c>
      <c r="C107" s="30" t="s">
        <v>711</v>
      </c>
      <c r="D107" s="11" t="s">
        <v>948</v>
      </c>
      <c r="E107" s="57" t="s">
        <v>2160</v>
      </c>
      <c r="F107" s="57" t="s">
        <v>2</v>
      </c>
      <c r="G107" s="57" t="s">
        <v>2162</v>
      </c>
      <c r="H107" s="57" t="s">
        <v>949</v>
      </c>
      <c r="I107" s="57" t="s">
        <v>2160</v>
      </c>
      <c r="J107" s="57" t="s">
        <v>2</v>
      </c>
      <c r="K107" s="57" t="s">
        <v>591</v>
      </c>
      <c r="L107" s="31" t="s">
        <v>644</v>
      </c>
      <c r="M107" s="22">
        <v>4</v>
      </c>
      <c r="N107" s="46">
        <f>O107/M107</f>
        <v>0</v>
      </c>
      <c r="O107" s="49">
        <f>59108-59108</f>
        <v>0</v>
      </c>
      <c r="P107" s="5" t="s">
        <v>502</v>
      </c>
      <c r="Q107" s="5" t="s">
        <v>766</v>
      </c>
      <c r="R107" s="11" t="s">
        <v>2514</v>
      </c>
      <c r="S107" s="22">
        <v>30</v>
      </c>
    </row>
    <row r="108" spans="1:19" ht="63.75" outlineLevel="1">
      <c r="A108" s="5">
        <v>93</v>
      </c>
      <c r="B108" s="15" t="s">
        <v>710</v>
      </c>
      <c r="C108" s="30" t="s">
        <v>711</v>
      </c>
      <c r="D108" s="11" t="s">
        <v>950</v>
      </c>
      <c r="E108" s="57" t="s">
        <v>745</v>
      </c>
      <c r="F108" s="57" t="s">
        <v>109</v>
      </c>
      <c r="G108" s="57" t="s">
        <v>2163</v>
      </c>
      <c r="H108" s="57" t="s">
        <v>951</v>
      </c>
      <c r="I108" s="57" t="s">
        <v>745</v>
      </c>
      <c r="J108" s="57" t="s">
        <v>109</v>
      </c>
      <c r="K108" s="57" t="s">
        <v>591</v>
      </c>
      <c r="L108" s="31" t="s">
        <v>644</v>
      </c>
      <c r="M108" s="22">
        <v>4</v>
      </c>
      <c r="N108" s="46">
        <v>4446</v>
      </c>
      <c r="O108" s="49">
        <f t="shared" si="3"/>
        <v>17784</v>
      </c>
      <c r="P108" s="5" t="s">
        <v>698</v>
      </c>
      <c r="Q108" s="5" t="s">
        <v>766</v>
      </c>
      <c r="R108" s="11" t="s">
        <v>2514</v>
      </c>
      <c r="S108" s="22">
        <v>30</v>
      </c>
    </row>
    <row r="109" spans="1:19" ht="63.75" outlineLevel="1">
      <c r="A109" s="5">
        <v>94</v>
      </c>
      <c r="B109" s="29" t="s">
        <v>710</v>
      </c>
      <c r="C109" s="30" t="s">
        <v>711</v>
      </c>
      <c r="D109" s="15" t="s">
        <v>763</v>
      </c>
      <c r="E109" s="57" t="s">
        <v>797</v>
      </c>
      <c r="F109" s="57" t="s">
        <v>797</v>
      </c>
      <c r="G109" s="57" t="s">
        <v>798</v>
      </c>
      <c r="H109" s="57" t="s">
        <v>764</v>
      </c>
      <c r="I109" s="57" t="s">
        <v>2152</v>
      </c>
      <c r="J109" s="57" t="s">
        <v>146</v>
      </c>
      <c r="K109" s="57" t="s">
        <v>591</v>
      </c>
      <c r="L109" s="31" t="s">
        <v>644</v>
      </c>
      <c r="M109" s="22">
        <v>3</v>
      </c>
      <c r="N109" s="46">
        <v>41786</v>
      </c>
      <c r="O109" s="49">
        <f t="shared" si="3"/>
        <v>125358</v>
      </c>
      <c r="P109" s="5" t="s">
        <v>699</v>
      </c>
      <c r="Q109" s="5" t="s">
        <v>766</v>
      </c>
      <c r="R109" s="11" t="s">
        <v>2514</v>
      </c>
      <c r="S109" s="22">
        <v>30</v>
      </c>
    </row>
    <row r="110" spans="1:19" ht="51" outlineLevel="1">
      <c r="A110" s="5">
        <v>95</v>
      </c>
      <c r="B110" s="15" t="s">
        <v>710</v>
      </c>
      <c r="C110" s="30" t="s">
        <v>711</v>
      </c>
      <c r="D110" s="5" t="s">
        <v>1361</v>
      </c>
      <c r="E110" s="57" t="s">
        <v>2080</v>
      </c>
      <c r="F110" s="57" t="s">
        <v>1053</v>
      </c>
      <c r="G110" s="57" t="s">
        <v>2082</v>
      </c>
      <c r="H110" s="57" t="s">
        <v>1363</v>
      </c>
      <c r="I110" s="57" t="s">
        <v>2083</v>
      </c>
      <c r="J110" s="57" t="s">
        <v>174</v>
      </c>
      <c r="K110" s="57" t="s">
        <v>591</v>
      </c>
      <c r="L110" s="31" t="s">
        <v>644</v>
      </c>
      <c r="M110" s="22">
        <v>2</v>
      </c>
      <c r="N110" s="46">
        <v>71429</v>
      </c>
      <c r="O110" s="49">
        <f t="shared" si="3"/>
        <v>142858</v>
      </c>
      <c r="P110" s="5" t="s">
        <v>391</v>
      </c>
      <c r="Q110" s="5" t="s">
        <v>391</v>
      </c>
      <c r="R110" s="11" t="s">
        <v>2022</v>
      </c>
      <c r="S110" s="22">
        <v>100</v>
      </c>
    </row>
    <row r="111" spans="1:19" ht="38.25" outlineLevel="1">
      <c r="A111" s="5">
        <v>96</v>
      </c>
      <c r="B111" s="15" t="s">
        <v>710</v>
      </c>
      <c r="C111" s="30" t="s">
        <v>711</v>
      </c>
      <c r="D111" s="5" t="s">
        <v>1364</v>
      </c>
      <c r="E111" s="57" t="s">
        <v>2164</v>
      </c>
      <c r="F111" s="57" t="s">
        <v>4</v>
      </c>
      <c r="G111" s="57" t="s">
        <v>2165</v>
      </c>
      <c r="H111" s="57" t="s">
        <v>1365</v>
      </c>
      <c r="I111" s="57" t="s">
        <v>2164</v>
      </c>
      <c r="J111" s="57" t="s">
        <v>4</v>
      </c>
      <c r="K111" s="57" t="s">
        <v>591</v>
      </c>
      <c r="L111" s="31" t="s">
        <v>644</v>
      </c>
      <c r="M111" s="22">
        <v>1</v>
      </c>
      <c r="N111" s="46">
        <v>53571</v>
      </c>
      <c r="O111" s="49">
        <f t="shared" si="3"/>
        <v>53571</v>
      </c>
      <c r="P111" s="5" t="s">
        <v>391</v>
      </c>
      <c r="Q111" s="5" t="s">
        <v>391</v>
      </c>
      <c r="R111" s="11" t="s">
        <v>2022</v>
      </c>
      <c r="S111" s="22">
        <v>100</v>
      </c>
    </row>
    <row r="112" spans="1:19" ht="42.75" customHeight="1">
      <c r="A112" s="5">
        <v>97</v>
      </c>
      <c r="B112" s="29" t="s">
        <v>710</v>
      </c>
      <c r="C112" s="30" t="s">
        <v>711</v>
      </c>
      <c r="D112" s="11" t="s">
        <v>807</v>
      </c>
      <c r="E112" s="57" t="s">
        <v>1596</v>
      </c>
      <c r="F112" s="57" t="s">
        <v>2377</v>
      </c>
      <c r="G112" s="57" t="s">
        <v>1597</v>
      </c>
      <c r="H112" s="57" t="s">
        <v>808</v>
      </c>
      <c r="I112" s="57" t="s">
        <v>1598</v>
      </c>
      <c r="J112" s="57" t="s">
        <v>5</v>
      </c>
      <c r="K112" s="57" t="s">
        <v>591</v>
      </c>
      <c r="L112" s="31" t="s">
        <v>644</v>
      </c>
      <c r="M112" s="22">
        <v>5</v>
      </c>
      <c r="N112" s="46">
        <v>2723</v>
      </c>
      <c r="O112" s="49">
        <f t="shared" si="3"/>
        <v>13615</v>
      </c>
      <c r="P112" s="5" t="s">
        <v>391</v>
      </c>
      <c r="Q112" s="5" t="s">
        <v>1476</v>
      </c>
      <c r="R112" s="11" t="s">
        <v>1175</v>
      </c>
      <c r="S112" s="22">
        <v>50</v>
      </c>
    </row>
    <row r="113" spans="1:19" ht="51">
      <c r="A113" s="5">
        <v>98</v>
      </c>
      <c r="B113" s="29" t="s">
        <v>710</v>
      </c>
      <c r="C113" s="30" t="s">
        <v>711</v>
      </c>
      <c r="D113" s="11" t="s">
        <v>1057</v>
      </c>
      <c r="E113" s="57" t="s">
        <v>1599</v>
      </c>
      <c r="F113" s="57" t="s">
        <v>185</v>
      </c>
      <c r="G113" s="57" t="s">
        <v>1600</v>
      </c>
      <c r="H113" s="57" t="s">
        <v>1058</v>
      </c>
      <c r="I113" s="57" t="s">
        <v>185</v>
      </c>
      <c r="J113" s="57" t="s">
        <v>185</v>
      </c>
      <c r="K113" s="57" t="s">
        <v>591</v>
      </c>
      <c r="L113" s="31" t="s">
        <v>644</v>
      </c>
      <c r="M113" s="22">
        <v>20</v>
      </c>
      <c r="N113" s="46">
        <v>1339</v>
      </c>
      <c r="O113" s="49">
        <f t="shared" si="3"/>
        <v>26780</v>
      </c>
      <c r="P113" s="5" t="s">
        <v>391</v>
      </c>
      <c r="Q113" s="5" t="s">
        <v>1476</v>
      </c>
      <c r="R113" s="11" t="s">
        <v>1175</v>
      </c>
      <c r="S113" s="22">
        <v>50</v>
      </c>
    </row>
    <row r="114" spans="1:19" ht="51">
      <c r="A114" s="5">
        <v>99</v>
      </c>
      <c r="B114" s="29" t="s">
        <v>710</v>
      </c>
      <c r="C114" s="30" t="s">
        <v>711</v>
      </c>
      <c r="D114" s="11" t="s">
        <v>952</v>
      </c>
      <c r="E114" s="57" t="s">
        <v>2170</v>
      </c>
      <c r="F114" s="57" t="s">
        <v>953</v>
      </c>
      <c r="G114" s="57" t="s">
        <v>2170</v>
      </c>
      <c r="H114" s="57" t="s">
        <v>953</v>
      </c>
      <c r="I114" s="57" t="s">
        <v>6</v>
      </c>
      <c r="J114" s="57" t="s">
        <v>6</v>
      </c>
      <c r="K114" s="57" t="s">
        <v>591</v>
      </c>
      <c r="L114" s="31" t="s">
        <v>644</v>
      </c>
      <c r="M114" s="22">
        <v>10</v>
      </c>
      <c r="N114" s="46">
        <v>4911</v>
      </c>
      <c r="O114" s="49">
        <f t="shared" si="3"/>
        <v>49110</v>
      </c>
      <c r="P114" s="5" t="s">
        <v>391</v>
      </c>
      <c r="Q114" s="5" t="s">
        <v>1476</v>
      </c>
      <c r="R114" s="11" t="s">
        <v>1175</v>
      </c>
      <c r="S114" s="22">
        <v>50</v>
      </c>
    </row>
    <row r="115" spans="1:19" ht="51">
      <c r="A115" s="5">
        <v>100</v>
      </c>
      <c r="B115" s="29" t="s">
        <v>710</v>
      </c>
      <c r="C115" s="30" t="s">
        <v>711</v>
      </c>
      <c r="D115" s="31" t="s">
        <v>634</v>
      </c>
      <c r="E115" s="57" t="s">
        <v>813</v>
      </c>
      <c r="F115" s="57" t="s">
        <v>365</v>
      </c>
      <c r="G115" s="57" t="s">
        <v>1601</v>
      </c>
      <c r="H115" s="57" t="s">
        <v>635</v>
      </c>
      <c r="I115" s="57" t="s">
        <v>813</v>
      </c>
      <c r="J115" s="57" t="s">
        <v>365</v>
      </c>
      <c r="K115" s="57" t="s">
        <v>591</v>
      </c>
      <c r="L115" s="31" t="s">
        <v>644</v>
      </c>
      <c r="M115" s="22">
        <v>10</v>
      </c>
      <c r="N115" s="46">
        <v>714</v>
      </c>
      <c r="O115" s="49">
        <f t="shared" si="3"/>
        <v>7140</v>
      </c>
      <c r="P115" s="5" t="s">
        <v>391</v>
      </c>
      <c r="Q115" s="5" t="s">
        <v>1476</v>
      </c>
      <c r="R115" s="11" t="s">
        <v>1175</v>
      </c>
      <c r="S115" s="22">
        <v>50</v>
      </c>
    </row>
    <row r="116" spans="1:19" ht="51">
      <c r="A116" s="5">
        <v>101</v>
      </c>
      <c r="B116" s="29" t="s">
        <v>710</v>
      </c>
      <c r="C116" s="30" t="s">
        <v>711</v>
      </c>
      <c r="D116" s="11" t="s">
        <v>1059</v>
      </c>
      <c r="E116" s="57" t="s">
        <v>1602</v>
      </c>
      <c r="F116" s="57" t="s">
        <v>1060</v>
      </c>
      <c r="G116" s="57" t="s">
        <v>1603</v>
      </c>
      <c r="H116" s="57" t="s">
        <v>1061</v>
      </c>
      <c r="I116" s="57" t="s">
        <v>1604</v>
      </c>
      <c r="J116" s="57" t="s">
        <v>186</v>
      </c>
      <c r="K116" s="57" t="s">
        <v>591</v>
      </c>
      <c r="L116" s="31" t="s">
        <v>644</v>
      </c>
      <c r="M116" s="22">
        <v>5</v>
      </c>
      <c r="N116" s="46">
        <v>491</v>
      </c>
      <c r="O116" s="49">
        <f t="shared" si="3"/>
        <v>2455</v>
      </c>
      <c r="P116" s="5" t="s">
        <v>391</v>
      </c>
      <c r="Q116" s="5" t="s">
        <v>1476</v>
      </c>
      <c r="R116" s="11" t="s">
        <v>1175</v>
      </c>
      <c r="S116" s="22">
        <v>50</v>
      </c>
    </row>
    <row r="117" spans="1:19" ht="51">
      <c r="A117" s="5">
        <v>102</v>
      </c>
      <c r="B117" s="29" t="s">
        <v>710</v>
      </c>
      <c r="C117" s="30" t="s">
        <v>711</v>
      </c>
      <c r="D117" s="11" t="s">
        <v>1059</v>
      </c>
      <c r="E117" s="57" t="s">
        <v>1602</v>
      </c>
      <c r="F117" s="57" t="s">
        <v>1060</v>
      </c>
      <c r="G117" s="57" t="s">
        <v>1603</v>
      </c>
      <c r="H117" s="57" t="s">
        <v>1061</v>
      </c>
      <c r="I117" s="57" t="s">
        <v>1605</v>
      </c>
      <c r="J117" s="57" t="s">
        <v>187</v>
      </c>
      <c r="K117" s="57" t="s">
        <v>591</v>
      </c>
      <c r="L117" s="31" t="s">
        <v>644</v>
      </c>
      <c r="M117" s="22">
        <v>5</v>
      </c>
      <c r="N117" s="46">
        <v>446</v>
      </c>
      <c r="O117" s="49">
        <f t="shared" si="3"/>
        <v>2230</v>
      </c>
      <c r="P117" s="5" t="s">
        <v>391</v>
      </c>
      <c r="Q117" s="5" t="s">
        <v>1476</v>
      </c>
      <c r="R117" s="11" t="s">
        <v>1175</v>
      </c>
      <c r="S117" s="22">
        <v>50</v>
      </c>
    </row>
    <row r="118" spans="1:19" ht="51">
      <c r="A118" s="5">
        <v>103</v>
      </c>
      <c r="B118" s="29" t="s">
        <v>710</v>
      </c>
      <c r="C118" s="30" t="s">
        <v>711</v>
      </c>
      <c r="D118" s="11" t="s">
        <v>1062</v>
      </c>
      <c r="E118" s="57" t="s">
        <v>1606</v>
      </c>
      <c r="F118" s="57" t="s">
        <v>1063</v>
      </c>
      <c r="G118" s="57" t="s">
        <v>1607</v>
      </c>
      <c r="H118" s="57" t="s">
        <v>1064</v>
      </c>
      <c r="I118" s="57" t="s">
        <v>1608</v>
      </c>
      <c r="J118" s="57" t="s">
        <v>188</v>
      </c>
      <c r="K118" s="57" t="s">
        <v>591</v>
      </c>
      <c r="L118" s="31" t="s">
        <v>644</v>
      </c>
      <c r="M118" s="22">
        <v>5</v>
      </c>
      <c r="N118" s="46">
        <v>1071</v>
      </c>
      <c r="O118" s="49">
        <f t="shared" si="3"/>
        <v>5355</v>
      </c>
      <c r="P118" s="5" t="s">
        <v>391</v>
      </c>
      <c r="Q118" s="5" t="s">
        <v>1476</v>
      </c>
      <c r="R118" s="11" t="s">
        <v>1175</v>
      </c>
      <c r="S118" s="22">
        <v>50</v>
      </c>
    </row>
    <row r="119" spans="1:19" ht="51">
      <c r="A119" s="5">
        <v>104</v>
      </c>
      <c r="B119" s="29" t="s">
        <v>710</v>
      </c>
      <c r="C119" s="30" t="s">
        <v>711</v>
      </c>
      <c r="D119" s="11" t="s">
        <v>1065</v>
      </c>
      <c r="E119" s="57" t="s">
        <v>1609</v>
      </c>
      <c r="F119" s="57" t="s">
        <v>1066</v>
      </c>
      <c r="G119" s="57" t="s">
        <v>1609</v>
      </c>
      <c r="H119" s="57" t="s">
        <v>1066</v>
      </c>
      <c r="I119" s="57" t="s">
        <v>1609</v>
      </c>
      <c r="J119" s="57" t="s">
        <v>189</v>
      </c>
      <c r="K119" s="57" t="s">
        <v>591</v>
      </c>
      <c r="L119" s="31" t="s">
        <v>1482</v>
      </c>
      <c r="M119" s="22">
        <v>2</v>
      </c>
      <c r="N119" s="46">
        <v>1607</v>
      </c>
      <c r="O119" s="49">
        <f t="shared" si="3"/>
        <v>3214</v>
      </c>
      <c r="P119" s="5" t="s">
        <v>391</v>
      </c>
      <c r="Q119" s="5" t="s">
        <v>1476</v>
      </c>
      <c r="R119" s="11" t="s">
        <v>1175</v>
      </c>
      <c r="S119" s="22">
        <v>50</v>
      </c>
    </row>
    <row r="120" spans="1:19" ht="51">
      <c r="A120" s="5">
        <v>105</v>
      </c>
      <c r="B120" s="29" t="s">
        <v>710</v>
      </c>
      <c r="C120" s="30" t="s">
        <v>711</v>
      </c>
      <c r="D120" s="117" t="s">
        <v>1067</v>
      </c>
      <c r="E120" s="57" t="s">
        <v>2248</v>
      </c>
      <c r="F120" s="57" t="s">
        <v>1068</v>
      </c>
      <c r="G120" s="57" t="s">
        <v>1610</v>
      </c>
      <c r="H120" s="57" t="s">
        <v>1069</v>
      </c>
      <c r="I120" s="57" t="s">
        <v>2248</v>
      </c>
      <c r="J120" s="57" t="s">
        <v>7</v>
      </c>
      <c r="K120" s="57" t="s">
        <v>591</v>
      </c>
      <c r="L120" s="31" t="s">
        <v>644</v>
      </c>
      <c r="M120" s="22">
        <v>10</v>
      </c>
      <c r="N120" s="46">
        <v>469</v>
      </c>
      <c r="O120" s="49">
        <f t="shared" si="3"/>
        <v>4690</v>
      </c>
      <c r="P120" s="5" t="s">
        <v>391</v>
      </c>
      <c r="Q120" s="5" t="s">
        <v>1476</v>
      </c>
      <c r="R120" s="11" t="s">
        <v>1175</v>
      </c>
      <c r="S120" s="22">
        <v>50</v>
      </c>
    </row>
    <row r="121" spans="1:19" ht="51">
      <c r="A121" s="5">
        <v>106</v>
      </c>
      <c r="B121" s="29" t="s">
        <v>710</v>
      </c>
      <c r="C121" s="30" t="s">
        <v>711</v>
      </c>
      <c r="D121" s="11" t="s">
        <v>1070</v>
      </c>
      <c r="E121" s="57" t="s">
        <v>1611</v>
      </c>
      <c r="F121" s="57" t="s">
        <v>1071</v>
      </c>
      <c r="G121" s="57" t="s">
        <v>1612</v>
      </c>
      <c r="H121" s="57" t="s">
        <v>467</v>
      </c>
      <c r="I121" s="57" t="s">
        <v>1613</v>
      </c>
      <c r="J121" s="57" t="s">
        <v>190</v>
      </c>
      <c r="K121" s="57" t="s">
        <v>591</v>
      </c>
      <c r="L121" s="31" t="s">
        <v>644</v>
      </c>
      <c r="M121" s="22">
        <v>1</v>
      </c>
      <c r="N121" s="46">
        <v>2232</v>
      </c>
      <c r="O121" s="49">
        <f t="shared" si="3"/>
        <v>2232</v>
      </c>
      <c r="P121" s="5" t="s">
        <v>391</v>
      </c>
      <c r="Q121" s="5" t="s">
        <v>1476</v>
      </c>
      <c r="R121" s="11" t="s">
        <v>1175</v>
      </c>
      <c r="S121" s="22">
        <v>50</v>
      </c>
    </row>
    <row r="122" spans="1:19" ht="51">
      <c r="A122" s="5">
        <v>107</v>
      </c>
      <c r="B122" s="29" t="s">
        <v>710</v>
      </c>
      <c r="C122" s="30" t="s">
        <v>711</v>
      </c>
      <c r="D122" s="11" t="s">
        <v>1072</v>
      </c>
      <c r="E122" s="57" t="s">
        <v>1614</v>
      </c>
      <c r="F122" s="57" t="s">
        <v>8</v>
      </c>
      <c r="G122" s="57" t="s">
        <v>1615</v>
      </c>
      <c r="H122" s="57" t="s">
        <v>1073</v>
      </c>
      <c r="I122" s="57" t="s">
        <v>1614</v>
      </c>
      <c r="J122" s="57" t="s">
        <v>8</v>
      </c>
      <c r="K122" s="57" t="s">
        <v>591</v>
      </c>
      <c r="L122" s="31" t="s">
        <v>644</v>
      </c>
      <c r="M122" s="22">
        <v>2</v>
      </c>
      <c r="N122" s="46">
        <v>1429</v>
      </c>
      <c r="O122" s="49">
        <f t="shared" si="3"/>
        <v>2858</v>
      </c>
      <c r="P122" s="5" t="s">
        <v>391</v>
      </c>
      <c r="Q122" s="5" t="s">
        <v>1476</v>
      </c>
      <c r="R122" s="11" t="s">
        <v>1175</v>
      </c>
      <c r="S122" s="22">
        <v>50</v>
      </c>
    </row>
    <row r="123" spans="1:19" ht="51">
      <c r="A123" s="5">
        <v>108</v>
      </c>
      <c r="B123" s="29" t="s">
        <v>710</v>
      </c>
      <c r="C123" s="30" t="s">
        <v>711</v>
      </c>
      <c r="D123" s="11" t="s">
        <v>1074</v>
      </c>
      <c r="E123" s="57" t="s">
        <v>1616</v>
      </c>
      <c r="F123" s="57" t="s">
        <v>9</v>
      </c>
      <c r="G123" s="57" t="s">
        <v>1617</v>
      </c>
      <c r="H123" s="57" t="s">
        <v>1075</v>
      </c>
      <c r="I123" s="57" t="s">
        <v>1616</v>
      </c>
      <c r="J123" s="57" t="s">
        <v>9</v>
      </c>
      <c r="K123" s="57" t="s">
        <v>591</v>
      </c>
      <c r="L123" s="5" t="s">
        <v>1482</v>
      </c>
      <c r="M123" s="22">
        <v>2</v>
      </c>
      <c r="N123" s="46">
        <v>2991</v>
      </c>
      <c r="O123" s="49">
        <f t="shared" si="3"/>
        <v>5982</v>
      </c>
      <c r="P123" s="5" t="s">
        <v>391</v>
      </c>
      <c r="Q123" s="5" t="s">
        <v>1476</v>
      </c>
      <c r="R123" s="11" t="s">
        <v>1175</v>
      </c>
      <c r="S123" s="22">
        <v>50</v>
      </c>
    </row>
    <row r="124" spans="1:19" ht="51">
      <c r="A124" s="5">
        <v>109</v>
      </c>
      <c r="B124" s="29" t="s">
        <v>710</v>
      </c>
      <c r="C124" s="30" t="s">
        <v>711</v>
      </c>
      <c r="D124" s="5" t="s">
        <v>639</v>
      </c>
      <c r="E124" s="57" t="s">
        <v>1618</v>
      </c>
      <c r="F124" s="57" t="s">
        <v>1619</v>
      </c>
      <c r="G124" s="57" t="s">
        <v>1620</v>
      </c>
      <c r="H124" s="57" t="s">
        <v>640</v>
      </c>
      <c r="I124" s="57" t="s">
        <v>1620</v>
      </c>
      <c r="J124" s="57" t="s">
        <v>368</v>
      </c>
      <c r="K124" s="57" t="s">
        <v>591</v>
      </c>
      <c r="L124" s="31" t="s">
        <v>644</v>
      </c>
      <c r="M124" s="22">
        <v>1</v>
      </c>
      <c r="N124" s="46">
        <v>3304</v>
      </c>
      <c r="O124" s="49">
        <f t="shared" si="3"/>
        <v>3304</v>
      </c>
      <c r="P124" s="5" t="s">
        <v>391</v>
      </c>
      <c r="Q124" s="5" t="s">
        <v>1476</v>
      </c>
      <c r="R124" s="11" t="s">
        <v>1175</v>
      </c>
      <c r="S124" s="22">
        <v>50</v>
      </c>
    </row>
    <row r="125" spans="1:19" ht="51">
      <c r="A125" s="5">
        <v>110</v>
      </c>
      <c r="B125" s="29" t="s">
        <v>710</v>
      </c>
      <c r="C125" s="30" t="s">
        <v>711</v>
      </c>
      <c r="D125" s="5" t="s">
        <v>1076</v>
      </c>
      <c r="E125" s="57" t="s">
        <v>1621</v>
      </c>
      <c r="F125" s="57" t="s">
        <v>1077</v>
      </c>
      <c r="G125" s="57" t="s">
        <v>1622</v>
      </c>
      <c r="H125" s="57" t="s">
        <v>1078</v>
      </c>
      <c r="I125" s="57" t="s">
        <v>191</v>
      </c>
      <c r="J125" s="57" t="s">
        <v>191</v>
      </c>
      <c r="K125" s="57" t="s">
        <v>591</v>
      </c>
      <c r="L125" s="31" t="s">
        <v>1479</v>
      </c>
      <c r="M125" s="22">
        <v>20</v>
      </c>
      <c r="N125" s="46">
        <v>335</v>
      </c>
      <c r="O125" s="49">
        <f t="shared" si="3"/>
        <v>6700</v>
      </c>
      <c r="P125" s="5" t="s">
        <v>391</v>
      </c>
      <c r="Q125" s="5" t="s">
        <v>1476</v>
      </c>
      <c r="R125" s="11" t="s">
        <v>1175</v>
      </c>
      <c r="S125" s="22">
        <v>50</v>
      </c>
    </row>
    <row r="126" spans="1:19" ht="114.75">
      <c r="A126" s="5">
        <v>111</v>
      </c>
      <c r="B126" s="29" t="s">
        <v>710</v>
      </c>
      <c r="C126" s="30" t="s">
        <v>711</v>
      </c>
      <c r="D126" s="5" t="s">
        <v>1079</v>
      </c>
      <c r="E126" s="57" t="s">
        <v>370</v>
      </c>
      <c r="F126" s="57" t="s">
        <v>370</v>
      </c>
      <c r="G126" s="57" t="s">
        <v>1623</v>
      </c>
      <c r="H126" s="57" t="s">
        <v>1080</v>
      </c>
      <c r="I126" s="57" t="s">
        <v>192</v>
      </c>
      <c r="J126" s="57" t="s">
        <v>192</v>
      </c>
      <c r="K126" s="57" t="s">
        <v>591</v>
      </c>
      <c r="L126" s="5" t="s">
        <v>651</v>
      </c>
      <c r="M126" s="22">
        <v>50</v>
      </c>
      <c r="N126" s="46">
        <v>402</v>
      </c>
      <c r="O126" s="49">
        <f t="shared" si="3"/>
        <v>20100</v>
      </c>
      <c r="P126" s="5" t="s">
        <v>391</v>
      </c>
      <c r="Q126" s="5" t="s">
        <v>1476</v>
      </c>
      <c r="R126" s="11" t="s">
        <v>1175</v>
      </c>
      <c r="S126" s="22">
        <v>50</v>
      </c>
    </row>
    <row r="127" spans="1:19" ht="89.25">
      <c r="A127" s="5">
        <v>112</v>
      </c>
      <c r="B127" s="29" t="s">
        <v>710</v>
      </c>
      <c r="C127" s="30" t="s">
        <v>711</v>
      </c>
      <c r="D127" s="5" t="s">
        <v>645</v>
      </c>
      <c r="E127" s="57" t="s">
        <v>1624</v>
      </c>
      <c r="F127" s="57" t="s">
        <v>1625</v>
      </c>
      <c r="G127" s="57" t="s">
        <v>1626</v>
      </c>
      <c r="H127" s="57" t="s">
        <v>646</v>
      </c>
      <c r="I127" s="57" t="s">
        <v>1624</v>
      </c>
      <c r="J127" s="57" t="s">
        <v>10</v>
      </c>
      <c r="K127" s="57" t="s">
        <v>591</v>
      </c>
      <c r="L127" s="31" t="s">
        <v>644</v>
      </c>
      <c r="M127" s="22">
        <v>1</v>
      </c>
      <c r="N127" s="46">
        <v>1830</v>
      </c>
      <c r="O127" s="49">
        <f t="shared" si="3"/>
        <v>1830</v>
      </c>
      <c r="P127" s="5" t="s">
        <v>391</v>
      </c>
      <c r="Q127" s="5" t="s">
        <v>1476</v>
      </c>
      <c r="R127" s="11" t="s">
        <v>1175</v>
      </c>
      <c r="S127" s="22">
        <v>50</v>
      </c>
    </row>
    <row r="128" spans="1:19" ht="51">
      <c r="A128" s="5">
        <v>113</v>
      </c>
      <c r="B128" s="29" t="s">
        <v>710</v>
      </c>
      <c r="C128" s="30" t="s">
        <v>711</v>
      </c>
      <c r="D128" s="5" t="s">
        <v>1081</v>
      </c>
      <c r="E128" s="57" t="s">
        <v>1627</v>
      </c>
      <c r="F128" s="57" t="s">
        <v>371</v>
      </c>
      <c r="G128" s="57" t="s">
        <v>1628</v>
      </c>
      <c r="H128" s="57" t="s">
        <v>399</v>
      </c>
      <c r="I128" s="57" t="s">
        <v>1627</v>
      </c>
      <c r="J128" s="57" t="s">
        <v>193</v>
      </c>
      <c r="K128" s="57" t="s">
        <v>591</v>
      </c>
      <c r="L128" s="5" t="s">
        <v>651</v>
      </c>
      <c r="M128" s="22">
        <v>1</v>
      </c>
      <c r="N128" s="46">
        <v>625</v>
      </c>
      <c r="O128" s="49">
        <f t="shared" si="3"/>
        <v>625</v>
      </c>
      <c r="P128" s="5" t="s">
        <v>391</v>
      </c>
      <c r="Q128" s="5" t="s">
        <v>1476</v>
      </c>
      <c r="R128" s="11" t="s">
        <v>1175</v>
      </c>
      <c r="S128" s="22">
        <v>50</v>
      </c>
    </row>
    <row r="129" spans="1:19" ht="51">
      <c r="A129" s="5">
        <v>114</v>
      </c>
      <c r="B129" s="29" t="s">
        <v>710</v>
      </c>
      <c r="C129" s="30" t="s">
        <v>711</v>
      </c>
      <c r="D129" s="5" t="s">
        <v>649</v>
      </c>
      <c r="E129" s="57" t="s">
        <v>1627</v>
      </c>
      <c r="F129" s="57" t="s">
        <v>371</v>
      </c>
      <c r="G129" s="57" t="s">
        <v>1629</v>
      </c>
      <c r="H129" s="57" t="s">
        <v>650</v>
      </c>
      <c r="I129" s="57" t="s">
        <v>1630</v>
      </c>
      <c r="J129" s="57" t="s">
        <v>194</v>
      </c>
      <c r="K129" s="57" t="s">
        <v>591</v>
      </c>
      <c r="L129" s="5" t="s">
        <v>651</v>
      </c>
      <c r="M129" s="22">
        <v>1</v>
      </c>
      <c r="N129" s="46">
        <v>714</v>
      </c>
      <c r="O129" s="49">
        <f t="shared" si="3"/>
        <v>714</v>
      </c>
      <c r="P129" s="5" t="s">
        <v>391</v>
      </c>
      <c r="Q129" s="5" t="s">
        <v>1476</v>
      </c>
      <c r="R129" s="11" t="s">
        <v>1175</v>
      </c>
      <c r="S129" s="22">
        <v>50</v>
      </c>
    </row>
    <row r="130" spans="1:19" ht="51">
      <c r="A130" s="5">
        <v>115</v>
      </c>
      <c r="B130" s="29" t="s">
        <v>710</v>
      </c>
      <c r="C130" s="30" t="s">
        <v>711</v>
      </c>
      <c r="D130" s="5" t="s">
        <v>652</v>
      </c>
      <c r="E130" s="57" t="s">
        <v>1631</v>
      </c>
      <c r="F130" s="57" t="s">
        <v>653</v>
      </c>
      <c r="G130" s="57" t="s">
        <v>1632</v>
      </c>
      <c r="H130" s="57" t="s">
        <v>654</v>
      </c>
      <c r="I130" s="57" t="s">
        <v>1631</v>
      </c>
      <c r="J130" s="57" t="s">
        <v>372</v>
      </c>
      <c r="K130" s="57" t="s">
        <v>591</v>
      </c>
      <c r="L130" s="31" t="s">
        <v>644</v>
      </c>
      <c r="M130" s="22">
        <v>500</v>
      </c>
      <c r="N130" s="46">
        <v>250</v>
      </c>
      <c r="O130" s="49">
        <f t="shared" si="3"/>
        <v>125000</v>
      </c>
      <c r="P130" s="5" t="s">
        <v>391</v>
      </c>
      <c r="Q130" s="5" t="s">
        <v>1476</v>
      </c>
      <c r="R130" s="11" t="s">
        <v>1175</v>
      </c>
      <c r="S130" s="22">
        <v>50</v>
      </c>
    </row>
    <row r="131" spans="1:19" ht="89.25">
      <c r="A131" s="5">
        <v>116</v>
      </c>
      <c r="B131" s="29" t="s">
        <v>710</v>
      </c>
      <c r="C131" s="30" t="s">
        <v>711</v>
      </c>
      <c r="D131" s="5" t="s">
        <v>1082</v>
      </c>
      <c r="E131" s="57" t="s">
        <v>1633</v>
      </c>
      <c r="F131" s="57" t="s">
        <v>1083</v>
      </c>
      <c r="G131" s="57" t="s">
        <v>1634</v>
      </c>
      <c r="H131" s="57" t="s">
        <v>1084</v>
      </c>
      <c r="I131" s="57" t="s">
        <v>1635</v>
      </c>
      <c r="J131" s="57" t="s">
        <v>195</v>
      </c>
      <c r="K131" s="57" t="s">
        <v>591</v>
      </c>
      <c r="L131" s="31" t="s">
        <v>644</v>
      </c>
      <c r="M131" s="22">
        <v>50</v>
      </c>
      <c r="N131" s="46">
        <v>567</v>
      </c>
      <c r="O131" s="49">
        <f t="shared" si="3"/>
        <v>28350</v>
      </c>
      <c r="P131" s="5" t="s">
        <v>391</v>
      </c>
      <c r="Q131" s="5" t="s">
        <v>1476</v>
      </c>
      <c r="R131" s="11" t="s">
        <v>1175</v>
      </c>
      <c r="S131" s="22">
        <v>50</v>
      </c>
    </row>
    <row r="132" spans="1:19" ht="51">
      <c r="A132" s="5">
        <v>117</v>
      </c>
      <c r="B132" s="29" t="s">
        <v>710</v>
      </c>
      <c r="C132" s="30" t="s">
        <v>711</v>
      </c>
      <c r="D132" s="5" t="s">
        <v>1085</v>
      </c>
      <c r="E132" s="57" t="s">
        <v>11</v>
      </c>
      <c r="F132" s="57" t="s">
        <v>11</v>
      </c>
      <c r="G132" s="57" t="s">
        <v>1086</v>
      </c>
      <c r="H132" s="57" t="s">
        <v>1086</v>
      </c>
      <c r="I132" s="57" t="s">
        <v>11</v>
      </c>
      <c r="J132" s="57" t="s">
        <v>11</v>
      </c>
      <c r="K132" s="57" t="s">
        <v>591</v>
      </c>
      <c r="L132" s="5" t="s">
        <v>1481</v>
      </c>
      <c r="M132" s="22">
        <v>100</v>
      </c>
      <c r="N132" s="46">
        <v>223</v>
      </c>
      <c r="O132" s="49">
        <f t="shared" si="3"/>
        <v>22300</v>
      </c>
      <c r="P132" s="5" t="s">
        <v>391</v>
      </c>
      <c r="Q132" s="5" t="s">
        <v>1476</v>
      </c>
      <c r="R132" s="11" t="s">
        <v>1175</v>
      </c>
      <c r="S132" s="22">
        <v>50</v>
      </c>
    </row>
    <row r="133" spans="1:19" ht="102">
      <c r="A133" s="5">
        <v>118</v>
      </c>
      <c r="B133" s="29" t="s">
        <v>710</v>
      </c>
      <c r="C133" s="30" t="s">
        <v>711</v>
      </c>
      <c r="D133" s="5" t="s">
        <v>656</v>
      </c>
      <c r="E133" s="57" t="s">
        <v>767</v>
      </c>
      <c r="F133" s="57" t="s">
        <v>18</v>
      </c>
      <c r="G133" s="57" t="s">
        <v>1636</v>
      </c>
      <c r="H133" s="57" t="s">
        <v>657</v>
      </c>
      <c r="I133" s="57" t="s">
        <v>1637</v>
      </c>
      <c r="J133" s="57" t="s">
        <v>196</v>
      </c>
      <c r="K133" s="57" t="s">
        <v>591</v>
      </c>
      <c r="L133" s="31" t="s">
        <v>644</v>
      </c>
      <c r="M133" s="22">
        <v>4</v>
      </c>
      <c r="N133" s="46">
        <v>1161</v>
      </c>
      <c r="O133" s="49">
        <f t="shared" si="3"/>
        <v>4644</v>
      </c>
      <c r="P133" s="5" t="s">
        <v>391</v>
      </c>
      <c r="Q133" s="5" t="s">
        <v>1476</v>
      </c>
      <c r="R133" s="11" t="s">
        <v>1175</v>
      </c>
      <c r="S133" s="22">
        <v>50</v>
      </c>
    </row>
    <row r="134" spans="1:19" ht="51">
      <c r="A134" s="5">
        <v>119</v>
      </c>
      <c r="B134" s="29" t="s">
        <v>710</v>
      </c>
      <c r="C134" s="30" t="s">
        <v>711</v>
      </c>
      <c r="D134" s="5" t="s">
        <v>658</v>
      </c>
      <c r="E134" s="57" t="s">
        <v>374</v>
      </c>
      <c r="F134" s="57" t="s">
        <v>374</v>
      </c>
      <c r="G134" s="57" t="s">
        <v>1638</v>
      </c>
      <c r="H134" s="57" t="s">
        <v>659</v>
      </c>
      <c r="I134" s="57" t="s">
        <v>374</v>
      </c>
      <c r="J134" s="57" t="s">
        <v>197</v>
      </c>
      <c r="K134" s="57" t="s">
        <v>591</v>
      </c>
      <c r="L134" s="31" t="s">
        <v>644</v>
      </c>
      <c r="M134" s="22">
        <v>200</v>
      </c>
      <c r="N134" s="46">
        <v>223</v>
      </c>
      <c r="O134" s="49">
        <f t="shared" si="3"/>
        <v>44600</v>
      </c>
      <c r="P134" s="5" t="s">
        <v>391</v>
      </c>
      <c r="Q134" s="5" t="s">
        <v>1476</v>
      </c>
      <c r="R134" s="11" t="s">
        <v>1175</v>
      </c>
      <c r="S134" s="22">
        <v>50</v>
      </c>
    </row>
    <row r="135" spans="1:19" ht="51">
      <c r="A135" s="5">
        <v>120</v>
      </c>
      <c r="B135" s="29" t="s">
        <v>710</v>
      </c>
      <c r="C135" s="30" t="s">
        <v>711</v>
      </c>
      <c r="D135" s="5" t="s">
        <v>660</v>
      </c>
      <c r="E135" s="57" t="s">
        <v>832</v>
      </c>
      <c r="F135" s="57" t="s">
        <v>12</v>
      </c>
      <c r="G135" s="57" t="s">
        <v>1639</v>
      </c>
      <c r="H135" s="57" t="s">
        <v>661</v>
      </c>
      <c r="I135" s="57" t="s">
        <v>832</v>
      </c>
      <c r="J135" s="57" t="s">
        <v>12</v>
      </c>
      <c r="K135" s="57" t="s">
        <v>591</v>
      </c>
      <c r="L135" s="31" t="s">
        <v>644</v>
      </c>
      <c r="M135" s="22">
        <v>30</v>
      </c>
      <c r="N135" s="46">
        <v>1071</v>
      </c>
      <c r="O135" s="49">
        <f t="shared" si="3"/>
        <v>32130</v>
      </c>
      <c r="P135" s="5" t="s">
        <v>391</v>
      </c>
      <c r="Q135" s="5" t="s">
        <v>1476</v>
      </c>
      <c r="R135" s="11" t="s">
        <v>1175</v>
      </c>
      <c r="S135" s="22">
        <v>50</v>
      </c>
    </row>
    <row r="136" spans="1:19" ht="51">
      <c r="A136" s="5">
        <v>121</v>
      </c>
      <c r="B136" s="29" t="s">
        <v>710</v>
      </c>
      <c r="C136" s="30" t="s">
        <v>711</v>
      </c>
      <c r="D136" s="5" t="s">
        <v>1027</v>
      </c>
      <c r="E136" s="57" t="s">
        <v>2177</v>
      </c>
      <c r="F136" s="57" t="s">
        <v>198</v>
      </c>
      <c r="G136" s="57" t="s">
        <v>1640</v>
      </c>
      <c r="H136" s="57" t="s">
        <v>1028</v>
      </c>
      <c r="I136" s="57" t="s">
        <v>2177</v>
      </c>
      <c r="J136" s="57" t="s">
        <v>198</v>
      </c>
      <c r="K136" s="57" t="s">
        <v>591</v>
      </c>
      <c r="L136" s="31" t="s">
        <v>644</v>
      </c>
      <c r="M136" s="22">
        <v>2</v>
      </c>
      <c r="N136" s="46">
        <v>3125</v>
      </c>
      <c r="O136" s="49">
        <f t="shared" si="3"/>
        <v>6250</v>
      </c>
      <c r="P136" s="5" t="s">
        <v>391</v>
      </c>
      <c r="Q136" s="5" t="s">
        <v>1476</v>
      </c>
      <c r="R136" s="11" t="s">
        <v>1175</v>
      </c>
      <c r="S136" s="22">
        <v>50</v>
      </c>
    </row>
    <row r="137" spans="1:19" ht="51">
      <c r="A137" s="5">
        <v>122</v>
      </c>
      <c r="B137" s="29" t="s">
        <v>710</v>
      </c>
      <c r="C137" s="30" t="s">
        <v>711</v>
      </c>
      <c r="D137" s="5" t="s">
        <v>410</v>
      </c>
      <c r="E137" s="57" t="s">
        <v>833</v>
      </c>
      <c r="F137" s="57" t="s">
        <v>375</v>
      </c>
      <c r="G137" s="57" t="s">
        <v>1641</v>
      </c>
      <c r="H137" s="57" t="s">
        <v>411</v>
      </c>
      <c r="I137" s="57" t="s">
        <v>833</v>
      </c>
      <c r="J137" s="57" t="s">
        <v>199</v>
      </c>
      <c r="K137" s="57" t="s">
        <v>591</v>
      </c>
      <c r="L137" s="31" t="s">
        <v>644</v>
      </c>
      <c r="M137" s="22">
        <v>20</v>
      </c>
      <c r="N137" s="46">
        <v>2009</v>
      </c>
      <c r="O137" s="49">
        <f t="shared" si="3"/>
        <v>40180</v>
      </c>
      <c r="P137" s="5" t="s">
        <v>391</v>
      </c>
      <c r="Q137" s="5" t="s">
        <v>1476</v>
      </c>
      <c r="R137" s="11" t="s">
        <v>1175</v>
      </c>
      <c r="S137" s="22">
        <v>50</v>
      </c>
    </row>
    <row r="138" spans="1:19" ht="51">
      <c r="A138" s="5">
        <v>123</v>
      </c>
      <c r="B138" s="29" t="s">
        <v>710</v>
      </c>
      <c r="C138" s="30" t="s">
        <v>711</v>
      </c>
      <c r="D138" s="5" t="s">
        <v>1087</v>
      </c>
      <c r="E138" s="57" t="s">
        <v>1642</v>
      </c>
      <c r="F138" s="57" t="s">
        <v>463</v>
      </c>
      <c r="G138" s="57" t="s">
        <v>1643</v>
      </c>
      <c r="H138" s="57" t="s">
        <v>467</v>
      </c>
      <c r="I138" s="57" t="s">
        <v>1644</v>
      </c>
      <c r="J138" s="57" t="s">
        <v>200</v>
      </c>
      <c r="K138" s="57" t="s">
        <v>591</v>
      </c>
      <c r="L138" s="31" t="s">
        <v>644</v>
      </c>
      <c r="M138" s="22">
        <v>10</v>
      </c>
      <c r="N138" s="46">
        <v>1161</v>
      </c>
      <c r="O138" s="49">
        <f t="shared" si="3"/>
        <v>11610</v>
      </c>
      <c r="P138" s="5" t="s">
        <v>391</v>
      </c>
      <c r="Q138" s="5" t="s">
        <v>1476</v>
      </c>
      <c r="R138" s="11" t="s">
        <v>1175</v>
      </c>
      <c r="S138" s="22">
        <v>50</v>
      </c>
    </row>
    <row r="139" spans="1:19" ht="51">
      <c r="A139" s="5">
        <v>124</v>
      </c>
      <c r="B139" s="29" t="s">
        <v>710</v>
      </c>
      <c r="C139" s="30" t="s">
        <v>711</v>
      </c>
      <c r="D139" s="5" t="s">
        <v>667</v>
      </c>
      <c r="E139" s="57" t="s">
        <v>2184</v>
      </c>
      <c r="F139" s="57" t="s">
        <v>13</v>
      </c>
      <c r="G139" s="57" t="s">
        <v>2185</v>
      </c>
      <c r="H139" s="57" t="s">
        <v>668</v>
      </c>
      <c r="I139" s="57" t="s">
        <v>2184</v>
      </c>
      <c r="J139" s="57" t="s">
        <v>13</v>
      </c>
      <c r="K139" s="57" t="s">
        <v>591</v>
      </c>
      <c r="L139" s="31" t="s">
        <v>644</v>
      </c>
      <c r="M139" s="22">
        <v>10</v>
      </c>
      <c r="N139" s="46">
        <v>2946</v>
      </c>
      <c r="O139" s="49">
        <f t="shared" si="3"/>
        <v>29460</v>
      </c>
      <c r="P139" s="5" t="s">
        <v>391</v>
      </c>
      <c r="Q139" s="5" t="s">
        <v>1476</v>
      </c>
      <c r="R139" s="11" t="s">
        <v>1175</v>
      </c>
      <c r="S139" s="22">
        <v>50</v>
      </c>
    </row>
    <row r="140" spans="1:19" ht="51">
      <c r="A140" s="5">
        <v>125</v>
      </c>
      <c r="B140" s="29" t="s">
        <v>710</v>
      </c>
      <c r="C140" s="30" t="s">
        <v>711</v>
      </c>
      <c r="D140" s="5" t="s">
        <v>457</v>
      </c>
      <c r="E140" s="57" t="s">
        <v>17</v>
      </c>
      <c r="F140" s="57" t="s">
        <v>17</v>
      </c>
      <c r="G140" s="57" t="s">
        <v>1645</v>
      </c>
      <c r="H140" s="57" t="s">
        <v>458</v>
      </c>
      <c r="I140" s="57" t="s">
        <v>2291</v>
      </c>
      <c r="J140" s="57" t="s">
        <v>201</v>
      </c>
      <c r="K140" s="57" t="s">
        <v>591</v>
      </c>
      <c r="L140" s="31" t="s">
        <v>644</v>
      </c>
      <c r="M140" s="22">
        <v>1</v>
      </c>
      <c r="N140" s="46">
        <v>4464</v>
      </c>
      <c r="O140" s="49">
        <f t="shared" si="3"/>
        <v>4464</v>
      </c>
      <c r="P140" s="5" t="s">
        <v>391</v>
      </c>
      <c r="Q140" s="5" t="s">
        <v>1476</v>
      </c>
      <c r="R140" s="11" t="s">
        <v>1175</v>
      </c>
      <c r="S140" s="22">
        <v>50</v>
      </c>
    </row>
    <row r="141" spans="1:19" ht="51">
      <c r="A141" s="5">
        <v>126</v>
      </c>
      <c r="B141" s="29" t="s">
        <v>710</v>
      </c>
      <c r="C141" s="30" t="s">
        <v>711</v>
      </c>
      <c r="D141" s="5" t="s">
        <v>1088</v>
      </c>
      <c r="E141" s="57" t="s">
        <v>1089</v>
      </c>
      <c r="F141" s="57" t="s">
        <v>1089</v>
      </c>
      <c r="G141" s="57" t="s">
        <v>1646</v>
      </c>
      <c r="H141" s="57" t="s">
        <v>1090</v>
      </c>
      <c r="I141" s="57" t="s">
        <v>1647</v>
      </c>
      <c r="J141" s="57" t="s">
        <v>202</v>
      </c>
      <c r="K141" s="57" t="s">
        <v>591</v>
      </c>
      <c r="L141" s="31" t="s">
        <v>644</v>
      </c>
      <c r="M141" s="22">
        <v>200</v>
      </c>
      <c r="N141" s="46">
        <v>196</v>
      </c>
      <c r="O141" s="49">
        <f t="shared" si="3"/>
        <v>39200</v>
      </c>
      <c r="P141" s="5" t="s">
        <v>393</v>
      </c>
      <c r="Q141" s="5" t="s">
        <v>1476</v>
      </c>
      <c r="R141" s="11" t="s">
        <v>1175</v>
      </c>
      <c r="S141" s="22">
        <v>100</v>
      </c>
    </row>
    <row r="142" spans="1:19" ht="51">
      <c r="A142" s="5">
        <v>127</v>
      </c>
      <c r="B142" s="29" t="s">
        <v>710</v>
      </c>
      <c r="C142" s="30" t="s">
        <v>711</v>
      </c>
      <c r="D142" s="5" t="s">
        <v>1091</v>
      </c>
      <c r="E142" s="57" t="s">
        <v>1648</v>
      </c>
      <c r="F142" s="57" t="s">
        <v>1092</v>
      </c>
      <c r="G142" s="57" t="s">
        <v>1648</v>
      </c>
      <c r="H142" s="57" t="s">
        <v>1092</v>
      </c>
      <c r="I142" s="57" t="s">
        <v>1649</v>
      </c>
      <c r="J142" s="57" t="s">
        <v>203</v>
      </c>
      <c r="K142" s="57" t="s">
        <v>591</v>
      </c>
      <c r="L142" s="31" t="s">
        <v>644</v>
      </c>
      <c r="M142" s="22">
        <v>20</v>
      </c>
      <c r="N142" s="46">
        <f>O142/M142</f>
        <v>2534.5</v>
      </c>
      <c r="O142" s="49">
        <f>80360-29670</f>
        <v>50690</v>
      </c>
      <c r="P142" s="5" t="s">
        <v>515</v>
      </c>
      <c r="Q142" s="5" t="s">
        <v>1476</v>
      </c>
      <c r="R142" s="11" t="s">
        <v>1175</v>
      </c>
      <c r="S142" s="22">
        <v>100</v>
      </c>
    </row>
    <row r="143" spans="1:19" ht="51">
      <c r="A143" s="5">
        <v>128</v>
      </c>
      <c r="B143" s="29" t="s">
        <v>710</v>
      </c>
      <c r="C143" s="30" t="s">
        <v>711</v>
      </c>
      <c r="D143" s="5" t="s">
        <v>1093</v>
      </c>
      <c r="E143" s="57" t="s">
        <v>1650</v>
      </c>
      <c r="F143" s="57" t="s">
        <v>1094</v>
      </c>
      <c r="G143" s="57" t="s">
        <v>1651</v>
      </c>
      <c r="H143" s="57" t="s">
        <v>1095</v>
      </c>
      <c r="I143" s="57" t="s">
        <v>1652</v>
      </c>
      <c r="J143" s="57" t="s">
        <v>14</v>
      </c>
      <c r="K143" s="57" t="s">
        <v>591</v>
      </c>
      <c r="L143" s="5" t="s">
        <v>1480</v>
      </c>
      <c r="M143" s="22">
        <v>50</v>
      </c>
      <c r="N143" s="46">
        <v>759</v>
      </c>
      <c r="O143" s="49">
        <f t="shared" si="3"/>
        <v>37950</v>
      </c>
      <c r="P143" s="5" t="s">
        <v>588</v>
      </c>
      <c r="Q143" s="5" t="s">
        <v>1476</v>
      </c>
      <c r="R143" s="11" t="s">
        <v>1175</v>
      </c>
      <c r="S143" s="22">
        <v>100</v>
      </c>
    </row>
    <row r="144" spans="1:19" ht="63.75">
      <c r="A144" s="5">
        <v>129</v>
      </c>
      <c r="B144" s="29" t="s">
        <v>710</v>
      </c>
      <c r="C144" s="30" t="s">
        <v>711</v>
      </c>
      <c r="D144" s="5" t="s">
        <v>1096</v>
      </c>
      <c r="E144" s="57" t="s">
        <v>1653</v>
      </c>
      <c r="F144" s="57" t="s">
        <v>1097</v>
      </c>
      <c r="G144" s="57" t="s">
        <v>1654</v>
      </c>
      <c r="H144" s="57" t="s">
        <v>1098</v>
      </c>
      <c r="I144" s="57" t="s">
        <v>1655</v>
      </c>
      <c r="J144" s="57" t="s">
        <v>15</v>
      </c>
      <c r="K144" s="57" t="s">
        <v>591</v>
      </c>
      <c r="L144" s="5" t="s">
        <v>651</v>
      </c>
      <c r="M144" s="22">
        <v>4</v>
      </c>
      <c r="N144" s="46">
        <v>2232</v>
      </c>
      <c r="O144" s="49">
        <f t="shared" si="3"/>
        <v>8928</v>
      </c>
      <c r="P144" s="5" t="s">
        <v>393</v>
      </c>
      <c r="Q144" s="5" t="s">
        <v>393</v>
      </c>
      <c r="R144" s="11" t="s">
        <v>1175</v>
      </c>
      <c r="S144" s="22">
        <v>100</v>
      </c>
    </row>
    <row r="145" spans="1:19" ht="51">
      <c r="A145" s="5">
        <v>130</v>
      </c>
      <c r="B145" s="29" t="s">
        <v>710</v>
      </c>
      <c r="C145" s="30" t="s">
        <v>711</v>
      </c>
      <c r="D145" s="5" t="s">
        <v>1383</v>
      </c>
      <c r="E145" s="57" t="s">
        <v>1384</v>
      </c>
      <c r="F145" s="57" t="s">
        <v>1384</v>
      </c>
      <c r="G145" s="57" t="s">
        <v>1385</v>
      </c>
      <c r="H145" s="57" t="s">
        <v>1386</v>
      </c>
      <c r="I145" s="57" t="s">
        <v>1387</v>
      </c>
      <c r="J145" s="57" t="s">
        <v>30</v>
      </c>
      <c r="K145" s="57" t="s">
        <v>591</v>
      </c>
      <c r="L145" s="31" t="s">
        <v>644</v>
      </c>
      <c r="M145" s="22">
        <v>6</v>
      </c>
      <c r="N145" s="46">
        <v>3571</v>
      </c>
      <c r="O145" s="49">
        <f t="shared" si="3"/>
        <v>21426</v>
      </c>
      <c r="P145" s="5" t="s">
        <v>501</v>
      </c>
      <c r="Q145" s="5" t="s">
        <v>1476</v>
      </c>
      <c r="R145" s="11" t="s">
        <v>1175</v>
      </c>
      <c r="S145" s="22">
        <v>100</v>
      </c>
    </row>
    <row r="146" spans="1:19" ht="51">
      <c r="A146" s="5">
        <v>131</v>
      </c>
      <c r="B146" s="29" t="s">
        <v>710</v>
      </c>
      <c r="C146" s="30" t="s">
        <v>711</v>
      </c>
      <c r="D146" s="5" t="s">
        <v>1388</v>
      </c>
      <c r="E146" s="57" t="s">
        <v>1656</v>
      </c>
      <c r="F146" s="57" t="s">
        <v>1389</v>
      </c>
      <c r="G146" s="57" t="s">
        <v>1657</v>
      </c>
      <c r="H146" s="57" t="s">
        <v>1390</v>
      </c>
      <c r="I146" s="57" t="s">
        <v>1658</v>
      </c>
      <c r="J146" s="57" t="s">
        <v>31</v>
      </c>
      <c r="K146" s="57" t="s">
        <v>591</v>
      </c>
      <c r="L146" s="5" t="s">
        <v>1482</v>
      </c>
      <c r="M146" s="22">
        <v>6</v>
      </c>
      <c r="N146" s="46">
        <v>893</v>
      </c>
      <c r="O146" s="49">
        <f t="shared" si="3"/>
        <v>5358</v>
      </c>
      <c r="P146" s="5" t="s">
        <v>501</v>
      </c>
      <c r="Q146" s="5" t="s">
        <v>1476</v>
      </c>
      <c r="R146" s="11" t="s">
        <v>1175</v>
      </c>
      <c r="S146" s="22">
        <v>100</v>
      </c>
    </row>
    <row r="147" spans="1:19" ht="63.75">
      <c r="A147" s="5">
        <v>132</v>
      </c>
      <c r="B147" s="29" t="s">
        <v>710</v>
      </c>
      <c r="C147" s="30" t="s">
        <v>711</v>
      </c>
      <c r="D147" s="5" t="s">
        <v>1372</v>
      </c>
      <c r="E147" s="57" t="s">
        <v>1371</v>
      </c>
      <c r="F147" s="57" t="s">
        <v>605</v>
      </c>
      <c r="G147" s="57" t="s">
        <v>1659</v>
      </c>
      <c r="H147" s="57" t="s">
        <v>1373</v>
      </c>
      <c r="I147" s="57" t="s">
        <v>1660</v>
      </c>
      <c r="J147" s="57" t="s">
        <v>204</v>
      </c>
      <c r="K147" s="57" t="s">
        <v>591</v>
      </c>
      <c r="L147" s="5" t="s">
        <v>1478</v>
      </c>
      <c r="M147" s="22">
        <v>2400</v>
      </c>
      <c r="N147" s="46">
        <v>76</v>
      </c>
      <c r="O147" s="49">
        <f t="shared" si="3"/>
        <v>182400</v>
      </c>
      <c r="P147" s="5" t="s">
        <v>393</v>
      </c>
      <c r="Q147" s="5" t="s">
        <v>1476</v>
      </c>
      <c r="R147" s="11" t="s">
        <v>1175</v>
      </c>
      <c r="S147" s="22">
        <v>100</v>
      </c>
    </row>
    <row r="148" spans="1:19" ht="63.75">
      <c r="A148" s="5">
        <v>133</v>
      </c>
      <c r="B148" s="29" t="s">
        <v>710</v>
      </c>
      <c r="C148" s="30" t="s">
        <v>711</v>
      </c>
      <c r="D148" s="5" t="s">
        <v>603</v>
      </c>
      <c r="E148" s="57" t="s">
        <v>604</v>
      </c>
      <c r="F148" s="57" t="s">
        <v>605</v>
      </c>
      <c r="G148" s="57" t="s">
        <v>606</v>
      </c>
      <c r="H148" s="57" t="s">
        <v>607</v>
      </c>
      <c r="I148" s="57" t="s">
        <v>2255</v>
      </c>
      <c r="J148" s="57" t="s">
        <v>608</v>
      </c>
      <c r="K148" s="57" t="s">
        <v>591</v>
      </c>
      <c r="L148" s="5" t="s">
        <v>1478</v>
      </c>
      <c r="M148" s="22">
        <v>250</v>
      </c>
      <c r="N148" s="46">
        <v>446</v>
      </c>
      <c r="O148" s="49">
        <f t="shared" si="3"/>
        <v>111500</v>
      </c>
      <c r="P148" s="5" t="s">
        <v>612</v>
      </c>
      <c r="Q148" s="5" t="s">
        <v>766</v>
      </c>
      <c r="R148" s="11" t="s">
        <v>1175</v>
      </c>
      <c r="S148" s="22">
        <v>0</v>
      </c>
    </row>
    <row r="149" spans="1:19" ht="51">
      <c r="A149" s="5">
        <v>134</v>
      </c>
      <c r="B149" s="29" t="s">
        <v>710</v>
      </c>
      <c r="C149" s="30" t="s">
        <v>711</v>
      </c>
      <c r="D149" s="5" t="s">
        <v>1391</v>
      </c>
      <c r="E149" s="57" t="s">
        <v>1661</v>
      </c>
      <c r="F149" s="57" t="s">
        <v>1392</v>
      </c>
      <c r="G149" s="57" t="s">
        <v>1663</v>
      </c>
      <c r="H149" s="57" t="s">
        <v>1662</v>
      </c>
      <c r="I149" s="57" t="s">
        <v>1665</v>
      </c>
      <c r="J149" s="57" t="s">
        <v>1664</v>
      </c>
      <c r="K149" s="57" t="s">
        <v>591</v>
      </c>
      <c r="L149" s="5" t="s">
        <v>1480</v>
      </c>
      <c r="M149" s="22">
        <v>12</v>
      </c>
      <c r="N149" s="46">
        <v>268</v>
      </c>
      <c r="O149" s="49">
        <f t="shared" si="3"/>
        <v>3216</v>
      </c>
      <c r="P149" s="5" t="s">
        <v>699</v>
      </c>
      <c r="Q149" s="5" t="s">
        <v>766</v>
      </c>
      <c r="R149" s="11" t="s">
        <v>1175</v>
      </c>
      <c r="S149" s="22">
        <v>100</v>
      </c>
    </row>
    <row r="150" spans="1:19" ht="51">
      <c r="A150" s="5">
        <v>135</v>
      </c>
      <c r="B150" s="29" t="s">
        <v>710</v>
      </c>
      <c r="C150" s="30" t="s">
        <v>711</v>
      </c>
      <c r="D150" s="5" t="s">
        <v>1393</v>
      </c>
      <c r="E150" s="57" t="s">
        <v>1394</v>
      </c>
      <c r="F150" s="57" t="s">
        <v>1395</v>
      </c>
      <c r="G150" s="57" t="s">
        <v>1396</v>
      </c>
      <c r="H150" s="57" t="s">
        <v>1397</v>
      </c>
      <c r="I150" s="57" t="s">
        <v>1666</v>
      </c>
      <c r="J150" s="57" t="s">
        <v>205</v>
      </c>
      <c r="K150" s="57" t="s">
        <v>591</v>
      </c>
      <c r="L150" s="31" t="s">
        <v>644</v>
      </c>
      <c r="M150" s="22">
        <v>525</v>
      </c>
      <c r="N150" s="46">
        <v>134</v>
      </c>
      <c r="O150" s="49">
        <f t="shared" si="3"/>
        <v>70350</v>
      </c>
      <c r="P150" s="5" t="s">
        <v>501</v>
      </c>
      <c r="Q150" s="5" t="s">
        <v>1476</v>
      </c>
      <c r="R150" s="11" t="s">
        <v>1175</v>
      </c>
      <c r="S150" s="22">
        <v>100</v>
      </c>
    </row>
    <row r="151" spans="1:19" ht="127.5">
      <c r="A151" s="5">
        <v>136</v>
      </c>
      <c r="B151" s="29" t="s">
        <v>710</v>
      </c>
      <c r="C151" s="30" t="s">
        <v>711</v>
      </c>
      <c r="D151" s="5" t="s">
        <v>1377</v>
      </c>
      <c r="E151" s="57" t="s">
        <v>388</v>
      </c>
      <c r="F151" s="57" t="s">
        <v>388</v>
      </c>
      <c r="G151" s="57" t="s">
        <v>1667</v>
      </c>
      <c r="H151" s="57" t="s">
        <v>1378</v>
      </c>
      <c r="I151" s="57" t="s">
        <v>1668</v>
      </c>
      <c r="J151" s="57" t="s">
        <v>240</v>
      </c>
      <c r="K151" s="57" t="s">
        <v>591</v>
      </c>
      <c r="L151" s="31" t="s">
        <v>644</v>
      </c>
      <c r="M151" s="22">
        <v>4</v>
      </c>
      <c r="N151" s="46">
        <v>26786</v>
      </c>
      <c r="O151" s="49">
        <f t="shared" si="3"/>
        <v>107144</v>
      </c>
      <c r="P151" s="5" t="s">
        <v>515</v>
      </c>
      <c r="Q151" s="5" t="s">
        <v>1476</v>
      </c>
      <c r="R151" s="11" t="s">
        <v>1175</v>
      </c>
      <c r="S151" s="22">
        <v>0</v>
      </c>
    </row>
    <row r="152" spans="1:19" ht="127.5">
      <c r="A152" s="5">
        <v>137</v>
      </c>
      <c r="B152" s="29" t="s">
        <v>710</v>
      </c>
      <c r="C152" s="30" t="s">
        <v>711</v>
      </c>
      <c r="D152" s="5" t="s">
        <v>1377</v>
      </c>
      <c r="E152" s="57" t="s">
        <v>388</v>
      </c>
      <c r="F152" s="57" t="s">
        <v>388</v>
      </c>
      <c r="G152" s="57" t="s">
        <v>1667</v>
      </c>
      <c r="H152" s="57" t="s">
        <v>1378</v>
      </c>
      <c r="I152" s="57" t="s">
        <v>1669</v>
      </c>
      <c r="J152" s="57" t="s">
        <v>239</v>
      </c>
      <c r="K152" s="57" t="s">
        <v>591</v>
      </c>
      <c r="L152" s="31" t="s">
        <v>644</v>
      </c>
      <c r="M152" s="22">
        <v>4</v>
      </c>
      <c r="N152" s="46">
        <v>26786</v>
      </c>
      <c r="O152" s="49">
        <f t="shared" ref="O152:O215" si="4">M152*N152</f>
        <v>107144</v>
      </c>
      <c r="P152" s="5" t="s">
        <v>515</v>
      </c>
      <c r="Q152" s="5" t="s">
        <v>1476</v>
      </c>
      <c r="R152" s="11" t="s">
        <v>1175</v>
      </c>
      <c r="S152" s="22">
        <v>0</v>
      </c>
    </row>
    <row r="153" spans="1:19" ht="127.5">
      <c r="A153" s="5">
        <v>138</v>
      </c>
      <c r="B153" s="29" t="s">
        <v>710</v>
      </c>
      <c r="C153" s="30" t="s">
        <v>711</v>
      </c>
      <c r="D153" s="5" t="s">
        <v>1377</v>
      </c>
      <c r="E153" s="57" t="s">
        <v>388</v>
      </c>
      <c r="F153" s="57" t="s">
        <v>388</v>
      </c>
      <c r="G153" s="57" t="s">
        <v>1667</v>
      </c>
      <c r="H153" s="57" t="s">
        <v>1378</v>
      </c>
      <c r="I153" s="57" t="s">
        <v>1669</v>
      </c>
      <c r="J153" s="57" t="s">
        <v>239</v>
      </c>
      <c r="K153" s="57" t="s">
        <v>591</v>
      </c>
      <c r="L153" s="31" t="s">
        <v>644</v>
      </c>
      <c r="M153" s="22">
        <v>4</v>
      </c>
      <c r="N153" s="46">
        <v>26786</v>
      </c>
      <c r="O153" s="49">
        <f t="shared" si="4"/>
        <v>107144</v>
      </c>
      <c r="P153" s="5" t="s">
        <v>515</v>
      </c>
      <c r="Q153" s="5" t="s">
        <v>1476</v>
      </c>
      <c r="R153" s="11" t="s">
        <v>1175</v>
      </c>
      <c r="S153" s="22">
        <v>0</v>
      </c>
    </row>
    <row r="154" spans="1:19" ht="127.5">
      <c r="A154" s="5">
        <v>139</v>
      </c>
      <c r="B154" s="29" t="s">
        <v>710</v>
      </c>
      <c r="C154" s="30" t="s">
        <v>711</v>
      </c>
      <c r="D154" s="5" t="s">
        <v>1377</v>
      </c>
      <c r="E154" s="57" t="s">
        <v>388</v>
      </c>
      <c r="F154" s="57" t="s">
        <v>388</v>
      </c>
      <c r="G154" s="57" t="s">
        <v>1667</v>
      </c>
      <c r="H154" s="57" t="s">
        <v>1378</v>
      </c>
      <c r="I154" s="57" t="s">
        <v>1670</v>
      </c>
      <c r="J154" s="57" t="s">
        <v>1528</v>
      </c>
      <c r="K154" s="57" t="s">
        <v>591</v>
      </c>
      <c r="L154" s="31" t="s">
        <v>644</v>
      </c>
      <c r="M154" s="22">
        <v>4</v>
      </c>
      <c r="N154" s="46">
        <v>26786</v>
      </c>
      <c r="O154" s="49">
        <f t="shared" si="4"/>
        <v>107144</v>
      </c>
      <c r="P154" s="5" t="s">
        <v>515</v>
      </c>
      <c r="Q154" s="5" t="s">
        <v>1476</v>
      </c>
      <c r="R154" s="11" t="s">
        <v>1175</v>
      </c>
      <c r="S154" s="22">
        <v>0</v>
      </c>
    </row>
    <row r="155" spans="1:19" ht="114.75">
      <c r="A155" s="5">
        <v>140</v>
      </c>
      <c r="B155" s="29" t="s">
        <v>710</v>
      </c>
      <c r="C155" s="30" t="s">
        <v>711</v>
      </c>
      <c r="D155" s="5" t="s">
        <v>1379</v>
      </c>
      <c r="E155" s="57" t="s">
        <v>388</v>
      </c>
      <c r="F155" s="57" t="s">
        <v>388</v>
      </c>
      <c r="G155" s="57" t="s">
        <v>1667</v>
      </c>
      <c r="H155" s="57" t="s">
        <v>1380</v>
      </c>
      <c r="I155" s="57" t="s">
        <v>1671</v>
      </c>
      <c r="J155" s="57" t="s">
        <v>237</v>
      </c>
      <c r="K155" s="57" t="s">
        <v>591</v>
      </c>
      <c r="L155" s="31" t="s">
        <v>644</v>
      </c>
      <c r="M155" s="22">
        <v>4</v>
      </c>
      <c r="N155" s="46">
        <v>26786</v>
      </c>
      <c r="O155" s="49">
        <f t="shared" si="4"/>
        <v>107144</v>
      </c>
      <c r="P155" s="5" t="s">
        <v>515</v>
      </c>
      <c r="Q155" s="5" t="s">
        <v>1476</v>
      </c>
      <c r="R155" s="11" t="s">
        <v>1175</v>
      </c>
      <c r="S155" s="22">
        <v>0</v>
      </c>
    </row>
    <row r="156" spans="1:19" ht="114.75">
      <c r="A156" s="5">
        <v>141</v>
      </c>
      <c r="B156" s="29" t="s">
        <v>710</v>
      </c>
      <c r="C156" s="30" t="s">
        <v>711</v>
      </c>
      <c r="D156" s="5" t="s">
        <v>1379</v>
      </c>
      <c r="E156" s="57" t="s">
        <v>388</v>
      </c>
      <c r="F156" s="57" t="s">
        <v>388</v>
      </c>
      <c r="G156" s="57" t="s">
        <v>1667</v>
      </c>
      <c r="H156" s="57" t="s">
        <v>1380</v>
      </c>
      <c r="I156" s="57" t="s">
        <v>1671</v>
      </c>
      <c r="J156" s="57" t="s">
        <v>238</v>
      </c>
      <c r="K156" s="57" t="s">
        <v>591</v>
      </c>
      <c r="L156" s="31" t="s">
        <v>644</v>
      </c>
      <c r="M156" s="22">
        <v>4</v>
      </c>
      <c r="N156" s="46">
        <v>26786</v>
      </c>
      <c r="O156" s="49">
        <f t="shared" si="4"/>
        <v>107144</v>
      </c>
      <c r="P156" s="5" t="s">
        <v>515</v>
      </c>
      <c r="Q156" s="5" t="s">
        <v>1476</v>
      </c>
      <c r="R156" s="11" t="s">
        <v>1175</v>
      </c>
      <c r="S156" s="22">
        <v>0</v>
      </c>
    </row>
    <row r="157" spans="1:19" ht="102">
      <c r="A157" s="5">
        <v>142</v>
      </c>
      <c r="B157" s="29" t="s">
        <v>710</v>
      </c>
      <c r="C157" s="30" t="s">
        <v>711</v>
      </c>
      <c r="D157" s="5" t="s">
        <v>630</v>
      </c>
      <c r="E157" s="57" t="s">
        <v>631</v>
      </c>
      <c r="F157" s="57" t="s">
        <v>631</v>
      </c>
      <c r="G157" s="57" t="s">
        <v>802</v>
      </c>
      <c r="H157" s="57" t="s">
        <v>632</v>
      </c>
      <c r="I157" s="57" t="s">
        <v>2100</v>
      </c>
      <c r="J157" s="57" t="s">
        <v>98</v>
      </c>
      <c r="K157" s="57" t="s">
        <v>591</v>
      </c>
      <c r="L157" s="31" t="s">
        <v>644</v>
      </c>
      <c r="M157" s="22">
        <v>6</v>
      </c>
      <c r="N157" s="46">
        <v>47619</v>
      </c>
      <c r="O157" s="49">
        <f t="shared" si="4"/>
        <v>285714</v>
      </c>
      <c r="P157" s="5" t="s">
        <v>506</v>
      </c>
      <c r="Q157" s="5" t="s">
        <v>766</v>
      </c>
      <c r="R157" s="11" t="s">
        <v>2030</v>
      </c>
      <c r="S157" s="22">
        <v>100</v>
      </c>
    </row>
    <row r="158" spans="1:19" ht="102">
      <c r="A158" s="5">
        <v>143</v>
      </c>
      <c r="B158" s="15" t="s">
        <v>710</v>
      </c>
      <c r="C158" s="30" t="s">
        <v>711</v>
      </c>
      <c r="D158" s="5" t="s">
        <v>630</v>
      </c>
      <c r="E158" s="57" t="s">
        <v>631</v>
      </c>
      <c r="F158" s="57" t="s">
        <v>631</v>
      </c>
      <c r="G158" s="57" t="s">
        <v>802</v>
      </c>
      <c r="H158" s="57" t="s">
        <v>632</v>
      </c>
      <c r="I158" s="57" t="s">
        <v>2100</v>
      </c>
      <c r="J158" s="57" t="s">
        <v>98</v>
      </c>
      <c r="K158" s="57" t="s">
        <v>591</v>
      </c>
      <c r="L158" s="31" t="s">
        <v>644</v>
      </c>
      <c r="M158" s="22">
        <v>6</v>
      </c>
      <c r="N158" s="46">
        <v>47619</v>
      </c>
      <c r="O158" s="49">
        <f t="shared" si="4"/>
        <v>285714</v>
      </c>
      <c r="P158" s="5" t="s">
        <v>588</v>
      </c>
      <c r="Q158" s="5" t="s">
        <v>1051</v>
      </c>
      <c r="R158" s="11" t="s">
        <v>1021</v>
      </c>
      <c r="S158" s="5">
        <v>100</v>
      </c>
    </row>
    <row r="159" spans="1:19" ht="102">
      <c r="A159" s="5">
        <v>144</v>
      </c>
      <c r="B159" s="15" t="s">
        <v>710</v>
      </c>
      <c r="C159" s="30" t="s">
        <v>711</v>
      </c>
      <c r="D159" s="5" t="s">
        <v>630</v>
      </c>
      <c r="E159" s="57" t="s">
        <v>631</v>
      </c>
      <c r="F159" s="57" t="s">
        <v>631</v>
      </c>
      <c r="G159" s="57" t="s">
        <v>802</v>
      </c>
      <c r="H159" s="57" t="s">
        <v>632</v>
      </c>
      <c r="I159" s="57" t="s">
        <v>2100</v>
      </c>
      <c r="J159" s="57" t="s">
        <v>98</v>
      </c>
      <c r="K159" s="57" t="s">
        <v>591</v>
      </c>
      <c r="L159" s="31" t="s">
        <v>644</v>
      </c>
      <c r="M159" s="22">
        <v>6</v>
      </c>
      <c r="N159" s="46">
        <v>47619</v>
      </c>
      <c r="O159" s="49">
        <f t="shared" si="4"/>
        <v>285714</v>
      </c>
      <c r="P159" s="5" t="s">
        <v>501</v>
      </c>
      <c r="Q159" s="14" t="s">
        <v>1474</v>
      </c>
      <c r="R159" s="11" t="s">
        <v>789</v>
      </c>
      <c r="S159" s="5">
        <v>100</v>
      </c>
    </row>
    <row r="160" spans="1:19" s="13" customFormat="1" ht="102">
      <c r="A160" s="5">
        <v>145</v>
      </c>
      <c r="B160" s="15" t="s">
        <v>710</v>
      </c>
      <c r="C160" s="30" t="s">
        <v>711</v>
      </c>
      <c r="D160" s="5" t="s">
        <v>630</v>
      </c>
      <c r="E160" s="57" t="s">
        <v>631</v>
      </c>
      <c r="F160" s="57" t="s">
        <v>631</v>
      </c>
      <c r="G160" s="57" t="s">
        <v>802</v>
      </c>
      <c r="H160" s="57" t="s">
        <v>632</v>
      </c>
      <c r="I160" s="57" t="s">
        <v>2100</v>
      </c>
      <c r="J160" s="57" t="s">
        <v>98</v>
      </c>
      <c r="K160" s="57" t="s">
        <v>591</v>
      </c>
      <c r="L160" s="31" t="s">
        <v>644</v>
      </c>
      <c r="M160" s="22">
        <v>6</v>
      </c>
      <c r="N160" s="46">
        <v>47619</v>
      </c>
      <c r="O160" s="49">
        <f t="shared" si="4"/>
        <v>285714</v>
      </c>
      <c r="P160" s="5" t="s">
        <v>501</v>
      </c>
      <c r="Q160" s="5" t="s">
        <v>1051</v>
      </c>
      <c r="R160" s="11" t="s">
        <v>2023</v>
      </c>
      <c r="S160" s="22">
        <v>100</v>
      </c>
    </row>
    <row r="161" spans="1:19" ht="102">
      <c r="A161" s="5">
        <v>146</v>
      </c>
      <c r="B161" s="15" t="s">
        <v>710</v>
      </c>
      <c r="C161" s="30" t="s">
        <v>711</v>
      </c>
      <c r="D161" s="5" t="s">
        <v>630</v>
      </c>
      <c r="E161" s="57" t="s">
        <v>631</v>
      </c>
      <c r="F161" s="57" t="s">
        <v>631</v>
      </c>
      <c r="G161" s="57" t="s">
        <v>802</v>
      </c>
      <c r="H161" s="57" t="s">
        <v>632</v>
      </c>
      <c r="I161" s="57" t="s">
        <v>2100</v>
      </c>
      <c r="J161" s="57" t="s">
        <v>98</v>
      </c>
      <c r="K161" s="57" t="s">
        <v>591</v>
      </c>
      <c r="L161" s="31" t="s">
        <v>644</v>
      </c>
      <c r="M161" s="22">
        <v>6</v>
      </c>
      <c r="N161" s="46">
        <v>47619</v>
      </c>
      <c r="O161" s="49">
        <f t="shared" si="4"/>
        <v>285714</v>
      </c>
      <c r="P161" s="5" t="s">
        <v>506</v>
      </c>
      <c r="Q161" s="5" t="s">
        <v>1051</v>
      </c>
      <c r="R161" s="11" t="s">
        <v>633</v>
      </c>
      <c r="S161" s="22">
        <v>30</v>
      </c>
    </row>
    <row r="162" spans="1:19" ht="102">
      <c r="A162" s="5">
        <v>147</v>
      </c>
      <c r="B162" s="15" t="s">
        <v>710</v>
      </c>
      <c r="C162" s="30" t="s">
        <v>711</v>
      </c>
      <c r="D162" s="5" t="s">
        <v>630</v>
      </c>
      <c r="E162" s="57" t="s">
        <v>631</v>
      </c>
      <c r="F162" s="57" t="s">
        <v>631</v>
      </c>
      <c r="G162" s="57" t="s">
        <v>802</v>
      </c>
      <c r="H162" s="57" t="s">
        <v>632</v>
      </c>
      <c r="I162" s="57" t="s">
        <v>2100</v>
      </c>
      <c r="J162" s="57" t="s">
        <v>98</v>
      </c>
      <c r="K162" s="57" t="s">
        <v>591</v>
      </c>
      <c r="L162" s="31" t="s">
        <v>644</v>
      </c>
      <c r="M162" s="22">
        <v>6</v>
      </c>
      <c r="N162" s="46">
        <v>47619</v>
      </c>
      <c r="O162" s="49">
        <f t="shared" si="4"/>
        <v>285714</v>
      </c>
      <c r="P162" s="5" t="s">
        <v>586</v>
      </c>
      <c r="Q162" s="5" t="s">
        <v>766</v>
      </c>
      <c r="R162" s="11" t="s">
        <v>2514</v>
      </c>
      <c r="S162" s="22">
        <v>30</v>
      </c>
    </row>
    <row r="163" spans="1:19" ht="102">
      <c r="A163" s="5">
        <v>148</v>
      </c>
      <c r="B163" s="15" t="s">
        <v>710</v>
      </c>
      <c r="C163" s="30" t="s">
        <v>711</v>
      </c>
      <c r="D163" s="5" t="s">
        <v>630</v>
      </c>
      <c r="E163" s="57" t="s">
        <v>631</v>
      </c>
      <c r="F163" s="57" t="s">
        <v>631</v>
      </c>
      <c r="G163" s="57" t="s">
        <v>802</v>
      </c>
      <c r="H163" s="57" t="s">
        <v>632</v>
      </c>
      <c r="I163" s="57" t="s">
        <v>2100</v>
      </c>
      <c r="J163" s="57" t="s">
        <v>98</v>
      </c>
      <c r="K163" s="57" t="s">
        <v>591</v>
      </c>
      <c r="L163" s="31" t="s">
        <v>644</v>
      </c>
      <c r="M163" s="22">
        <v>6</v>
      </c>
      <c r="N163" s="46">
        <f>O163/M163</f>
        <v>0</v>
      </c>
      <c r="O163" s="49">
        <f>285714-285714</f>
        <v>0</v>
      </c>
      <c r="P163" s="5" t="s">
        <v>515</v>
      </c>
      <c r="Q163" s="5" t="s">
        <v>766</v>
      </c>
      <c r="R163" s="11" t="s">
        <v>2024</v>
      </c>
      <c r="S163" s="5">
        <v>30</v>
      </c>
    </row>
    <row r="164" spans="1:19" ht="102">
      <c r="A164" s="5">
        <v>149</v>
      </c>
      <c r="B164" s="15" t="s">
        <v>710</v>
      </c>
      <c r="C164" s="30" t="s">
        <v>711</v>
      </c>
      <c r="D164" s="5" t="s">
        <v>630</v>
      </c>
      <c r="E164" s="57" t="s">
        <v>631</v>
      </c>
      <c r="F164" s="57" t="s">
        <v>631</v>
      </c>
      <c r="G164" s="57" t="s">
        <v>802</v>
      </c>
      <c r="H164" s="57" t="s">
        <v>632</v>
      </c>
      <c r="I164" s="57" t="s">
        <v>2100</v>
      </c>
      <c r="J164" s="57" t="s">
        <v>98</v>
      </c>
      <c r="K164" s="57" t="s">
        <v>591</v>
      </c>
      <c r="L164" s="31" t="s">
        <v>644</v>
      </c>
      <c r="M164" s="22">
        <v>6</v>
      </c>
      <c r="N164" s="46">
        <f>O164/M164</f>
        <v>0</v>
      </c>
      <c r="O164" s="49">
        <f>285714-285714</f>
        <v>0</v>
      </c>
      <c r="P164" s="5" t="s">
        <v>501</v>
      </c>
      <c r="Q164" s="5" t="s">
        <v>1051</v>
      </c>
      <c r="R164" s="11" t="s">
        <v>2597</v>
      </c>
      <c r="S164" s="22">
        <v>30</v>
      </c>
    </row>
    <row r="165" spans="1:19" ht="102">
      <c r="A165" s="5">
        <v>150</v>
      </c>
      <c r="B165" s="15" t="s">
        <v>710</v>
      </c>
      <c r="C165" s="30" t="s">
        <v>711</v>
      </c>
      <c r="D165" s="5" t="s">
        <v>630</v>
      </c>
      <c r="E165" s="57" t="s">
        <v>631</v>
      </c>
      <c r="F165" s="57" t="s">
        <v>631</v>
      </c>
      <c r="G165" s="57" t="s">
        <v>802</v>
      </c>
      <c r="H165" s="57" t="s">
        <v>632</v>
      </c>
      <c r="I165" s="57" t="s">
        <v>2100</v>
      </c>
      <c r="J165" s="57" t="s">
        <v>98</v>
      </c>
      <c r="K165" s="57" t="s">
        <v>591</v>
      </c>
      <c r="L165" s="31" t="s">
        <v>644</v>
      </c>
      <c r="M165" s="22">
        <v>6</v>
      </c>
      <c r="N165" s="46">
        <v>47619</v>
      </c>
      <c r="O165" s="49">
        <f t="shared" si="4"/>
        <v>285714</v>
      </c>
      <c r="P165" s="5" t="s">
        <v>588</v>
      </c>
      <c r="Q165" s="14" t="s">
        <v>1474</v>
      </c>
      <c r="R165" s="11" t="s">
        <v>925</v>
      </c>
      <c r="S165" s="22">
        <v>50</v>
      </c>
    </row>
    <row r="166" spans="1:19" ht="114.75">
      <c r="A166" s="5">
        <v>151</v>
      </c>
      <c r="B166" s="15" t="s">
        <v>710</v>
      </c>
      <c r="C166" s="30" t="s">
        <v>711</v>
      </c>
      <c r="D166" s="5" t="s">
        <v>387</v>
      </c>
      <c r="E166" s="57" t="s">
        <v>388</v>
      </c>
      <c r="F166" s="57" t="s">
        <v>388</v>
      </c>
      <c r="G166" s="57" t="s">
        <v>2101</v>
      </c>
      <c r="H166" s="57" t="s">
        <v>389</v>
      </c>
      <c r="I166" s="57" t="s">
        <v>2102</v>
      </c>
      <c r="J166" s="57" t="s">
        <v>390</v>
      </c>
      <c r="K166" s="57" t="s">
        <v>591</v>
      </c>
      <c r="L166" s="31" t="s">
        <v>644</v>
      </c>
      <c r="M166" s="22">
        <v>4</v>
      </c>
      <c r="N166" s="46">
        <v>45000</v>
      </c>
      <c r="O166" s="49">
        <f t="shared" si="4"/>
        <v>180000</v>
      </c>
      <c r="P166" s="5" t="s">
        <v>391</v>
      </c>
      <c r="Q166" s="14" t="s">
        <v>1474</v>
      </c>
      <c r="R166" s="11" t="s">
        <v>2507</v>
      </c>
      <c r="S166" s="22">
        <v>100</v>
      </c>
    </row>
    <row r="167" spans="1:19" ht="51.75" customHeight="1">
      <c r="A167" s="5">
        <v>152</v>
      </c>
      <c r="B167" s="29" t="s">
        <v>710</v>
      </c>
      <c r="C167" s="30" t="s">
        <v>711</v>
      </c>
      <c r="D167" s="5" t="s">
        <v>630</v>
      </c>
      <c r="E167" s="57" t="s">
        <v>631</v>
      </c>
      <c r="F167" s="57" t="s">
        <v>631</v>
      </c>
      <c r="G167" s="57" t="s">
        <v>802</v>
      </c>
      <c r="H167" s="57" t="s">
        <v>632</v>
      </c>
      <c r="I167" s="57" t="s">
        <v>2100</v>
      </c>
      <c r="J167" s="57" t="s">
        <v>98</v>
      </c>
      <c r="K167" s="57" t="s">
        <v>591</v>
      </c>
      <c r="L167" s="31" t="s">
        <v>644</v>
      </c>
      <c r="M167" s="22">
        <v>6</v>
      </c>
      <c r="N167" s="46">
        <v>47619</v>
      </c>
      <c r="O167" s="49">
        <f t="shared" si="4"/>
        <v>285714</v>
      </c>
      <c r="P167" s="5" t="s">
        <v>515</v>
      </c>
      <c r="Q167" s="5" t="s">
        <v>612</v>
      </c>
      <c r="R167" s="11" t="s">
        <v>715</v>
      </c>
      <c r="S167" s="22">
        <v>50</v>
      </c>
    </row>
    <row r="168" spans="1:19" s="32" customFormat="1" ht="127.5">
      <c r="A168" s="5">
        <v>153</v>
      </c>
      <c r="B168" s="15" t="s">
        <v>710</v>
      </c>
      <c r="C168" s="30" t="s">
        <v>711</v>
      </c>
      <c r="D168" s="5" t="s">
        <v>2369</v>
      </c>
      <c r="E168" s="57" t="s">
        <v>388</v>
      </c>
      <c r="F168" s="57" t="s">
        <v>388</v>
      </c>
      <c r="G168" s="57" t="s">
        <v>2371</v>
      </c>
      <c r="H168" s="57" t="s">
        <v>2370</v>
      </c>
      <c r="I168" s="57" t="s">
        <v>2102</v>
      </c>
      <c r="J168" s="57" t="s">
        <v>390</v>
      </c>
      <c r="K168" s="57" t="s">
        <v>591</v>
      </c>
      <c r="L168" s="31" t="s">
        <v>644</v>
      </c>
      <c r="M168" s="22">
        <v>4</v>
      </c>
      <c r="N168" s="46">
        <v>44643</v>
      </c>
      <c r="O168" s="49">
        <f t="shared" si="4"/>
        <v>178572</v>
      </c>
      <c r="P168" s="5" t="s">
        <v>612</v>
      </c>
      <c r="Q168" s="5" t="s">
        <v>501</v>
      </c>
      <c r="R168" s="11" t="s">
        <v>902</v>
      </c>
      <c r="S168" s="22">
        <v>100</v>
      </c>
    </row>
    <row r="169" spans="1:19" ht="102">
      <c r="A169" s="5">
        <v>154</v>
      </c>
      <c r="B169" s="15" t="s">
        <v>710</v>
      </c>
      <c r="C169" s="30" t="s">
        <v>711</v>
      </c>
      <c r="D169" s="5" t="s">
        <v>630</v>
      </c>
      <c r="E169" s="57" t="s">
        <v>631</v>
      </c>
      <c r="F169" s="57" t="s">
        <v>631</v>
      </c>
      <c r="G169" s="57" t="s">
        <v>802</v>
      </c>
      <c r="H169" s="57" t="s">
        <v>632</v>
      </c>
      <c r="I169" s="57" t="s">
        <v>2100</v>
      </c>
      <c r="J169" s="57" t="s">
        <v>98</v>
      </c>
      <c r="K169" s="57" t="s">
        <v>591</v>
      </c>
      <c r="L169" s="31" t="s">
        <v>644</v>
      </c>
      <c r="M169" s="22">
        <v>6</v>
      </c>
      <c r="N169" s="46">
        <v>47619</v>
      </c>
      <c r="O169" s="49">
        <f t="shared" si="4"/>
        <v>285714</v>
      </c>
      <c r="P169" s="5" t="s">
        <v>506</v>
      </c>
      <c r="Q169" s="5" t="s">
        <v>506</v>
      </c>
      <c r="R169" s="11" t="s">
        <v>2029</v>
      </c>
      <c r="S169" s="5">
        <v>50</v>
      </c>
    </row>
    <row r="170" spans="1:19" ht="102">
      <c r="A170" s="5">
        <v>155</v>
      </c>
      <c r="B170" s="29" t="s">
        <v>710</v>
      </c>
      <c r="C170" s="30" t="s">
        <v>711</v>
      </c>
      <c r="D170" s="5" t="s">
        <v>765</v>
      </c>
      <c r="E170" s="57" t="s">
        <v>2166</v>
      </c>
      <c r="F170" s="57" t="s">
        <v>392</v>
      </c>
      <c r="G170" s="57" t="s">
        <v>2168</v>
      </c>
      <c r="H170" s="57" t="s">
        <v>2167</v>
      </c>
      <c r="I170" s="57" t="s">
        <v>2169</v>
      </c>
      <c r="J170" s="57" t="s">
        <v>99</v>
      </c>
      <c r="K170" s="57" t="s">
        <v>591</v>
      </c>
      <c r="L170" s="5" t="s">
        <v>1480</v>
      </c>
      <c r="M170" s="22">
        <v>12465</v>
      </c>
      <c r="N170" s="46">
        <v>104</v>
      </c>
      <c r="O170" s="49">
        <f t="shared" si="4"/>
        <v>1296360</v>
      </c>
      <c r="P170" s="5" t="s">
        <v>393</v>
      </c>
      <c r="Q170" s="5" t="s">
        <v>766</v>
      </c>
      <c r="R170" s="11" t="s">
        <v>2030</v>
      </c>
      <c r="S170" s="22">
        <v>100</v>
      </c>
    </row>
    <row r="171" spans="1:19" ht="102">
      <c r="A171" s="5">
        <v>156</v>
      </c>
      <c r="B171" s="29" t="s">
        <v>710</v>
      </c>
      <c r="C171" s="30" t="s">
        <v>711</v>
      </c>
      <c r="D171" s="5" t="s">
        <v>765</v>
      </c>
      <c r="E171" s="57" t="s">
        <v>2166</v>
      </c>
      <c r="F171" s="57" t="s">
        <v>392</v>
      </c>
      <c r="G171" s="57" t="s">
        <v>2168</v>
      </c>
      <c r="H171" s="57" t="s">
        <v>2167</v>
      </c>
      <c r="I171" s="57" t="s">
        <v>2169</v>
      </c>
      <c r="J171" s="57" t="s">
        <v>99</v>
      </c>
      <c r="K171" s="57" t="s">
        <v>591</v>
      </c>
      <c r="L171" s="5" t="s">
        <v>1480</v>
      </c>
      <c r="M171" s="22">
        <v>9349</v>
      </c>
      <c r="N171" s="46">
        <v>104</v>
      </c>
      <c r="O171" s="49">
        <f t="shared" si="4"/>
        <v>972296</v>
      </c>
      <c r="P171" s="5" t="s">
        <v>393</v>
      </c>
      <c r="Q171" s="5" t="s">
        <v>766</v>
      </c>
      <c r="R171" s="11" t="s">
        <v>1021</v>
      </c>
      <c r="S171" s="5">
        <v>100</v>
      </c>
    </row>
    <row r="172" spans="1:19" ht="102">
      <c r="A172" s="5">
        <v>157</v>
      </c>
      <c r="B172" s="29" t="s">
        <v>710</v>
      </c>
      <c r="C172" s="30" t="s">
        <v>711</v>
      </c>
      <c r="D172" s="5" t="s">
        <v>765</v>
      </c>
      <c r="E172" s="57" t="s">
        <v>2166</v>
      </c>
      <c r="F172" s="57" t="s">
        <v>392</v>
      </c>
      <c r="G172" s="57" t="s">
        <v>2168</v>
      </c>
      <c r="H172" s="57" t="s">
        <v>2167</v>
      </c>
      <c r="I172" s="57" t="s">
        <v>2169</v>
      </c>
      <c r="J172" s="57" t="s">
        <v>99</v>
      </c>
      <c r="K172" s="57" t="s">
        <v>591</v>
      </c>
      <c r="L172" s="5" t="s">
        <v>1480</v>
      </c>
      <c r="M172" s="22">
        <v>15960</v>
      </c>
      <c r="N172" s="46">
        <v>104</v>
      </c>
      <c r="O172" s="49">
        <f t="shared" si="4"/>
        <v>1659840</v>
      </c>
      <c r="P172" s="5" t="s">
        <v>393</v>
      </c>
      <c r="Q172" s="5" t="s">
        <v>766</v>
      </c>
      <c r="R172" s="11" t="s">
        <v>789</v>
      </c>
      <c r="S172" s="5">
        <v>100</v>
      </c>
    </row>
    <row r="173" spans="1:19" s="13" customFormat="1" ht="102">
      <c r="A173" s="5">
        <v>158</v>
      </c>
      <c r="B173" s="29" t="s">
        <v>710</v>
      </c>
      <c r="C173" s="30" t="s">
        <v>711</v>
      </c>
      <c r="D173" s="5" t="s">
        <v>765</v>
      </c>
      <c r="E173" s="57" t="s">
        <v>2166</v>
      </c>
      <c r="F173" s="57" t="s">
        <v>392</v>
      </c>
      <c r="G173" s="57" t="s">
        <v>2168</v>
      </c>
      <c r="H173" s="57" t="s">
        <v>2167</v>
      </c>
      <c r="I173" s="57" t="s">
        <v>2169</v>
      </c>
      <c r="J173" s="57" t="s">
        <v>99</v>
      </c>
      <c r="K173" s="57" t="s">
        <v>591</v>
      </c>
      <c r="L173" s="5" t="s">
        <v>1480</v>
      </c>
      <c r="M173" s="22">
        <v>12180</v>
      </c>
      <c r="N173" s="46">
        <v>104</v>
      </c>
      <c r="O173" s="49">
        <f t="shared" si="4"/>
        <v>1266720</v>
      </c>
      <c r="P173" s="5" t="s">
        <v>515</v>
      </c>
      <c r="Q173" s="5" t="s">
        <v>766</v>
      </c>
      <c r="R173" s="11" t="s">
        <v>2023</v>
      </c>
      <c r="S173" s="22">
        <v>100</v>
      </c>
    </row>
    <row r="174" spans="1:19" ht="102">
      <c r="A174" s="5">
        <v>159</v>
      </c>
      <c r="B174" s="29" t="s">
        <v>710</v>
      </c>
      <c r="C174" s="30" t="s">
        <v>711</v>
      </c>
      <c r="D174" s="5" t="s">
        <v>765</v>
      </c>
      <c r="E174" s="57" t="s">
        <v>2166</v>
      </c>
      <c r="F174" s="57" t="s">
        <v>392</v>
      </c>
      <c r="G174" s="57" t="s">
        <v>2168</v>
      </c>
      <c r="H174" s="57" t="s">
        <v>2167</v>
      </c>
      <c r="I174" s="57" t="s">
        <v>2169</v>
      </c>
      <c r="J174" s="57" t="s">
        <v>99</v>
      </c>
      <c r="K174" s="57" t="s">
        <v>591</v>
      </c>
      <c r="L174" s="5" t="s">
        <v>1480</v>
      </c>
      <c r="M174" s="22">
        <v>15742</v>
      </c>
      <c r="N174" s="46">
        <v>104</v>
      </c>
      <c r="O174" s="49">
        <f t="shared" si="4"/>
        <v>1637168</v>
      </c>
      <c r="P174" s="5" t="s">
        <v>393</v>
      </c>
      <c r="Q174" s="5" t="s">
        <v>766</v>
      </c>
      <c r="R174" s="11" t="s">
        <v>633</v>
      </c>
      <c r="S174" s="22">
        <v>100</v>
      </c>
    </row>
    <row r="175" spans="1:19" ht="102">
      <c r="A175" s="5">
        <v>160</v>
      </c>
      <c r="B175" s="29" t="s">
        <v>710</v>
      </c>
      <c r="C175" s="30" t="s">
        <v>711</v>
      </c>
      <c r="D175" s="5" t="s">
        <v>765</v>
      </c>
      <c r="E175" s="57" t="s">
        <v>2166</v>
      </c>
      <c r="F175" s="57" t="s">
        <v>392</v>
      </c>
      <c r="G175" s="57" t="s">
        <v>2168</v>
      </c>
      <c r="H175" s="57" t="s">
        <v>2167</v>
      </c>
      <c r="I175" s="57" t="s">
        <v>2169</v>
      </c>
      <c r="J175" s="57" t="s">
        <v>99</v>
      </c>
      <c r="K175" s="57" t="s">
        <v>591</v>
      </c>
      <c r="L175" s="5" t="s">
        <v>1480</v>
      </c>
      <c r="M175" s="22">
        <v>12001</v>
      </c>
      <c r="N175" s="46">
        <v>104</v>
      </c>
      <c r="O175" s="49">
        <f t="shared" si="4"/>
        <v>1248104</v>
      </c>
      <c r="P175" s="5" t="s">
        <v>393</v>
      </c>
      <c r="Q175" s="5" t="s">
        <v>766</v>
      </c>
      <c r="R175" s="11" t="s">
        <v>2514</v>
      </c>
      <c r="S175" s="22">
        <v>100</v>
      </c>
    </row>
    <row r="176" spans="1:19" ht="102">
      <c r="A176" s="5">
        <v>161</v>
      </c>
      <c r="B176" s="29" t="s">
        <v>710</v>
      </c>
      <c r="C176" s="30" t="s">
        <v>711</v>
      </c>
      <c r="D176" s="5" t="s">
        <v>765</v>
      </c>
      <c r="E176" s="57" t="s">
        <v>2166</v>
      </c>
      <c r="F176" s="57" t="s">
        <v>392</v>
      </c>
      <c r="G176" s="57" t="s">
        <v>2168</v>
      </c>
      <c r="H176" s="57" t="s">
        <v>2167</v>
      </c>
      <c r="I176" s="57" t="s">
        <v>2169</v>
      </c>
      <c r="J176" s="57" t="s">
        <v>99</v>
      </c>
      <c r="K176" s="57" t="s">
        <v>591</v>
      </c>
      <c r="L176" s="5" t="s">
        <v>1480</v>
      </c>
      <c r="M176" s="22">
        <v>9349</v>
      </c>
      <c r="N176" s="46">
        <v>104</v>
      </c>
      <c r="O176" s="49">
        <f t="shared" si="4"/>
        <v>972296</v>
      </c>
      <c r="P176" s="5" t="s">
        <v>393</v>
      </c>
      <c r="Q176" s="5" t="s">
        <v>766</v>
      </c>
      <c r="R176" s="11" t="s">
        <v>2024</v>
      </c>
      <c r="S176" s="5">
        <v>100</v>
      </c>
    </row>
    <row r="177" spans="1:19" ht="102">
      <c r="A177" s="5">
        <v>162</v>
      </c>
      <c r="B177" s="29" t="s">
        <v>710</v>
      </c>
      <c r="C177" s="30" t="s">
        <v>711</v>
      </c>
      <c r="D177" s="5" t="s">
        <v>765</v>
      </c>
      <c r="E177" s="57" t="s">
        <v>2166</v>
      </c>
      <c r="F177" s="57" t="s">
        <v>392</v>
      </c>
      <c r="G177" s="57" t="s">
        <v>2168</v>
      </c>
      <c r="H177" s="57" t="s">
        <v>2167</v>
      </c>
      <c r="I177" s="57" t="s">
        <v>2169</v>
      </c>
      <c r="J177" s="57" t="s">
        <v>99</v>
      </c>
      <c r="K177" s="57" t="s">
        <v>591</v>
      </c>
      <c r="L177" s="5" t="s">
        <v>1480</v>
      </c>
      <c r="M177" s="22">
        <v>15421</v>
      </c>
      <c r="N177" s="46">
        <v>104</v>
      </c>
      <c r="O177" s="49">
        <f t="shared" si="4"/>
        <v>1603784</v>
      </c>
      <c r="P177" s="5" t="s">
        <v>393</v>
      </c>
      <c r="Q177" s="5" t="s">
        <v>766</v>
      </c>
      <c r="R177" s="11" t="s">
        <v>2597</v>
      </c>
      <c r="S177" s="22">
        <v>100</v>
      </c>
    </row>
    <row r="178" spans="1:19" ht="75" customHeight="1">
      <c r="A178" s="5">
        <v>163</v>
      </c>
      <c r="B178" s="29" t="s">
        <v>710</v>
      </c>
      <c r="C178" s="30" t="s">
        <v>711</v>
      </c>
      <c r="D178" s="5" t="s">
        <v>765</v>
      </c>
      <c r="E178" s="57" t="s">
        <v>2166</v>
      </c>
      <c r="F178" s="57" t="s">
        <v>392</v>
      </c>
      <c r="G178" s="57" t="s">
        <v>2168</v>
      </c>
      <c r="H178" s="57" t="s">
        <v>2167</v>
      </c>
      <c r="I178" s="57" t="s">
        <v>2169</v>
      </c>
      <c r="J178" s="57" t="s">
        <v>99</v>
      </c>
      <c r="K178" s="57" t="s">
        <v>591</v>
      </c>
      <c r="L178" s="5" t="s">
        <v>1480</v>
      </c>
      <c r="M178" s="22">
        <v>2493</v>
      </c>
      <c r="N178" s="46">
        <v>104</v>
      </c>
      <c r="O178" s="49">
        <f t="shared" si="4"/>
        <v>259272</v>
      </c>
      <c r="P178" s="5" t="s">
        <v>391</v>
      </c>
      <c r="Q178" s="5" t="s">
        <v>766</v>
      </c>
      <c r="R178" s="11" t="s">
        <v>925</v>
      </c>
      <c r="S178" s="22">
        <v>100</v>
      </c>
    </row>
    <row r="179" spans="1:19" ht="102">
      <c r="A179" s="5">
        <v>164</v>
      </c>
      <c r="B179" s="29" t="s">
        <v>710</v>
      </c>
      <c r="C179" s="30" t="s">
        <v>711</v>
      </c>
      <c r="D179" s="11" t="s">
        <v>765</v>
      </c>
      <c r="E179" s="57" t="s">
        <v>2166</v>
      </c>
      <c r="F179" s="57" t="s">
        <v>392</v>
      </c>
      <c r="G179" s="57" t="s">
        <v>2168</v>
      </c>
      <c r="H179" s="57" t="s">
        <v>2167</v>
      </c>
      <c r="I179" s="57" t="s">
        <v>2169</v>
      </c>
      <c r="J179" s="57" t="s">
        <v>99</v>
      </c>
      <c r="K179" s="57" t="s">
        <v>591</v>
      </c>
      <c r="L179" s="5" t="s">
        <v>1480</v>
      </c>
      <c r="M179" s="22">
        <v>9972</v>
      </c>
      <c r="N179" s="46">
        <v>104</v>
      </c>
      <c r="O179" s="49">
        <f t="shared" si="4"/>
        <v>1037088</v>
      </c>
      <c r="P179" s="5" t="s">
        <v>391</v>
      </c>
      <c r="Q179" s="5" t="s">
        <v>766</v>
      </c>
      <c r="R179" s="11" t="s">
        <v>925</v>
      </c>
      <c r="S179" s="22">
        <v>100</v>
      </c>
    </row>
    <row r="180" spans="1:19" ht="102">
      <c r="A180" s="5">
        <v>165</v>
      </c>
      <c r="B180" s="29" t="s">
        <v>710</v>
      </c>
      <c r="C180" s="30" t="s">
        <v>711</v>
      </c>
      <c r="D180" s="5" t="s">
        <v>765</v>
      </c>
      <c r="E180" s="57" t="s">
        <v>2166</v>
      </c>
      <c r="F180" s="57" t="s">
        <v>392</v>
      </c>
      <c r="G180" s="57" t="s">
        <v>2168</v>
      </c>
      <c r="H180" s="57" t="s">
        <v>2167</v>
      </c>
      <c r="I180" s="57" t="s">
        <v>2169</v>
      </c>
      <c r="J180" s="57" t="s">
        <v>99</v>
      </c>
      <c r="K180" s="57" t="s">
        <v>591</v>
      </c>
      <c r="L180" s="5" t="s">
        <v>1480</v>
      </c>
      <c r="M180" s="22">
        <v>9135</v>
      </c>
      <c r="N180" s="46">
        <v>104</v>
      </c>
      <c r="O180" s="49">
        <f t="shared" si="4"/>
        <v>950040</v>
      </c>
      <c r="P180" s="5" t="s">
        <v>393</v>
      </c>
      <c r="Q180" s="5" t="s">
        <v>766</v>
      </c>
      <c r="R180" s="11" t="s">
        <v>2507</v>
      </c>
      <c r="S180" s="22">
        <v>30</v>
      </c>
    </row>
    <row r="181" spans="1:19" ht="42" customHeight="1">
      <c r="A181" s="5">
        <v>166</v>
      </c>
      <c r="B181" s="29" t="s">
        <v>710</v>
      </c>
      <c r="C181" s="30" t="s">
        <v>711</v>
      </c>
      <c r="D181" s="5" t="s">
        <v>765</v>
      </c>
      <c r="E181" s="57" t="s">
        <v>2166</v>
      </c>
      <c r="F181" s="57" t="s">
        <v>392</v>
      </c>
      <c r="G181" s="57" t="s">
        <v>2168</v>
      </c>
      <c r="H181" s="57" t="s">
        <v>2167</v>
      </c>
      <c r="I181" s="57" t="s">
        <v>2169</v>
      </c>
      <c r="J181" s="57" t="s">
        <v>99</v>
      </c>
      <c r="K181" s="57" t="s">
        <v>591</v>
      </c>
      <c r="L181" s="5" t="s">
        <v>1480</v>
      </c>
      <c r="M181" s="22">
        <v>8400</v>
      </c>
      <c r="N181" s="46">
        <v>111</v>
      </c>
      <c r="O181" s="49">
        <f t="shared" si="4"/>
        <v>932400</v>
      </c>
      <c r="P181" s="5" t="s">
        <v>515</v>
      </c>
      <c r="Q181" s="5" t="s">
        <v>766</v>
      </c>
      <c r="R181" s="11" t="s">
        <v>715</v>
      </c>
      <c r="S181" s="22">
        <v>100</v>
      </c>
    </row>
    <row r="182" spans="1:19" s="32" customFormat="1" ht="102">
      <c r="A182" s="5">
        <v>167</v>
      </c>
      <c r="B182" s="29" t="s">
        <v>710</v>
      </c>
      <c r="C182" s="30" t="s">
        <v>711</v>
      </c>
      <c r="D182" s="5" t="s">
        <v>765</v>
      </c>
      <c r="E182" s="57" t="s">
        <v>2166</v>
      </c>
      <c r="F182" s="57" t="s">
        <v>392</v>
      </c>
      <c r="G182" s="57" t="s">
        <v>2168</v>
      </c>
      <c r="H182" s="57" t="s">
        <v>2167</v>
      </c>
      <c r="I182" s="57" t="s">
        <v>2169</v>
      </c>
      <c r="J182" s="57" t="s">
        <v>99</v>
      </c>
      <c r="K182" s="57" t="s">
        <v>591</v>
      </c>
      <c r="L182" s="5" t="s">
        <v>1480</v>
      </c>
      <c r="M182" s="22">
        <v>12465</v>
      </c>
      <c r="N182" s="46">
        <f>O182/M182</f>
        <v>0</v>
      </c>
      <c r="O182" s="49">
        <f>1296360-1296360</f>
        <v>0</v>
      </c>
      <c r="P182" s="5" t="s">
        <v>501</v>
      </c>
      <c r="Q182" s="5" t="s">
        <v>394</v>
      </c>
      <c r="R182" s="11" t="s">
        <v>902</v>
      </c>
      <c r="S182" s="22">
        <v>100</v>
      </c>
    </row>
    <row r="183" spans="1:19" ht="102">
      <c r="A183" s="5">
        <v>168</v>
      </c>
      <c r="B183" s="29" t="s">
        <v>710</v>
      </c>
      <c r="C183" s="30" t="s">
        <v>711</v>
      </c>
      <c r="D183" s="5" t="s">
        <v>765</v>
      </c>
      <c r="E183" s="57" t="s">
        <v>2166</v>
      </c>
      <c r="F183" s="57" t="s">
        <v>392</v>
      </c>
      <c r="G183" s="57" t="s">
        <v>2168</v>
      </c>
      <c r="H183" s="57" t="s">
        <v>2167</v>
      </c>
      <c r="I183" s="57" t="s">
        <v>2169</v>
      </c>
      <c r="J183" s="57" t="s">
        <v>99</v>
      </c>
      <c r="K183" s="57" t="s">
        <v>591</v>
      </c>
      <c r="L183" s="5" t="s">
        <v>1480</v>
      </c>
      <c r="M183" s="22">
        <v>12465</v>
      </c>
      <c r="N183" s="46">
        <v>104</v>
      </c>
      <c r="O183" s="49">
        <f t="shared" si="4"/>
        <v>1296360</v>
      </c>
      <c r="P183" s="5" t="s">
        <v>391</v>
      </c>
      <c r="Q183" s="5" t="s">
        <v>766</v>
      </c>
      <c r="R183" s="11" t="s">
        <v>3339</v>
      </c>
      <c r="S183" s="22">
        <v>100</v>
      </c>
    </row>
    <row r="184" spans="1:19" ht="102">
      <c r="A184" s="5">
        <v>169</v>
      </c>
      <c r="B184" s="29" t="s">
        <v>710</v>
      </c>
      <c r="C184" s="30" t="s">
        <v>711</v>
      </c>
      <c r="D184" s="5" t="s">
        <v>765</v>
      </c>
      <c r="E184" s="57" t="s">
        <v>2166</v>
      </c>
      <c r="F184" s="57" t="s">
        <v>392</v>
      </c>
      <c r="G184" s="57" t="s">
        <v>2168</v>
      </c>
      <c r="H184" s="57" t="s">
        <v>2167</v>
      </c>
      <c r="I184" s="57" t="s">
        <v>2169</v>
      </c>
      <c r="J184" s="57" t="s">
        <v>99</v>
      </c>
      <c r="K184" s="57" t="s">
        <v>591</v>
      </c>
      <c r="L184" s="5" t="s">
        <v>1480</v>
      </c>
      <c r="M184" s="22">
        <v>9001</v>
      </c>
      <c r="N184" s="46">
        <v>104</v>
      </c>
      <c r="O184" s="49">
        <f t="shared" si="4"/>
        <v>936104</v>
      </c>
      <c r="P184" s="5" t="s">
        <v>393</v>
      </c>
      <c r="Q184" s="5" t="s">
        <v>766</v>
      </c>
      <c r="R184" s="11" t="s">
        <v>2029</v>
      </c>
      <c r="S184" s="5">
        <v>100</v>
      </c>
    </row>
    <row r="185" spans="1:19" ht="63.75">
      <c r="A185" s="5">
        <v>170</v>
      </c>
      <c r="B185" s="29" t="s">
        <v>710</v>
      </c>
      <c r="C185" s="30" t="s">
        <v>711</v>
      </c>
      <c r="D185" s="5" t="s">
        <v>803</v>
      </c>
      <c r="E185" s="57" t="s">
        <v>804</v>
      </c>
      <c r="F185" s="57" t="s">
        <v>364</v>
      </c>
      <c r="G185" s="57" t="s">
        <v>805</v>
      </c>
      <c r="H185" s="57" t="s">
        <v>806</v>
      </c>
      <c r="I185" s="57" t="s">
        <v>804</v>
      </c>
      <c r="J185" s="57" t="s">
        <v>364</v>
      </c>
      <c r="K185" s="57" t="s">
        <v>591</v>
      </c>
      <c r="L185" s="31" t="s">
        <v>644</v>
      </c>
      <c r="M185" s="22">
        <v>5</v>
      </c>
      <c r="N185" s="46">
        <v>313</v>
      </c>
      <c r="O185" s="49">
        <f t="shared" si="4"/>
        <v>1565</v>
      </c>
      <c r="P185" s="5" t="s">
        <v>515</v>
      </c>
      <c r="Q185" s="5" t="s">
        <v>766</v>
      </c>
      <c r="R185" s="11" t="s">
        <v>2030</v>
      </c>
      <c r="S185" s="22">
        <v>100</v>
      </c>
    </row>
    <row r="186" spans="1:19" ht="51">
      <c r="A186" s="5">
        <v>171</v>
      </c>
      <c r="B186" s="29" t="s">
        <v>710</v>
      </c>
      <c r="C186" s="30" t="s">
        <v>711</v>
      </c>
      <c r="D186" s="11" t="s">
        <v>807</v>
      </c>
      <c r="E186" s="57" t="s">
        <v>1596</v>
      </c>
      <c r="F186" s="57" t="s">
        <v>2377</v>
      </c>
      <c r="G186" s="57" t="s">
        <v>1597</v>
      </c>
      <c r="H186" s="57" t="s">
        <v>808</v>
      </c>
      <c r="I186" s="57" t="s">
        <v>1598</v>
      </c>
      <c r="J186" s="57" t="s">
        <v>5</v>
      </c>
      <c r="K186" s="57" t="s">
        <v>591</v>
      </c>
      <c r="L186" s="31" t="s">
        <v>644</v>
      </c>
      <c r="M186" s="22">
        <v>2</v>
      </c>
      <c r="N186" s="46">
        <v>714</v>
      </c>
      <c r="O186" s="49">
        <f t="shared" si="4"/>
        <v>1428</v>
      </c>
      <c r="P186" s="5" t="s">
        <v>515</v>
      </c>
      <c r="Q186" s="5" t="s">
        <v>766</v>
      </c>
      <c r="R186" s="11" t="s">
        <v>2030</v>
      </c>
      <c r="S186" s="22">
        <v>100</v>
      </c>
    </row>
    <row r="187" spans="1:19" ht="51">
      <c r="A187" s="5">
        <v>172</v>
      </c>
      <c r="B187" s="29" t="s">
        <v>710</v>
      </c>
      <c r="C187" s="30" t="s">
        <v>711</v>
      </c>
      <c r="D187" s="11" t="s">
        <v>952</v>
      </c>
      <c r="E187" s="57" t="s">
        <v>2170</v>
      </c>
      <c r="F187" s="57" t="s">
        <v>953</v>
      </c>
      <c r="G187" s="57" t="s">
        <v>2170</v>
      </c>
      <c r="H187" s="57" t="s">
        <v>953</v>
      </c>
      <c r="I187" s="57" t="s">
        <v>6</v>
      </c>
      <c r="J187" s="57" t="s">
        <v>6</v>
      </c>
      <c r="K187" s="57" t="s">
        <v>591</v>
      </c>
      <c r="L187" s="31" t="s">
        <v>644</v>
      </c>
      <c r="M187" s="22">
        <v>4</v>
      </c>
      <c r="N187" s="46">
        <v>3125</v>
      </c>
      <c r="O187" s="49">
        <f t="shared" si="4"/>
        <v>12500</v>
      </c>
      <c r="P187" s="5" t="s">
        <v>515</v>
      </c>
      <c r="Q187" s="5" t="s">
        <v>766</v>
      </c>
      <c r="R187" s="11" t="s">
        <v>2030</v>
      </c>
      <c r="S187" s="22">
        <v>100</v>
      </c>
    </row>
    <row r="188" spans="1:19" ht="51">
      <c r="A188" s="5">
        <v>173</v>
      </c>
      <c r="B188" s="29" t="s">
        <v>710</v>
      </c>
      <c r="C188" s="30" t="s">
        <v>711</v>
      </c>
      <c r="D188" s="5" t="s">
        <v>634</v>
      </c>
      <c r="E188" s="57" t="s">
        <v>813</v>
      </c>
      <c r="F188" s="57" t="s">
        <v>365</v>
      </c>
      <c r="G188" s="57" t="s">
        <v>814</v>
      </c>
      <c r="H188" s="57" t="s">
        <v>635</v>
      </c>
      <c r="I188" s="57" t="s">
        <v>813</v>
      </c>
      <c r="J188" s="57" t="s">
        <v>365</v>
      </c>
      <c r="K188" s="57" t="s">
        <v>591</v>
      </c>
      <c r="L188" s="31" t="s">
        <v>644</v>
      </c>
      <c r="M188" s="22">
        <v>2</v>
      </c>
      <c r="N188" s="46">
        <v>223</v>
      </c>
      <c r="O188" s="49">
        <f t="shared" si="4"/>
        <v>446</v>
      </c>
      <c r="P188" s="5" t="s">
        <v>515</v>
      </c>
      <c r="Q188" s="5" t="s">
        <v>766</v>
      </c>
      <c r="R188" s="11" t="s">
        <v>2030</v>
      </c>
      <c r="S188" s="22">
        <v>100</v>
      </c>
    </row>
    <row r="189" spans="1:19" ht="48" customHeight="1">
      <c r="A189" s="5">
        <v>174</v>
      </c>
      <c r="B189" s="15" t="s">
        <v>710</v>
      </c>
      <c r="C189" s="30" t="s">
        <v>711</v>
      </c>
      <c r="D189" s="5" t="s">
        <v>954</v>
      </c>
      <c r="E189" s="57" t="s">
        <v>1003</v>
      </c>
      <c r="F189" s="57" t="s">
        <v>366</v>
      </c>
      <c r="G189" s="57" t="s">
        <v>2171</v>
      </c>
      <c r="H189" s="57" t="s">
        <v>955</v>
      </c>
      <c r="I189" s="57" t="s">
        <v>1003</v>
      </c>
      <c r="J189" s="57" t="s">
        <v>366</v>
      </c>
      <c r="K189" s="57" t="s">
        <v>591</v>
      </c>
      <c r="L189" s="31" t="s">
        <v>644</v>
      </c>
      <c r="M189" s="22">
        <v>2</v>
      </c>
      <c r="N189" s="46">
        <v>313</v>
      </c>
      <c r="O189" s="49">
        <f t="shared" si="4"/>
        <v>626</v>
      </c>
      <c r="P189" s="5" t="s">
        <v>515</v>
      </c>
      <c r="Q189" s="5" t="s">
        <v>766</v>
      </c>
      <c r="R189" s="11" t="s">
        <v>2030</v>
      </c>
      <c r="S189" s="22">
        <v>100</v>
      </c>
    </row>
    <row r="190" spans="1:19" ht="102">
      <c r="A190" s="5">
        <v>175</v>
      </c>
      <c r="B190" s="29" t="s">
        <v>710</v>
      </c>
      <c r="C190" s="30" t="s">
        <v>711</v>
      </c>
      <c r="D190" s="5" t="s">
        <v>636</v>
      </c>
      <c r="E190" s="57" t="s">
        <v>815</v>
      </c>
      <c r="F190" s="57" t="s">
        <v>367</v>
      </c>
      <c r="G190" s="57" t="s">
        <v>816</v>
      </c>
      <c r="H190" s="57" t="s">
        <v>637</v>
      </c>
      <c r="I190" s="57" t="s">
        <v>815</v>
      </c>
      <c r="J190" s="57" t="s">
        <v>367</v>
      </c>
      <c r="K190" s="57" t="s">
        <v>591</v>
      </c>
      <c r="L190" s="31" t="s">
        <v>644</v>
      </c>
      <c r="M190" s="22">
        <v>1</v>
      </c>
      <c r="N190" s="46">
        <v>14286</v>
      </c>
      <c r="O190" s="49">
        <f t="shared" si="4"/>
        <v>14286</v>
      </c>
      <c r="P190" s="5" t="s">
        <v>515</v>
      </c>
      <c r="Q190" s="5" t="s">
        <v>766</v>
      </c>
      <c r="R190" s="11" t="s">
        <v>2030</v>
      </c>
      <c r="S190" s="22">
        <v>100</v>
      </c>
    </row>
    <row r="191" spans="1:19" ht="51">
      <c r="A191" s="5">
        <v>176</v>
      </c>
      <c r="B191" s="29" t="s">
        <v>710</v>
      </c>
      <c r="C191" s="30" t="s">
        <v>711</v>
      </c>
      <c r="D191" s="5" t="s">
        <v>639</v>
      </c>
      <c r="E191" s="57" t="s">
        <v>2172</v>
      </c>
      <c r="F191" s="57" t="s">
        <v>368</v>
      </c>
      <c r="G191" s="57" t="s">
        <v>2173</v>
      </c>
      <c r="H191" s="57" t="s">
        <v>2174</v>
      </c>
      <c r="I191" s="57" t="s">
        <v>2172</v>
      </c>
      <c r="J191" s="57" t="s">
        <v>368</v>
      </c>
      <c r="K191" s="57" t="s">
        <v>591</v>
      </c>
      <c r="L191" s="31" t="s">
        <v>644</v>
      </c>
      <c r="M191" s="22">
        <v>1</v>
      </c>
      <c r="N191" s="46">
        <v>1786</v>
      </c>
      <c r="O191" s="49">
        <f t="shared" si="4"/>
        <v>1786</v>
      </c>
      <c r="P191" s="5" t="s">
        <v>515</v>
      </c>
      <c r="Q191" s="5" t="s">
        <v>766</v>
      </c>
      <c r="R191" s="11" t="s">
        <v>2030</v>
      </c>
      <c r="S191" s="22">
        <v>100</v>
      </c>
    </row>
    <row r="192" spans="1:19" ht="51">
      <c r="A192" s="5">
        <v>177</v>
      </c>
      <c r="B192" s="29" t="s">
        <v>710</v>
      </c>
      <c r="C192" s="30" t="s">
        <v>711</v>
      </c>
      <c r="D192" s="5" t="s">
        <v>395</v>
      </c>
      <c r="E192" s="57" t="s">
        <v>818</v>
      </c>
      <c r="F192" s="57" t="s">
        <v>369</v>
      </c>
      <c r="G192" s="57" t="s">
        <v>2175</v>
      </c>
      <c r="H192" s="57" t="s">
        <v>2176</v>
      </c>
      <c r="I192" s="57" t="s">
        <v>818</v>
      </c>
      <c r="J192" s="57" t="s">
        <v>369</v>
      </c>
      <c r="K192" s="57" t="s">
        <v>591</v>
      </c>
      <c r="L192" s="5" t="s">
        <v>669</v>
      </c>
      <c r="M192" s="22">
        <v>5</v>
      </c>
      <c r="N192" s="46">
        <v>156</v>
      </c>
      <c r="O192" s="49">
        <f t="shared" si="4"/>
        <v>780</v>
      </c>
      <c r="P192" s="5" t="s">
        <v>515</v>
      </c>
      <c r="Q192" s="5" t="s">
        <v>766</v>
      </c>
      <c r="R192" s="11" t="s">
        <v>2030</v>
      </c>
      <c r="S192" s="22">
        <v>100</v>
      </c>
    </row>
    <row r="193" spans="1:19" ht="114.75">
      <c r="A193" s="5">
        <v>178</v>
      </c>
      <c r="B193" s="29" t="s">
        <v>710</v>
      </c>
      <c r="C193" s="30" t="s">
        <v>711</v>
      </c>
      <c r="D193" s="5" t="s">
        <v>1079</v>
      </c>
      <c r="E193" s="57" t="s">
        <v>370</v>
      </c>
      <c r="F193" s="57" t="s">
        <v>370</v>
      </c>
      <c r="G193" s="57" t="s">
        <v>1623</v>
      </c>
      <c r="H193" s="57" t="s">
        <v>1080</v>
      </c>
      <c r="I193" s="57" t="s">
        <v>192</v>
      </c>
      <c r="J193" s="57" t="s">
        <v>370</v>
      </c>
      <c r="K193" s="57" t="s">
        <v>591</v>
      </c>
      <c r="L193" s="5" t="s">
        <v>651</v>
      </c>
      <c r="M193" s="22">
        <v>50</v>
      </c>
      <c r="N193" s="46">
        <v>179</v>
      </c>
      <c r="O193" s="49">
        <f t="shared" si="4"/>
        <v>8950</v>
      </c>
      <c r="P193" s="5" t="s">
        <v>515</v>
      </c>
      <c r="Q193" s="5" t="s">
        <v>766</v>
      </c>
      <c r="R193" s="11" t="s">
        <v>2030</v>
      </c>
      <c r="S193" s="22">
        <v>100</v>
      </c>
    </row>
    <row r="194" spans="1:19" ht="89.25">
      <c r="A194" s="5">
        <v>179</v>
      </c>
      <c r="B194" s="29" t="s">
        <v>710</v>
      </c>
      <c r="C194" s="30" t="s">
        <v>711</v>
      </c>
      <c r="D194" s="5" t="s">
        <v>645</v>
      </c>
      <c r="E194" s="57" t="s">
        <v>820</v>
      </c>
      <c r="F194" s="57" t="s">
        <v>10</v>
      </c>
      <c r="G194" s="57" t="s">
        <v>821</v>
      </c>
      <c r="H194" s="57" t="s">
        <v>646</v>
      </c>
      <c r="I194" s="57" t="s">
        <v>820</v>
      </c>
      <c r="J194" s="57" t="s">
        <v>10</v>
      </c>
      <c r="K194" s="57" t="s">
        <v>591</v>
      </c>
      <c r="L194" s="31" t="s">
        <v>644</v>
      </c>
      <c r="M194" s="22">
        <v>2</v>
      </c>
      <c r="N194" s="46">
        <v>1339</v>
      </c>
      <c r="O194" s="49">
        <f t="shared" si="4"/>
        <v>2678</v>
      </c>
      <c r="P194" s="5" t="s">
        <v>515</v>
      </c>
      <c r="Q194" s="5" t="s">
        <v>766</v>
      </c>
      <c r="R194" s="11" t="s">
        <v>2030</v>
      </c>
      <c r="S194" s="22">
        <v>100</v>
      </c>
    </row>
    <row r="195" spans="1:19" ht="51">
      <c r="A195" s="5">
        <v>180</v>
      </c>
      <c r="B195" s="15" t="s">
        <v>710</v>
      </c>
      <c r="C195" s="30" t="s">
        <v>711</v>
      </c>
      <c r="D195" s="5" t="s">
        <v>889</v>
      </c>
      <c r="E195" s="57" t="s">
        <v>2177</v>
      </c>
      <c r="F195" s="57" t="s">
        <v>198</v>
      </c>
      <c r="G195" s="57" t="s">
        <v>2178</v>
      </c>
      <c r="H195" s="57" t="s">
        <v>1376</v>
      </c>
      <c r="I195" s="57" t="s">
        <v>2177</v>
      </c>
      <c r="J195" s="57" t="s">
        <v>198</v>
      </c>
      <c r="K195" s="57" t="s">
        <v>591</v>
      </c>
      <c r="L195" s="31" t="s">
        <v>644</v>
      </c>
      <c r="M195" s="22">
        <v>4</v>
      </c>
      <c r="N195" s="46">
        <v>2232</v>
      </c>
      <c r="O195" s="49">
        <f t="shared" si="4"/>
        <v>8928</v>
      </c>
      <c r="P195" s="5" t="s">
        <v>515</v>
      </c>
      <c r="Q195" s="5" t="s">
        <v>766</v>
      </c>
      <c r="R195" s="11" t="s">
        <v>2030</v>
      </c>
      <c r="S195" s="22">
        <v>100</v>
      </c>
    </row>
    <row r="196" spans="1:19" ht="51">
      <c r="A196" s="5">
        <v>181</v>
      </c>
      <c r="B196" s="29" t="s">
        <v>710</v>
      </c>
      <c r="C196" s="30" t="s">
        <v>711</v>
      </c>
      <c r="D196" s="5" t="s">
        <v>649</v>
      </c>
      <c r="E196" s="57" t="s">
        <v>1627</v>
      </c>
      <c r="F196" s="57" t="s">
        <v>371</v>
      </c>
      <c r="G196" s="57" t="s">
        <v>1629</v>
      </c>
      <c r="H196" s="57" t="s">
        <v>650</v>
      </c>
      <c r="I196" s="57" t="s">
        <v>1627</v>
      </c>
      <c r="J196" s="57" t="s">
        <v>371</v>
      </c>
      <c r="K196" s="57" t="s">
        <v>591</v>
      </c>
      <c r="L196" s="5" t="s">
        <v>651</v>
      </c>
      <c r="M196" s="22">
        <v>2</v>
      </c>
      <c r="N196" s="46">
        <v>446</v>
      </c>
      <c r="O196" s="49">
        <f t="shared" si="4"/>
        <v>892</v>
      </c>
      <c r="P196" s="5" t="s">
        <v>515</v>
      </c>
      <c r="Q196" s="5" t="s">
        <v>766</v>
      </c>
      <c r="R196" s="11" t="s">
        <v>2030</v>
      </c>
      <c r="S196" s="22">
        <v>100</v>
      </c>
    </row>
    <row r="197" spans="1:19" ht="51">
      <c r="A197" s="5">
        <v>182</v>
      </c>
      <c r="B197" s="29" t="s">
        <v>710</v>
      </c>
      <c r="C197" s="30" t="s">
        <v>711</v>
      </c>
      <c r="D197" s="5" t="s">
        <v>652</v>
      </c>
      <c r="E197" s="57" t="s">
        <v>1631</v>
      </c>
      <c r="F197" s="57" t="s">
        <v>653</v>
      </c>
      <c r="G197" s="57" t="s">
        <v>1632</v>
      </c>
      <c r="H197" s="57" t="s">
        <v>654</v>
      </c>
      <c r="I197" s="57" t="s">
        <v>1631</v>
      </c>
      <c r="J197" s="57" t="s">
        <v>372</v>
      </c>
      <c r="K197" s="57" t="s">
        <v>591</v>
      </c>
      <c r="L197" s="31" t="s">
        <v>644</v>
      </c>
      <c r="M197" s="22">
        <v>50</v>
      </c>
      <c r="N197" s="46">
        <v>179</v>
      </c>
      <c r="O197" s="49">
        <f t="shared" si="4"/>
        <v>8950</v>
      </c>
      <c r="P197" s="5" t="s">
        <v>515</v>
      </c>
      <c r="Q197" s="5" t="s">
        <v>766</v>
      </c>
      <c r="R197" s="11" t="s">
        <v>2030</v>
      </c>
      <c r="S197" s="22">
        <v>100</v>
      </c>
    </row>
    <row r="198" spans="1:19" ht="51">
      <c r="A198" s="5">
        <v>183</v>
      </c>
      <c r="B198" s="15" t="s">
        <v>710</v>
      </c>
      <c r="C198" s="30" t="s">
        <v>711</v>
      </c>
      <c r="D198" s="5" t="s">
        <v>829</v>
      </c>
      <c r="E198" s="57" t="s">
        <v>11</v>
      </c>
      <c r="F198" s="57" t="s">
        <v>11</v>
      </c>
      <c r="G198" s="57" t="s">
        <v>830</v>
      </c>
      <c r="H198" s="57" t="s">
        <v>830</v>
      </c>
      <c r="I198" s="57" t="s">
        <v>11</v>
      </c>
      <c r="J198" s="57" t="s">
        <v>11</v>
      </c>
      <c r="K198" s="57" t="s">
        <v>591</v>
      </c>
      <c r="L198" s="5" t="s">
        <v>1481</v>
      </c>
      <c r="M198" s="22">
        <v>25</v>
      </c>
      <c r="N198" s="46">
        <v>313</v>
      </c>
      <c r="O198" s="49">
        <f t="shared" si="4"/>
        <v>7825</v>
      </c>
      <c r="P198" s="5" t="s">
        <v>515</v>
      </c>
      <c r="Q198" s="5" t="s">
        <v>766</v>
      </c>
      <c r="R198" s="11" t="s">
        <v>2030</v>
      </c>
      <c r="S198" s="22">
        <v>100</v>
      </c>
    </row>
    <row r="199" spans="1:19" ht="51">
      <c r="A199" s="5">
        <v>184</v>
      </c>
      <c r="B199" s="29" t="s">
        <v>710</v>
      </c>
      <c r="C199" s="30" t="s">
        <v>711</v>
      </c>
      <c r="D199" s="5" t="s">
        <v>894</v>
      </c>
      <c r="E199" s="57" t="s">
        <v>767</v>
      </c>
      <c r="F199" s="57" t="s">
        <v>18</v>
      </c>
      <c r="G199" s="57" t="s">
        <v>2180</v>
      </c>
      <c r="H199" s="57" t="s">
        <v>670</v>
      </c>
      <c r="I199" s="57" t="s">
        <v>767</v>
      </c>
      <c r="J199" s="57" t="s">
        <v>18</v>
      </c>
      <c r="K199" s="57" t="s">
        <v>591</v>
      </c>
      <c r="L199" s="5" t="s">
        <v>480</v>
      </c>
      <c r="M199" s="22">
        <v>2</v>
      </c>
      <c r="N199" s="46">
        <v>714</v>
      </c>
      <c r="O199" s="49">
        <f t="shared" si="4"/>
        <v>1428</v>
      </c>
      <c r="P199" s="5" t="s">
        <v>515</v>
      </c>
      <c r="Q199" s="5" t="s">
        <v>766</v>
      </c>
      <c r="R199" s="11" t="s">
        <v>2030</v>
      </c>
      <c r="S199" s="22">
        <v>100</v>
      </c>
    </row>
    <row r="200" spans="1:19" ht="51">
      <c r="A200" s="5">
        <v>185</v>
      </c>
      <c r="B200" s="29" t="s">
        <v>710</v>
      </c>
      <c r="C200" s="30" t="s">
        <v>711</v>
      </c>
      <c r="D200" s="5" t="s">
        <v>2388</v>
      </c>
      <c r="E200" s="57" t="s">
        <v>374</v>
      </c>
      <c r="F200" s="57" t="s">
        <v>374</v>
      </c>
      <c r="G200" s="57" t="s">
        <v>2286</v>
      </c>
      <c r="H200" s="57" t="s">
        <v>831</v>
      </c>
      <c r="I200" s="57" t="s">
        <v>374</v>
      </c>
      <c r="J200" s="57" t="s">
        <v>197</v>
      </c>
      <c r="K200" s="57" t="s">
        <v>591</v>
      </c>
      <c r="L200" s="31" t="s">
        <v>644</v>
      </c>
      <c r="M200" s="22">
        <v>25</v>
      </c>
      <c r="N200" s="46">
        <v>67</v>
      </c>
      <c r="O200" s="49">
        <f t="shared" si="4"/>
        <v>1675</v>
      </c>
      <c r="P200" s="5" t="s">
        <v>515</v>
      </c>
      <c r="Q200" s="5" t="s">
        <v>766</v>
      </c>
      <c r="R200" s="11" t="s">
        <v>2030</v>
      </c>
      <c r="S200" s="22">
        <v>100</v>
      </c>
    </row>
    <row r="201" spans="1:19" ht="51">
      <c r="A201" s="5">
        <v>186</v>
      </c>
      <c r="B201" s="29" t="s">
        <v>710</v>
      </c>
      <c r="C201" s="30" t="s">
        <v>711</v>
      </c>
      <c r="D201" s="5" t="s">
        <v>660</v>
      </c>
      <c r="E201" s="57" t="s">
        <v>832</v>
      </c>
      <c r="F201" s="57" t="s">
        <v>12</v>
      </c>
      <c r="G201" s="57" t="s">
        <v>1639</v>
      </c>
      <c r="H201" s="57" t="s">
        <v>661</v>
      </c>
      <c r="I201" s="57" t="s">
        <v>832</v>
      </c>
      <c r="J201" s="57" t="s">
        <v>12</v>
      </c>
      <c r="K201" s="57" t="s">
        <v>591</v>
      </c>
      <c r="L201" s="31" t="s">
        <v>644</v>
      </c>
      <c r="M201" s="22">
        <v>5</v>
      </c>
      <c r="N201" s="46">
        <v>1339</v>
      </c>
      <c r="O201" s="49">
        <f t="shared" si="4"/>
        <v>6695</v>
      </c>
      <c r="P201" s="5" t="s">
        <v>515</v>
      </c>
      <c r="Q201" s="5" t="s">
        <v>766</v>
      </c>
      <c r="R201" s="11" t="s">
        <v>2030</v>
      </c>
      <c r="S201" s="22">
        <v>100</v>
      </c>
    </row>
    <row r="202" spans="1:19" ht="51">
      <c r="A202" s="5">
        <v>187</v>
      </c>
      <c r="B202" s="29" t="s">
        <v>710</v>
      </c>
      <c r="C202" s="30" t="s">
        <v>711</v>
      </c>
      <c r="D202" s="5" t="s">
        <v>410</v>
      </c>
      <c r="E202" s="57" t="s">
        <v>833</v>
      </c>
      <c r="F202" s="57" t="s">
        <v>375</v>
      </c>
      <c r="G202" s="57" t="s">
        <v>2272</v>
      </c>
      <c r="H202" s="57" t="s">
        <v>411</v>
      </c>
      <c r="I202" s="57" t="s">
        <v>2272</v>
      </c>
      <c r="J202" s="57" t="s">
        <v>375</v>
      </c>
      <c r="K202" s="57" t="s">
        <v>591</v>
      </c>
      <c r="L202" s="31" t="s">
        <v>644</v>
      </c>
      <c r="M202" s="22">
        <v>5</v>
      </c>
      <c r="N202" s="46">
        <v>1071</v>
      </c>
      <c r="O202" s="49">
        <f t="shared" si="4"/>
        <v>5355</v>
      </c>
      <c r="P202" s="5" t="s">
        <v>515</v>
      </c>
      <c r="Q202" s="5" t="s">
        <v>766</v>
      </c>
      <c r="R202" s="11" t="s">
        <v>2030</v>
      </c>
      <c r="S202" s="22">
        <v>100</v>
      </c>
    </row>
    <row r="203" spans="1:19" s="34" customFormat="1" ht="51">
      <c r="A203" s="5">
        <v>188</v>
      </c>
      <c r="B203" s="29" t="s">
        <v>710</v>
      </c>
      <c r="C203" s="30" t="s">
        <v>711</v>
      </c>
      <c r="D203" s="5" t="s">
        <v>662</v>
      </c>
      <c r="E203" s="57" t="s">
        <v>2236</v>
      </c>
      <c r="F203" s="57" t="s">
        <v>663</v>
      </c>
      <c r="G203" s="57" t="s">
        <v>2237</v>
      </c>
      <c r="H203" s="57" t="s">
        <v>2239</v>
      </c>
      <c r="I203" s="57" t="s">
        <v>2238</v>
      </c>
      <c r="J203" s="57" t="s">
        <v>376</v>
      </c>
      <c r="K203" s="57" t="s">
        <v>591</v>
      </c>
      <c r="L203" s="5" t="s">
        <v>1482</v>
      </c>
      <c r="M203" s="22">
        <v>1</v>
      </c>
      <c r="N203" s="46">
        <v>26786</v>
      </c>
      <c r="O203" s="49">
        <f t="shared" si="4"/>
        <v>26786</v>
      </c>
      <c r="P203" s="5" t="s">
        <v>515</v>
      </c>
      <c r="Q203" s="5" t="s">
        <v>766</v>
      </c>
      <c r="R203" s="11" t="s">
        <v>2030</v>
      </c>
      <c r="S203" s="22">
        <v>100</v>
      </c>
    </row>
    <row r="204" spans="1:19" s="34" customFormat="1" ht="51">
      <c r="A204" s="5">
        <v>189</v>
      </c>
      <c r="B204" s="29" t="s">
        <v>710</v>
      </c>
      <c r="C204" s="30" t="s">
        <v>711</v>
      </c>
      <c r="D204" s="5" t="s">
        <v>412</v>
      </c>
      <c r="E204" s="57" t="s">
        <v>835</v>
      </c>
      <c r="F204" s="57" t="s">
        <v>377</v>
      </c>
      <c r="G204" s="57" t="s">
        <v>836</v>
      </c>
      <c r="H204" s="57" t="s">
        <v>413</v>
      </c>
      <c r="I204" s="57" t="s">
        <v>2296</v>
      </c>
      <c r="J204" s="57" t="s">
        <v>377</v>
      </c>
      <c r="K204" s="57" t="s">
        <v>591</v>
      </c>
      <c r="L204" s="31" t="s">
        <v>644</v>
      </c>
      <c r="M204" s="22">
        <v>1</v>
      </c>
      <c r="N204" s="46">
        <v>26786</v>
      </c>
      <c r="O204" s="49">
        <f t="shared" si="4"/>
        <v>26786</v>
      </c>
      <c r="P204" s="5" t="s">
        <v>515</v>
      </c>
      <c r="Q204" s="5" t="s">
        <v>766</v>
      </c>
      <c r="R204" s="11" t="s">
        <v>2030</v>
      </c>
      <c r="S204" s="22">
        <v>100</v>
      </c>
    </row>
    <row r="205" spans="1:19" s="34" customFormat="1" ht="51">
      <c r="A205" s="5">
        <v>190</v>
      </c>
      <c r="B205" s="29" t="s">
        <v>710</v>
      </c>
      <c r="C205" s="30" t="s">
        <v>711</v>
      </c>
      <c r="D205" s="5" t="s">
        <v>412</v>
      </c>
      <c r="E205" s="57" t="s">
        <v>835</v>
      </c>
      <c r="F205" s="57" t="s">
        <v>377</v>
      </c>
      <c r="G205" s="57" t="s">
        <v>836</v>
      </c>
      <c r="H205" s="57" t="s">
        <v>413</v>
      </c>
      <c r="I205" s="57" t="s">
        <v>2292</v>
      </c>
      <c r="J205" s="57" t="s">
        <v>378</v>
      </c>
      <c r="K205" s="57" t="s">
        <v>591</v>
      </c>
      <c r="L205" s="31" t="s">
        <v>644</v>
      </c>
      <c r="M205" s="22">
        <v>1</v>
      </c>
      <c r="N205" s="46">
        <v>16071</v>
      </c>
      <c r="O205" s="49">
        <f t="shared" si="4"/>
        <v>16071</v>
      </c>
      <c r="P205" s="5" t="s">
        <v>515</v>
      </c>
      <c r="Q205" s="5" t="s">
        <v>766</v>
      </c>
      <c r="R205" s="11" t="s">
        <v>2030</v>
      </c>
      <c r="S205" s="22">
        <v>100</v>
      </c>
    </row>
    <row r="206" spans="1:19" s="34" customFormat="1" ht="51">
      <c r="A206" s="5">
        <v>191</v>
      </c>
      <c r="B206" s="29" t="s">
        <v>710</v>
      </c>
      <c r="C206" s="30" t="s">
        <v>711</v>
      </c>
      <c r="D206" s="5" t="s">
        <v>667</v>
      </c>
      <c r="E206" s="57" t="s">
        <v>2184</v>
      </c>
      <c r="F206" s="57" t="s">
        <v>13</v>
      </c>
      <c r="G206" s="57" t="s">
        <v>2185</v>
      </c>
      <c r="H206" s="57" t="s">
        <v>668</v>
      </c>
      <c r="I206" s="57" t="s">
        <v>2184</v>
      </c>
      <c r="J206" s="57" t="s">
        <v>13</v>
      </c>
      <c r="K206" s="57" t="s">
        <v>591</v>
      </c>
      <c r="L206" s="31" t="s">
        <v>644</v>
      </c>
      <c r="M206" s="22">
        <v>3</v>
      </c>
      <c r="N206" s="46">
        <v>2679</v>
      </c>
      <c r="O206" s="49">
        <f t="shared" si="4"/>
        <v>8037</v>
      </c>
      <c r="P206" s="5" t="s">
        <v>515</v>
      </c>
      <c r="Q206" s="5" t="s">
        <v>766</v>
      </c>
      <c r="R206" s="11" t="s">
        <v>2030</v>
      </c>
      <c r="S206" s="22">
        <v>100</v>
      </c>
    </row>
    <row r="207" spans="1:19" s="34" customFormat="1" ht="51">
      <c r="A207" s="5">
        <v>192</v>
      </c>
      <c r="B207" s="29" t="s">
        <v>710</v>
      </c>
      <c r="C207" s="30" t="s">
        <v>711</v>
      </c>
      <c r="D207" s="5" t="s">
        <v>416</v>
      </c>
      <c r="E207" s="57" t="s">
        <v>2223</v>
      </c>
      <c r="F207" s="57" t="s">
        <v>417</v>
      </c>
      <c r="G207" s="57" t="s">
        <v>2224</v>
      </c>
      <c r="H207" s="57" t="s">
        <v>418</v>
      </c>
      <c r="I207" s="57" t="s">
        <v>2223</v>
      </c>
      <c r="J207" s="57" t="s">
        <v>379</v>
      </c>
      <c r="K207" s="57" t="s">
        <v>591</v>
      </c>
      <c r="L207" s="31" t="s">
        <v>644</v>
      </c>
      <c r="M207" s="22">
        <v>1</v>
      </c>
      <c r="N207" s="46">
        <v>16071</v>
      </c>
      <c r="O207" s="49">
        <f t="shared" si="4"/>
        <v>16071</v>
      </c>
      <c r="P207" s="5" t="s">
        <v>515</v>
      </c>
      <c r="Q207" s="5" t="s">
        <v>766</v>
      </c>
      <c r="R207" s="11" t="s">
        <v>2030</v>
      </c>
      <c r="S207" s="22">
        <v>100</v>
      </c>
    </row>
    <row r="208" spans="1:19" ht="51">
      <c r="A208" s="5">
        <v>193</v>
      </c>
      <c r="B208" s="29" t="s">
        <v>710</v>
      </c>
      <c r="C208" s="30" t="s">
        <v>711</v>
      </c>
      <c r="D208" s="5" t="s">
        <v>1006</v>
      </c>
      <c r="E208" s="57" t="s">
        <v>2078</v>
      </c>
      <c r="F208" s="57" t="s">
        <v>1007</v>
      </c>
      <c r="G208" s="57" t="s">
        <v>2079</v>
      </c>
      <c r="H208" s="57" t="s">
        <v>1008</v>
      </c>
      <c r="I208" s="57" t="s">
        <v>2078</v>
      </c>
      <c r="J208" s="57" t="s">
        <v>380</v>
      </c>
      <c r="K208" s="57" t="s">
        <v>591</v>
      </c>
      <c r="L208" s="31" t="s">
        <v>644</v>
      </c>
      <c r="M208" s="22">
        <v>1</v>
      </c>
      <c r="N208" s="46">
        <v>1786</v>
      </c>
      <c r="O208" s="49">
        <f t="shared" si="4"/>
        <v>1786</v>
      </c>
      <c r="P208" s="5" t="s">
        <v>515</v>
      </c>
      <c r="Q208" s="5" t="s">
        <v>766</v>
      </c>
      <c r="R208" s="11" t="s">
        <v>2030</v>
      </c>
      <c r="S208" s="22">
        <v>100</v>
      </c>
    </row>
    <row r="209" spans="1:19" ht="63.75">
      <c r="A209" s="5">
        <v>194</v>
      </c>
      <c r="B209" s="29" t="s">
        <v>710</v>
      </c>
      <c r="C209" s="30" t="s">
        <v>711</v>
      </c>
      <c r="D209" s="5" t="s">
        <v>803</v>
      </c>
      <c r="E209" s="57" t="s">
        <v>804</v>
      </c>
      <c r="F209" s="57" t="s">
        <v>364</v>
      </c>
      <c r="G209" s="57" t="s">
        <v>805</v>
      </c>
      <c r="H209" s="57" t="s">
        <v>806</v>
      </c>
      <c r="I209" s="57" t="s">
        <v>804</v>
      </c>
      <c r="J209" s="57" t="s">
        <v>364</v>
      </c>
      <c r="K209" s="57" t="s">
        <v>591</v>
      </c>
      <c r="L209" s="31" t="s">
        <v>644</v>
      </c>
      <c r="M209" s="22">
        <v>5</v>
      </c>
      <c r="N209" s="46">
        <v>313</v>
      </c>
      <c r="O209" s="49">
        <f t="shared" si="4"/>
        <v>1565</v>
      </c>
      <c r="P209" s="5" t="s">
        <v>393</v>
      </c>
      <c r="Q209" s="5" t="s">
        <v>1025</v>
      </c>
      <c r="R209" s="11" t="s">
        <v>1021</v>
      </c>
      <c r="S209" s="5">
        <v>100</v>
      </c>
    </row>
    <row r="210" spans="1:19" ht="25.5">
      <c r="A210" s="5">
        <v>195</v>
      </c>
      <c r="B210" s="15" t="s">
        <v>710</v>
      </c>
      <c r="C210" s="30" t="s">
        <v>711</v>
      </c>
      <c r="D210" s="11" t="s">
        <v>807</v>
      </c>
      <c r="E210" s="57" t="s">
        <v>1596</v>
      </c>
      <c r="F210" s="57" t="s">
        <v>2377</v>
      </c>
      <c r="G210" s="57" t="s">
        <v>1597</v>
      </c>
      <c r="H210" s="57" t="s">
        <v>808</v>
      </c>
      <c r="I210" s="57" t="s">
        <v>1598</v>
      </c>
      <c r="J210" s="57" t="s">
        <v>5</v>
      </c>
      <c r="K210" s="57" t="s">
        <v>591</v>
      </c>
      <c r="L210" s="31" t="s">
        <v>644</v>
      </c>
      <c r="M210" s="22">
        <v>2</v>
      </c>
      <c r="N210" s="46">
        <v>714</v>
      </c>
      <c r="O210" s="49">
        <f t="shared" si="4"/>
        <v>1428</v>
      </c>
      <c r="P210" s="5" t="s">
        <v>393</v>
      </c>
      <c r="Q210" s="5" t="s">
        <v>1025</v>
      </c>
      <c r="R210" s="11" t="s">
        <v>1021</v>
      </c>
      <c r="S210" s="5">
        <v>100</v>
      </c>
    </row>
    <row r="211" spans="1:19" ht="76.5">
      <c r="A211" s="5">
        <v>196</v>
      </c>
      <c r="B211" s="29" t="s">
        <v>710</v>
      </c>
      <c r="C211" s="30" t="s">
        <v>711</v>
      </c>
      <c r="D211" s="5" t="s">
        <v>809</v>
      </c>
      <c r="E211" s="57" t="s">
        <v>810</v>
      </c>
      <c r="F211" s="57" t="s">
        <v>6</v>
      </c>
      <c r="G211" s="57" t="s">
        <v>811</v>
      </c>
      <c r="H211" s="57" t="s">
        <v>1026</v>
      </c>
      <c r="I211" s="57" t="s">
        <v>6</v>
      </c>
      <c r="J211" s="57" t="s">
        <v>6</v>
      </c>
      <c r="K211" s="57" t="s">
        <v>591</v>
      </c>
      <c r="L211" s="31" t="s">
        <v>644</v>
      </c>
      <c r="M211" s="22">
        <v>4</v>
      </c>
      <c r="N211" s="46">
        <v>3125</v>
      </c>
      <c r="O211" s="49">
        <f t="shared" si="4"/>
        <v>12500</v>
      </c>
      <c r="P211" s="5" t="s">
        <v>393</v>
      </c>
      <c r="Q211" s="5" t="s">
        <v>1025</v>
      </c>
      <c r="R211" s="11" t="s">
        <v>1021</v>
      </c>
      <c r="S211" s="5">
        <v>100</v>
      </c>
    </row>
    <row r="212" spans="1:19" ht="25.5">
      <c r="A212" s="5">
        <v>197</v>
      </c>
      <c r="B212" s="29" t="s">
        <v>710</v>
      </c>
      <c r="C212" s="30" t="s">
        <v>711</v>
      </c>
      <c r="D212" s="5" t="s">
        <v>634</v>
      </c>
      <c r="E212" s="57" t="s">
        <v>813</v>
      </c>
      <c r="F212" s="57" t="s">
        <v>365</v>
      </c>
      <c r="G212" s="57" t="s">
        <v>814</v>
      </c>
      <c r="H212" s="57" t="s">
        <v>635</v>
      </c>
      <c r="I212" s="57" t="s">
        <v>2300</v>
      </c>
      <c r="J212" s="57" t="s">
        <v>365</v>
      </c>
      <c r="K212" s="57" t="s">
        <v>591</v>
      </c>
      <c r="L212" s="31" t="s">
        <v>644</v>
      </c>
      <c r="M212" s="22">
        <v>2</v>
      </c>
      <c r="N212" s="46">
        <v>223</v>
      </c>
      <c r="O212" s="49">
        <f t="shared" si="4"/>
        <v>446</v>
      </c>
      <c r="P212" s="5" t="s">
        <v>393</v>
      </c>
      <c r="Q212" s="5" t="s">
        <v>1025</v>
      </c>
      <c r="R212" s="11" t="s">
        <v>1021</v>
      </c>
      <c r="S212" s="5">
        <v>100</v>
      </c>
    </row>
    <row r="213" spans="1:19" ht="76.5">
      <c r="A213" s="5">
        <v>198</v>
      </c>
      <c r="B213" s="15" t="s">
        <v>710</v>
      </c>
      <c r="C213" s="30" t="s">
        <v>711</v>
      </c>
      <c r="D213" s="5" t="s">
        <v>954</v>
      </c>
      <c r="E213" s="57" t="s">
        <v>1003</v>
      </c>
      <c r="F213" s="57" t="s">
        <v>366</v>
      </c>
      <c r="G213" s="57" t="s">
        <v>2171</v>
      </c>
      <c r="H213" s="57" t="s">
        <v>955</v>
      </c>
      <c r="I213" s="57" t="s">
        <v>1003</v>
      </c>
      <c r="J213" s="57" t="s">
        <v>366</v>
      </c>
      <c r="K213" s="57" t="s">
        <v>591</v>
      </c>
      <c r="L213" s="31" t="s">
        <v>644</v>
      </c>
      <c r="M213" s="22">
        <v>2</v>
      </c>
      <c r="N213" s="46">
        <v>313</v>
      </c>
      <c r="O213" s="49">
        <f t="shared" si="4"/>
        <v>626</v>
      </c>
      <c r="P213" s="5" t="s">
        <v>393</v>
      </c>
      <c r="Q213" s="5" t="s">
        <v>1025</v>
      </c>
      <c r="R213" s="11" t="s">
        <v>1021</v>
      </c>
      <c r="S213" s="5">
        <v>100</v>
      </c>
    </row>
    <row r="214" spans="1:19" ht="102">
      <c r="A214" s="5">
        <v>199</v>
      </c>
      <c r="B214" s="29" t="s">
        <v>710</v>
      </c>
      <c r="C214" s="30" t="s">
        <v>711</v>
      </c>
      <c r="D214" s="5" t="s">
        <v>636</v>
      </c>
      <c r="E214" s="57" t="s">
        <v>815</v>
      </c>
      <c r="F214" s="57" t="s">
        <v>367</v>
      </c>
      <c r="G214" s="57" t="s">
        <v>816</v>
      </c>
      <c r="H214" s="57" t="s">
        <v>637</v>
      </c>
      <c r="I214" s="57" t="s">
        <v>815</v>
      </c>
      <c r="J214" s="57" t="s">
        <v>367</v>
      </c>
      <c r="K214" s="57" t="s">
        <v>591</v>
      </c>
      <c r="L214" s="31" t="s">
        <v>644</v>
      </c>
      <c r="M214" s="22">
        <v>1</v>
      </c>
      <c r="N214" s="46">
        <v>14286</v>
      </c>
      <c r="O214" s="49">
        <f t="shared" si="4"/>
        <v>14286</v>
      </c>
      <c r="P214" s="5" t="s">
        <v>393</v>
      </c>
      <c r="Q214" s="5" t="s">
        <v>1025</v>
      </c>
      <c r="R214" s="11" t="s">
        <v>1021</v>
      </c>
      <c r="S214" s="5">
        <v>100</v>
      </c>
    </row>
    <row r="215" spans="1:19" s="34" customFormat="1" ht="25.5">
      <c r="A215" s="5">
        <v>200</v>
      </c>
      <c r="B215" s="29" t="s">
        <v>710</v>
      </c>
      <c r="C215" s="30" t="s">
        <v>711</v>
      </c>
      <c r="D215" s="5" t="s">
        <v>639</v>
      </c>
      <c r="E215" s="57" t="s">
        <v>2172</v>
      </c>
      <c r="F215" s="57" t="s">
        <v>368</v>
      </c>
      <c r="G215" s="57" t="s">
        <v>817</v>
      </c>
      <c r="H215" s="57" t="s">
        <v>640</v>
      </c>
      <c r="I215" s="57" t="s">
        <v>2172</v>
      </c>
      <c r="J215" s="57" t="s">
        <v>368</v>
      </c>
      <c r="K215" s="57" t="s">
        <v>591</v>
      </c>
      <c r="L215" s="31" t="s">
        <v>644</v>
      </c>
      <c r="M215" s="22">
        <v>1</v>
      </c>
      <c r="N215" s="46">
        <v>1786</v>
      </c>
      <c r="O215" s="49">
        <f t="shared" si="4"/>
        <v>1786</v>
      </c>
      <c r="P215" s="5" t="s">
        <v>393</v>
      </c>
      <c r="Q215" s="5" t="s">
        <v>1025</v>
      </c>
      <c r="R215" s="11" t="s">
        <v>1021</v>
      </c>
      <c r="S215" s="5">
        <v>100</v>
      </c>
    </row>
    <row r="216" spans="1:19" ht="25.5">
      <c r="A216" s="5">
        <v>201</v>
      </c>
      <c r="B216" s="29" t="s">
        <v>710</v>
      </c>
      <c r="C216" s="30" t="s">
        <v>711</v>
      </c>
      <c r="D216" s="5" t="s">
        <v>395</v>
      </c>
      <c r="E216" s="57" t="s">
        <v>818</v>
      </c>
      <c r="F216" s="57" t="s">
        <v>369</v>
      </c>
      <c r="G216" s="57" t="s">
        <v>819</v>
      </c>
      <c r="H216" s="57" t="s">
        <v>396</v>
      </c>
      <c r="I216" s="57" t="s">
        <v>818</v>
      </c>
      <c r="J216" s="57" t="s">
        <v>369</v>
      </c>
      <c r="K216" s="57" t="s">
        <v>591</v>
      </c>
      <c r="L216" s="5" t="s">
        <v>669</v>
      </c>
      <c r="M216" s="22">
        <v>5</v>
      </c>
      <c r="N216" s="46">
        <v>156</v>
      </c>
      <c r="O216" s="49">
        <f t="shared" ref="O216:O279" si="5">M216*N216</f>
        <v>780</v>
      </c>
      <c r="P216" s="5" t="s">
        <v>393</v>
      </c>
      <c r="Q216" s="5" t="s">
        <v>1025</v>
      </c>
      <c r="R216" s="11" t="s">
        <v>1021</v>
      </c>
      <c r="S216" s="5">
        <v>100</v>
      </c>
    </row>
    <row r="217" spans="1:19" ht="57.75" customHeight="1">
      <c r="A217" s="5">
        <v>202</v>
      </c>
      <c r="B217" s="15" t="s">
        <v>710</v>
      </c>
      <c r="C217" s="30" t="s">
        <v>711</v>
      </c>
      <c r="D217" s="5" t="s">
        <v>1079</v>
      </c>
      <c r="E217" s="57" t="s">
        <v>370</v>
      </c>
      <c r="F217" s="57" t="s">
        <v>370</v>
      </c>
      <c r="G217" s="57" t="s">
        <v>1623</v>
      </c>
      <c r="H217" s="57" t="s">
        <v>1080</v>
      </c>
      <c r="I217" s="57" t="s">
        <v>192</v>
      </c>
      <c r="J217" s="57" t="s">
        <v>370</v>
      </c>
      <c r="K217" s="57" t="s">
        <v>591</v>
      </c>
      <c r="L217" s="5" t="s">
        <v>651</v>
      </c>
      <c r="M217" s="22">
        <v>50</v>
      </c>
      <c r="N217" s="46">
        <v>179</v>
      </c>
      <c r="O217" s="49">
        <f t="shared" si="5"/>
        <v>8950</v>
      </c>
      <c r="P217" s="5" t="s">
        <v>393</v>
      </c>
      <c r="Q217" s="5" t="s">
        <v>1025</v>
      </c>
      <c r="R217" s="11" t="s">
        <v>1021</v>
      </c>
      <c r="S217" s="5">
        <v>100</v>
      </c>
    </row>
    <row r="218" spans="1:19" ht="89.25">
      <c r="A218" s="5">
        <v>203</v>
      </c>
      <c r="B218" s="29" t="s">
        <v>710</v>
      </c>
      <c r="C218" s="30" t="s">
        <v>711</v>
      </c>
      <c r="D218" s="5" t="s">
        <v>645</v>
      </c>
      <c r="E218" s="57" t="s">
        <v>820</v>
      </c>
      <c r="F218" s="57" t="s">
        <v>10</v>
      </c>
      <c r="G218" s="57" t="s">
        <v>821</v>
      </c>
      <c r="H218" s="57" t="s">
        <v>646</v>
      </c>
      <c r="I218" s="57" t="s">
        <v>820</v>
      </c>
      <c r="J218" s="57" t="s">
        <v>10</v>
      </c>
      <c r="K218" s="57" t="s">
        <v>591</v>
      </c>
      <c r="L218" s="31" t="s">
        <v>644</v>
      </c>
      <c r="M218" s="22">
        <v>2</v>
      </c>
      <c r="N218" s="46">
        <v>1339</v>
      </c>
      <c r="O218" s="49">
        <f t="shared" si="5"/>
        <v>2678</v>
      </c>
      <c r="P218" s="5" t="s">
        <v>393</v>
      </c>
      <c r="Q218" s="5" t="s">
        <v>1025</v>
      </c>
      <c r="R218" s="11" t="s">
        <v>1021</v>
      </c>
      <c r="S218" s="5">
        <v>100</v>
      </c>
    </row>
    <row r="219" spans="1:19" ht="25.5">
      <c r="A219" s="5">
        <v>204</v>
      </c>
      <c r="B219" s="15" t="s">
        <v>710</v>
      </c>
      <c r="C219" s="30" t="s">
        <v>711</v>
      </c>
      <c r="D219" s="5" t="s">
        <v>1027</v>
      </c>
      <c r="E219" s="57" t="s">
        <v>2177</v>
      </c>
      <c r="F219" s="57" t="s">
        <v>198</v>
      </c>
      <c r="G219" s="57" t="s">
        <v>2225</v>
      </c>
      <c r="H219" s="57" t="s">
        <v>1028</v>
      </c>
      <c r="I219" s="57" t="s">
        <v>2177</v>
      </c>
      <c r="J219" s="57" t="s">
        <v>198</v>
      </c>
      <c r="K219" s="57" t="s">
        <v>591</v>
      </c>
      <c r="L219" s="31" t="s">
        <v>644</v>
      </c>
      <c r="M219" s="22">
        <v>4</v>
      </c>
      <c r="N219" s="46">
        <v>2232</v>
      </c>
      <c r="O219" s="49">
        <f t="shared" si="5"/>
        <v>8928</v>
      </c>
      <c r="P219" s="5" t="s">
        <v>393</v>
      </c>
      <c r="Q219" s="5" t="s">
        <v>1025</v>
      </c>
      <c r="R219" s="11" t="s">
        <v>1021</v>
      </c>
      <c r="S219" s="5">
        <v>100</v>
      </c>
    </row>
    <row r="220" spans="1:19" ht="38.25">
      <c r="A220" s="5">
        <v>205</v>
      </c>
      <c r="B220" s="15" t="s">
        <v>710</v>
      </c>
      <c r="C220" s="30" t="s">
        <v>711</v>
      </c>
      <c r="D220" s="5" t="s">
        <v>649</v>
      </c>
      <c r="E220" s="57" t="s">
        <v>1627</v>
      </c>
      <c r="F220" s="57" t="s">
        <v>371</v>
      </c>
      <c r="G220" s="57" t="s">
        <v>1629</v>
      </c>
      <c r="H220" s="57" t="s">
        <v>650</v>
      </c>
      <c r="I220" s="57" t="s">
        <v>1627</v>
      </c>
      <c r="J220" s="57" t="s">
        <v>371</v>
      </c>
      <c r="K220" s="57" t="s">
        <v>591</v>
      </c>
      <c r="L220" s="5" t="s">
        <v>651</v>
      </c>
      <c r="M220" s="22">
        <v>2</v>
      </c>
      <c r="N220" s="46">
        <v>446</v>
      </c>
      <c r="O220" s="49">
        <f t="shared" si="5"/>
        <v>892</v>
      </c>
      <c r="P220" s="5" t="s">
        <v>393</v>
      </c>
      <c r="Q220" s="5" t="s">
        <v>1025</v>
      </c>
      <c r="R220" s="11" t="s">
        <v>1021</v>
      </c>
      <c r="S220" s="5">
        <v>100</v>
      </c>
    </row>
    <row r="221" spans="1:19" ht="38.25">
      <c r="A221" s="5">
        <v>206</v>
      </c>
      <c r="B221" s="29" t="s">
        <v>710</v>
      </c>
      <c r="C221" s="30" t="s">
        <v>711</v>
      </c>
      <c r="D221" s="5" t="s">
        <v>825</v>
      </c>
      <c r="E221" s="57" t="s">
        <v>826</v>
      </c>
      <c r="F221" s="57" t="s">
        <v>372</v>
      </c>
      <c r="G221" s="57" t="s">
        <v>827</v>
      </c>
      <c r="H221" s="57" t="s">
        <v>828</v>
      </c>
      <c r="I221" s="57" t="s">
        <v>1631</v>
      </c>
      <c r="J221" s="57" t="s">
        <v>372</v>
      </c>
      <c r="K221" s="57" t="s">
        <v>591</v>
      </c>
      <c r="L221" s="31" t="s">
        <v>644</v>
      </c>
      <c r="M221" s="22">
        <v>50</v>
      </c>
      <c r="N221" s="46">
        <v>179</v>
      </c>
      <c r="O221" s="49">
        <f t="shared" si="5"/>
        <v>8950</v>
      </c>
      <c r="P221" s="5" t="s">
        <v>393</v>
      </c>
      <c r="Q221" s="5" t="s">
        <v>1025</v>
      </c>
      <c r="R221" s="11" t="s">
        <v>1021</v>
      </c>
      <c r="S221" s="5">
        <v>100</v>
      </c>
    </row>
    <row r="222" spans="1:19" ht="25.5">
      <c r="A222" s="5">
        <v>207</v>
      </c>
      <c r="B222" s="15" t="s">
        <v>710</v>
      </c>
      <c r="C222" s="30" t="s">
        <v>711</v>
      </c>
      <c r="D222" s="5" t="s">
        <v>829</v>
      </c>
      <c r="E222" s="57" t="s">
        <v>11</v>
      </c>
      <c r="F222" s="57" t="s">
        <v>11</v>
      </c>
      <c r="G222" s="57" t="s">
        <v>830</v>
      </c>
      <c r="H222" s="57" t="s">
        <v>830</v>
      </c>
      <c r="I222" s="57" t="s">
        <v>11</v>
      </c>
      <c r="J222" s="57" t="s">
        <v>11</v>
      </c>
      <c r="K222" s="57" t="s">
        <v>591</v>
      </c>
      <c r="L222" s="5" t="s">
        <v>1481</v>
      </c>
      <c r="M222" s="22">
        <v>25</v>
      </c>
      <c r="N222" s="46">
        <v>313</v>
      </c>
      <c r="O222" s="49">
        <f t="shared" si="5"/>
        <v>7825</v>
      </c>
      <c r="P222" s="5" t="s">
        <v>393</v>
      </c>
      <c r="Q222" s="5" t="s">
        <v>1025</v>
      </c>
      <c r="R222" s="11" t="s">
        <v>1021</v>
      </c>
      <c r="S222" s="5">
        <v>100</v>
      </c>
    </row>
    <row r="223" spans="1:19" ht="102">
      <c r="A223" s="5">
        <v>208</v>
      </c>
      <c r="B223" s="29" t="s">
        <v>710</v>
      </c>
      <c r="C223" s="30" t="s">
        <v>711</v>
      </c>
      <c r="D223" s="5" t="s">
        <v>842</v>
      </c>
      <c r="E223" s="57" t="s">
        <v>767</v>
      </c>
      <c r="F223" s="57" t="s">
        <v>18</v>
      </c>
      <c r="G223" s="57" t="s">
        <v>2192</v>
      </c>
      <c r="H223" s="57" t="s">
        <v>1029</v>
      </c>
      <c r="I223" s="57" t="s">
        <v>767</v>
      </c>
      <c r="J223" s="57" t="s">
        <v>373</v>
      </c>
      <c r="K223" s="57" t="s">
        <v>591</v>
      </c>
      <c r="L223" s="5" t="s">
        <v>644</v>
      </c>
      <c r="M223" s="22">
        <v>2</v>
      </c>
      <c r="N223" s="46">
        <v>714</v>
      </c>
      <c r="O223" s="49">
        <f t="shared" si="5"/>
        <v>1428</v>
      </c>
      <c r="P223" s="5" t="s">
        <v>393</v>
      </c>
      <c r="Q223" s="5" t="s">
        <v>1025</v>
      </c>
      <c r="R223" s="11" t="s">
        <v>1021</v>
      </c>
      <c r="S223" s="5">
        <v>100</v>
      </c>
    </row>
    <row r="224" spans="1:19" ht="25.5">
      <c r="A224" s="5">
        <v>209</v>
      </c>
      <c r="B224" s="29" t="s">
        <v>710</v>
      </c>
      <c r="C224" s="30" t="s">
        <v>711</v>
      </c>
      <c r="D224" s="5" t="s">
        <v>2388</v>
      </c>
      <c r="E224" s="57" t="s">
        <v>374</v>
      </c>
      <c r="F224" s="57" t="s">
        <v>374</v>
      </c>
      <c r="G224" s="57" t="s">
        <v>2286</v>
      </c>
      <c r="H224" s="57" t="s">
        <v>831</v>
      </c>
      <c r="I224" s="57" t="s">
        <v>374</v>
      </c>
      <c r="J224" s="57" t="s">
        <v>197</v>
      </c>
      <c r="K224" s="57" t="s">
        <v>591</v>
      </c>
      <c r="L224" s="31" t="s">
        <v>644</v>
      </c>
      <c r="M224" s="22">
        <v>25</v>
      </c>
      <c r="N224" s="46">
        <v>67</v>
      </c>
      <c r="O224" s="49">
        <f t="shared" si="5"/>
        <v>1675</v>
      </c>
      <c r="P224" s="5" t="s">
        <v>393</v>
      </c>
      <c r="Q224" s="5" t="s">
        <v>1025</v>
      </c>
      <c r="R224" s="11" t="s">
        <v>1021</v>
      </c>
      <c r="S224" s="5">
        <v>100</v>
      </c>
    </row>
    <row r="225" spans="1:19" ht="38.25">
      <c r="A225" s="5">
        <v>210</v>
      </c>
      <c r="B225" s="29" t="s">
        <v>710</v>
      </c>
      <c r="C225" s="30" t="s">
        <v>711</v>
      </c>
      <c r="D225" s="5" t="s">
        <v>660</v>
      </c>
      <c r="E225" s="57" t="s">
        <v>832</v>
      </c>
      <c r="F225" s="57" t="s">
        <v>12</v>
      </c>
      <c r="G225" s="57" t="s">
        <v>1639</v>
      </c>
      <c r="H225" s="57" t="s">
        <v>661</v>
      </c>
      <c r="I225" s="57" t="s">
        <v>832</v>
      </c>
      <c r="J225" s="57" t="s">
        <v>12</v>
      </c>
      <c r="K225" s="57" t="s">
        <v>591</v>
      </c>
      <c r="L225" s="31" t="s">
        <v>644</v>
      </c>
      <c r="M225" s="22">
        <v>5</v>
      </c>
      <c r="N225" s="46">
        <v>1339</v>
      </c>
      <c r="O225" s="49">
        <f t="shared" si="5"/>
        <v>6695</v>
      </c>
      <c r="P225" s="5" t="s">
        <v>393</v>
      </c>
      <c r="Q225" s="5" t="s">
        <v>1025</v>
      </c>
      <c r="R225" s="11" t="s">
        <v>1021</v>
      </c>
      <c r="S225" s="5">
        <v>100</v>
      </c>
    </row>
    <row r="226" spans="1:19" ht="25.5">
      <c r="A226" s="5">
        <v>211</v>
      </c>
      <c r="B226" s="29" t="s">
        <v>710</v>
      </c>
      <c r="C226" s="30" t="s">
        <v>711</v>
      </c>
      <c r="D226" s="5" t="s">
        <v>410</v>
      </c>
      <c r="E226" s="57" t="s">
        <v>833</v>
      </c>
      <c r="F226" s="57" t="s">
        <v>375</v>
      </c>
      <c r="G226" s="57" t="s">
        <v>2272</v>
      </c>
      <c r="H226" s="57" t="s">
        <v>411</v>
      </c>
      <c r="I226" s="57" t="s">
        <v>2272</v>
      </c>
      <c r="J226" s="57" t="s">
        <v>375</v>
      </c>
      <c r="K226" s="57" t="s">
        <v>591</v>
      </c>
      <c r="L226" s="31" t="s">
        <v>644</v>
      </c>
      <c r="M226" s="22">
        <v>5</v>
      </c>
      <c r="N226" s="46">
        <v>1071</v>
      </c>
      <c r="O226" s="49">
        <f t="shared" si="5"/>
        <v>5355</v>
      </c>
      <c r="P226" s="5" t="s">
        <v>393</v>
      </c>
      <c r="Q226" s="5" t="s">
        <v>1025</v>
      </c>
      <c r="R226" s="11" t="s">
        <v>1021</v>
      </c>
      <c r="S226" s="5">
        <v>100</v>
      </c>
    </row>
    <row r="227" spans="1:19" ht="25.5">
      <c r="A227" s="5">
        <v>212</v>
      </c>
      <c r="B227" s="29" t="s">
        <v>710</v>
      </c>
      <c r="C227" s="30" t="s">
        <v>711</v>
      </c>
      <c r="D227" s="5" t="s">
        <v>662</v>
      </c>
      <c r="E227" s="57" t="s">
        <v>2236</v>
      </c>
      <c r="F227" s="57" t="s">
        <v>663</v>
      </c>
      <c r="G227" s="57" t="s">
        <v>2237</v>
      </c>
      <c r="H227" s="57" t="s">
        <v>2239</v>
      </c>
      <c r="I227" s="57" t="s">
        <v>2238</v>
      </c>
      <c r="J227" s="57" t="s">
        <v>376</v>
      </c>
      <c r="K227" s="57" t="s">
        <v>591</v>
      </c>
      <c r="L227" s="5" t="s">
        <v>1482</v>
      </c>
      <c r="M227" s="22">
        <v>1</v>
      </c>
      <c r="N227" s="46">
        <v>26786</v>
      </c>
      <c r="O227" s="49">
        <f t="shared" si="5"/>
        <v>26786</v>
      </c>
      <c r="P227" s="5" t="s">
        <v>393</v>
      </c>
      <c r="Q227" s="5" t="s">
        <v>1025</v>
      </c>
      <c r="R227" s="11" t="s">
        <v>1021</v>
      </c>
      <c r="S227" s="5">
        <v>100</v>
      </c>
    </row>
    <row r="228" spans="1:19" ht="93.75" customHeight="1">
      <c r="A228" s="5">
        <v>213</v>
      </c>
      <c r="B228" s="29" t="s">
        <v>710</v>
      </c>
      <c r="C228" s="30" t="s">
        <v>711</v>
      </c>
      <c r="D228" s="5" t="s">
        <v>1030</v>
      </c>
      <c r="E228" s="57" t="s">
        <v>2294</v>
      </c>
      <c r="F228" s="57" t="s">
        <v>1031</v>
      </c>
      <c r="G228" s="57" t="s">
        <v>2295</v>
      </c>
      <c r="H228" s="57" t="s">
        <v>1032</v>
      </c>
      <c r="I228" s="57" t="s">
        <v>2296</v>
      </c>
      <c r="J228" s="57" t="s">
        <v>377</v>
      </c>
      <c r="K228" s="57" t="s">
        <v>591</v>
      </c>
      <c r="L228" s="31" t="s">
        <v>644</v>
      </c>
      <c r="M228" s="22">
        <v>1</v>
      </c>
      <c r="N228" s="46">
        <v>26786</v>
      </c>
      <c r="O228" s="49">
        <f t="shared" si="5"/>
        <v>26786</v>
      </c>
      <c r="P228" s="5" t="s">
        <v>393</v>
      </c>
      <c r="Q228" s="5" t="s">
        <v>1025</v>
      </c>
      <c r="R228" s="11" t="s">
        <v>1021</v>
      </c>
      <c r="S228" s="5">
        <v>100</v>
      </c>
    </row>
    <row r="229" spans="1:19" ht="38.25">
      <c r="A229" s="5">
        <v>214</v>
      </c>
      <c r="B229" s="29" t="s">
        <v>710</v>
      </c>
      <c r="C229" s="30" t="s">
        <v>711</v>
      </c>
      <c r="D229" s="5" t="s">
        <v>412</v>
      </c>
      <c r="E229" s="57" t="s">
        <v>835</v>
      </c>
      <c r="F229" s="57" t="s">
        <v>377</v>
      </c>
      <c r="G229" s="57" t="s">
        <v>836</v>
      </c>
      <c r="H229" s="57" t="s">
        <v>413</v>
      </c>
      <c r="I229" s="57" t="s">
        <v>2292</v>
      </c>
      <c r="J229" s="57" t="s">
        <v>378</v>
      </c>
      <c r="K229" s="57" t="s">
        <v>591</v>
      </c>
      <c r="L229" s="31" t="s">
        <v>644</v>
      </c>
      <c r="M229" s="22">
        <v>1</v>
      </c>
      <c r="N229" s="46">
        <v>16071</v>
      </c>
      <c r="O229" s="49">
        <f t="shared" si="5"/>
        <v>16071</v>
      </c>
      <c r="P229" s="5" t="s">
        <v>393</v>
      </c>
      <c r="Q229" s="5" t="s">
        <v>1025</v>
      </c>
      <c r="R229" s="11" t="s">
        <v>1021</v>
      </c>
      <c r="S229" s="5">
        <v>100</v>
      </c>
    </row>
    <row r="230" spans="1:19" ht="140.25">
      <c r="A230" s="5">
        <v>215</v>
      </c>
      <c r="B230" s="29" t="s">
        <v>710</v>
      </c>
      <c r="C230" s="30" t="s">
        <v>711</v>
      </c>
      <c r="D230" s="5" t="s">
        <v>414</v>
      </c>
      <c r="E230" s="57" t="s">
        <v>2184</v>
      </c>
      <c r="F230" s="57" t="s">
        <v>13</v>
      </c>
      <c r="G230" s="57" t="s">
        <v>2186</v>
      </c>
      <c r="H230" s="57" t="s">
        <v>415</v>
      </c>
      <c r="I230" s="57" t="s">
        <v>2184</v>
      </c>
      <c r="J230" s="57" t="s">
        <v>13</v>
      </c>
      <c r="K230" s="57" t="s">
        <v>591</v>
      </c>
      <c r="L230" s="31" t="s">
        <v>644</v>
      </c>
      <c r="M230" s="22">
        <v>3</v>
      </c>
      <c r="N230" s="46">
        <v>2679</v>
      </c>
      <c r="O230" s="49">
        <f t="shared" si="5"/>
        <v>8037</v>
      </c>
      <c r="P230" s="5" t="s">
        <v>393</v>
      </c>
      <c r="Q230" s="5" t="s">
        <v>1025</v>
      </c>
      <c r="R230" s="11" t="s">
        <v>1021</v>
      </c>
      <c r="S230" s="5">
        <v>100</v>
      </c>
    </row>
    <row r="231" spans="1:19" ht="25.5">
      <c r="A231" s="5">
        <v>216</v>
      </c>
      <c r="B231" s="29" t="s">
        <v>710</v>
      </c>
      <c r="C231" s="30" t="s">
        <v>711</v>
      </c>
      <c r="D231" s="5" t="s">
        <v>416</v>
      </c>
      <c r="E231" s="57" t="s">
        <v>2223</v>
      </c>
      <c r="F231" s="57" t="s">
        <v>417</v>
      </c>
      <c r="G231" s="57" t="s">
        <v>2224</v>
      </c>
      <c r="H231" s="57" t="s">
        <v>418</v>
      </c>
      <c r="I231" s="57" t="s">
        <v>2223</v>
      </c>
      <c r="J231" s="57" t="s">
        <v>379</v>
      </c>
      <c r="K231" s="57" t="s">
        <v>591</v>
      </c>
      <c r="L231" s="31" t="s">
        <v>644</v>
      </c>
      <c r="M231" s="22">
        <v>1</v>
      </c>
      <c r="N231" s="46">
        <v>16071</v>
      </c>
      <c r="O231" s="49">
        <f t="shared" si="5"/>
        <v>16071</v>
      </c>
      <c r="P231" s="5" t="s">
        <v>393</v>
      </c>
      <c r="Q231" s="5" t="s">
        <v>1025</v>
      </c>
      <c r="R231" s="11" t="s">
        <v>1021</v>
      </c>
      <c r="S231" s="5">
        <v>100</v>
      </c>
    </row>
    <row r="232" spans="1:19" ht="51">
      <c r="A232" s="5">
        <v>217</v>
      </c>
      <c r="B232" s="15" t="s">
        <v>710</v>
      </c>
      <c r="C232" s="30" t="s">
        <v>711</v>
      </c>
      <c r="D232" s="5" t="s">
        <v>1006</v>
      </c>
      <c r="E232" s="57" t="s">
        <v>2078</v>
      </c>
      <c r="F232" s="57" t="s">
        <v>1007</v>
      </c>
      <c r="G232" s="57" t="s">
        <v>2079</v>
      </c>
      <c r="H232" s="57" t="s">
        <v>1008</v>
      </c>
      <c r="I232" s="57" t="s">
        <v>2078</v>
      </c>
      <c r="J232" s="57" t="s">
        <v>380</v>
      </c>
      <c r="K232" s="57" t="s">
        <v>591</v>
      </c>
      <c r="L232" s="31" t="s">
        <v>644</v>
      </c>
      <c r="M232" s="22">
        <v>1</v>
      </c>
      <c r="N232" s="46">
        <v>1786</v>
      </c>
      <c r="O232" s="49">
        <f t="shared" si="5"/>
        <v>1786</v>
      </c>
      <c r="P232" s="5" t="s">
        <v>393</v>
      </c>
      <c r="Q232" s="5" t="s">
        <v>1025</v>
      </c>
      <c r="R232" s="11" t="s">
        <v>1021</v>
      </c>
      <c r="S232" s="5">
        <v>100</v>
      </c>
    </row>
    <row r="233" spans="1:19" ht="63.75">
      <c r="A233" s="5">
        <v>218</v>
      </c>
      <c r="B233" s="29" t="s">
        <v>710</v>
      </c>
      <c r="C233" s="30" t="s">
        <v>711</v>
      </c>
      <c r="D233" s="5" t="s">
        <v>803</v>
      </c>
      <c r="E233" s="57" t="s">
        <v>804</v>
      </c>
      <c r="F233" s="57" t="s">
        <v>364</v>
      </c>
      <c r="G233" s="57" t="s">
        <v>805</v>
      </c>
      <c r="H233" s="57" t="s">
        <v>806</v>
      </c>
      <c r="I233" s="57" t="s">
        <v>804</v>
      </c>
      <c r="J233" s="57" t="s">
        <v>364</v>
      </c>
      <c r="K233" s="57" t="s">
        <v>591</v>
      </c>
      <c r="L233" s="31" t="s">
        <v>644</v>
      </c>
      <c r="M233" s="22">
        <v>5</v>
      </c>
      <c r="N233" s="46">
        <v>313</v>
      </c>
      <c r="O233" s="49">
        <f t="shared" si="5"/>
        <v>1565</v>
      </c>
      <c r="P233" s="5" t="s">
        <v>612</v>
      </c>
      <c r="Q233" s="14" t="s">
        <v>1474</v>
      </c>
      <c r="R233" s="11" t="s">
        <v>789</v>
      </c>
      <c r="S233" s="5">
        <v>100</v>
      </c>
    </row>
    <row r="234" spans="1:19" ht="33" customHeight="1">
      <c r="A234" s="5">
        <v>219</v>
      </c>
      <c r="B234" s="15" t="s">
        <v>710</v>
      </c>
      <c r="C234" s="30" t="s">
        <v>711</v>
      </c>
      <c r="D234" s="11" t="s">
        <v>807</v>
      </c>
      <c r="E234" s="57" t="s">
        <v>1596</v>
      </c>
      <c r="F234" s="57" t="s">
        <v>2377</v>
      </c>
      <c r="G234" s="57" t="s">
        <v>1597</v>
      </c>
      <c r="H234" s="57" t="s">
        <v>808</v>
      </c>
      <c r="I234" s="57" t="s">
        <v>1598</v>
      </c>
      <c r="J234" s="57" t="s">
        <v>5</v>
      </c>
      <c r="K234" s="57" t="s">
        <v>591</v>
      </c>
      <c r="L234" s="31" t="s">
        <v>644</v>
      </c>
      <c r="M234" s="22">
        <v>2</v>
      </c>
      <c r="N234" s="46">
        <v>714</v>
      </c>
      <c r="O234" s="49">
        <f t="shared" si="5"/>
        <v>1428</v>
      </c>
      <c r="P234" s="5" t="s">
        <v>612</v>
      </c>
      <c r="Q234" s="14" t="s">
        <v>1474</v>
      </c>
      <c r="R234" s="11" t="s">
        <v>789</v>
      </c>
      <c r="S234" s="5">
        <v>100</v>
      </c>
    </row>
    <row r="235" spans="1:19" ht="76.5">
      <c r="A235" s="5">
        <v>220</v>
      </c>
      <c r="B235" s="29" t="s">
        <v>710</v>
      </c>
      <c r="C235" s="30" t="s">
        <v>711</v>
      </c>
      <c r="D235" s="5" t="s">
        <v>809</v>
      </c>
      <c r="E235" s="57" t="s">
        <v>810</v>
      </c>
      <c r="F235" s="57" t="s">
        <v>6</v>
      </c>
      <c r="G235" s="57" t="s">
        <v>811</v>
      </c>
      <c r="H235" s="57" t="s">
        <v>812</v>
      </c>
      <c r="I235" s="57" t="s">
        <v>6</v>
      </c>
      <c r="J235" s="57" t="s">
        <v>6</v>
      </c>
      <c r="K235" s="57" t="s">
        <v>591</v>
      </c>
      <c r="L235" s="31" t="s">
        <v>644</v>
      </c>
      <c r="M235" s="22">
        <v>4</v>
      </c>
      <c r="N235" s="46">
        <v>3125</v>
      </c>
      <c r="O235" s="49">
        <f t="shared" si="5"/>
        <v>12500</v>
      </c>
      <c r="P235" s="5" t="s">
        <v>612</v>
      </c>
      <c r="Q235" s="14" t="s">
        <v>1474</v>
      </c>
      <c r="R235" s="11" t="s">
        <v>789</v>
      </c>
      <c r="S235" s="5">
        <v>100</v>
      </c>
    </row>
    <row r="236" spans="1:19" ht="41.25" customHeight="1">
      <c r="A236" s="5">
        <v>221</v>
      </c>
      <c r="B236" s="29" t="s">
        <v>710</v>
      </c>
      <c r="C236" s="30" t="s">
        <v>711</v>
      </c>
      <c r="D236" s="5" t="s">
        <v>634</v>
      </c>
      <c r="E236" s="57" t="s">
        <v>813</v>
      </c>
      <c r="F236" s="57" t="s">
        <v>365</v>
      </c>
      <c r="G236" s="57" t="s">
        <v>814</v>
      </c>
      <c r="H236" s="57" t="s">
        <v>635</v>
      </c>
      <c r="I236" s="57" t="s">
        <v>813</v>
      </c>
      <c r="J236" s="57" t="s">
        <v>365</v>
      </c>
      <c r="K236" s="57" t="s">
        <v>591</v>
      </c>
      <c r="L236" s="31" t="s">
        <v>644</v>
      </c>
      <c r="M236" s="22">
        <v>2</v>
      </c>
      <c r="N236" s="46">
        <v>223</v>
      </c>
      <c r="O236" s="49">
        <f t="shared" si="5"/>
        <v>446</v>
      </c>
      <c r="P236" s="5" t="s">
        <v>612</v>
      </c>
      <c r="Q236" s="14" t="s">
        <v>1474</v>
      </c>
      <c r="R236" s="11" t="s">
        <v>789</v>
      </c>
      <c r="S236" s="5">
        <v>100</v>
      </c>
    </row>
    <row r="237" spans="1:19" ht="76.5">
      <c r="A237" s="5">
        <v>222</v>
      </c>
      <c r="B237" s="15" t="s">
        <v>710</v>
      </c>
      <c r="C237" s="30" t="s">
        <v>711</v>
      </c>
      <c r="D237" s="5" t="s">
        <v>954</v>
      </c>
      <c r="E237" s="57" t="s">
        <v>1003</v>
      </c>
      <c r="F237" s="57" t="s">
        <v>366</v>
      </c>
      <c r="G237" s="57" t="s">
        <v>2171</v>
      </c>
      <c r="H237" s="57" t="s">
        <v>955</v>
      </c>
      <c r="I237" s="57" t="s">
        <v>1003</v>
      </c>
      <c r="J237" s="57" t="s">
        <v>366</v>
      </c>
      <c r="K237" s="57" t="s">
        <v>591</v>
      </c>
      <c r="L237" s="31" t="s">
        <v>644</v>
      </c>
      <c r="M237" s="22">
        <v>2</v>
      </c>
      <c r="N237" s="46">
        <v>313</v>
      </c>
      <c r="O237" s="49">
        <f t="shared" si="5"/>
        <v>626</v>
      </c>
      <c r="P237" s="5" t="s">
        <v>612</v>
      </c>
      <c r="Q237" s="14" t="s">
        <v>1474</v>
      </c>
      <c r="R237" s="11" t="s">
        <v>789</v>
      </c>
      <c r="S237" s="5">
        <v>100</v>
      </c>
    </row>
    <row r="238" spans="1:19" ht="102">
      <c r="A238" s="5">
        <v>223</v>
      </c>
      <c r="B238" s="29" t="s">
        <v>710</v>
      </c>
      <c r="C238" s="30" t="s">
        <v>711</v>
      </c>
      <c r="D238" s="5" t="s">
        <v>636</v>
      </c>
      <c r="E238" s="57" t="s">
        <v>815</v>
      </c>
      <c r="F238" s="57" t="s">
        <v>367</v>
      </c>
      <c r="G238" s="57" t="s">
        <v>816</v>
      </c>
      <c r="H238" s="57" t="s">
        <v>637</v>
      </c>
      <c r="I238" s="57" t="s">
        <v>815</v>
      </c>
      <c r="J238" s="57" t="s">
        <v>367</v>
      </c>
      <c r="K238" s="57" t="s">
        <v>591</v>
      </c>
      <c r="L238" s="31" t="s">
        <v>644</v>
      </c>
      <c r="M238" s="22">
        <v>1</v>
      </c>
      <c r="N238" s="46">
        <v>14286</v>
      </c>
      <c r="O238" s="49">
        <f t="shared" si="5"/>
        <v>14286</v>
      </c>
      <c r="P238" s="5" t="s">
        <v>515</v>
      </c>
      <c r="Q238" s="14" t="s">
        <v>1474</v>
      </c>
      <c r="R238" s="11" t="s">
        <v>789</v>
      </c>
      <c r="S238" s="5">
        <v>100</v>
      </c>
    </row>
    <row r="239" spans="1:19" ht="41.25" customHeight="1">
      <c r="A239" s="5">
        <v>224</v>
      </c>
      <c r="B239" s="29" t="s">
        <v>710</v>
      </c>
      <c r="C239" s="30" t="s">
        <v>711</v>
      </c>
      <c r="D239" s="5" t="s">
        <v>639</v>
      </c>
      <c r="E239" s="57" t="s">
        <v>2172</v>
      </c>
      <c r="F239" s="57" t="s">
        <v>368</v>
      </c>
      <c r="G239" s="57" t="s">
        <v>817</v>
      </c>
      <c r="H239" s="57" t="s">
        <v>640</v>
      </c>
      <c r="I239" s="57" t="s">
        <v>2172</v>
      </c>
      <c r="J239" s="57" t="s">
        <v>368</v>
      </c>
      <c r="K239" s="57" t="s">
        <v>591</v>
      </c>
      <c r="L239" s="31" t="s">
        <v>644</v>
      </c>
      <c r="M239" s="22">
        <v>1</v>
      </c>
      <c r="N239" s="46">
        <v>1786</v>
      </c>
      <c r="O239" s="49">
        <f t="shared" si="5"/>
        <v>1786</v>
      </c>
      <c r="P239" s="5" t="s">
        <v>612</v>
      </c>
      <c r="Q239" s="14" t="s">
        <v>1474</v>
      </c>
      <c r="R239" s="11" t="s">
        <v>789</v>
      </c>
      <c r="S239" s="5">
        <v>100</v>
      </c>
    </row>
    <row r="240" spans="1:19" ht="41.25" customHeight="1">
      <c r="A240" s="5">
        <v>225</v>
      </c>
      <c r="B240" s="29" t="s">
        <v>710</v>
      </c>
      <c r="C240" s="30" t="s">
        <v>711</v>
      </c>
      <c r="D240" s="5" t="s">
        <v>395</v>
      </c>
      <c r="E240" s="57" t="s">
        <v>818</v>
      </c>
      <c r="F240" s="57" t="s">
        <v>369</v>
      </c>
      <c r="G240" s="57" t="s">
        <v>819</v>
      </c>
      <c r="H240" s="57" t="s">
        <v>396</v>
      </c>
      <c r="I240" s="57" t="s">
        <v>818</v>
      </c>
      <c r="J240" s="57" t="s">
        <v>369</v>
      </c>
      <c r="K240" s="57" t="s">
        <v>591</v>
      </c>
      <c r="L240" s="5" t="s">
        <v>669</v>
      </c>
      <c r="M240" s="22">
        <v>5</v>
      </c>
      <c r="N240" s="46">
        <v>156</v>
      </c>
      <c r="O240" s="49">
        <f t="shared" si="5"/>
        <v>780</v>
      </c>
      <c r="P240" s="5" t="s">
        <v>612</v>
      </c>
      <c r="Q240" s="14" t="s">
        <v>1474</v>
      </c>
      <c r="R240" s="11" t="s">
        <v>789</v>
      </c>
      <c r="S240" s="5">
        <v>100</v>
      </c>
    </row>
    <row r="241" spans="1:19" ht="41.25" customHeight="1">
      <c r="A241" s="5">
        <v>226</v>
      </c>
      <c r="B241" s="15" t="s">
        <v>710</v>
      </c>
      <c r="C241" s="30" t="s">
        <v>711</v>
      </c>
      <c r="D241" s="5" t="s">
        <v>1079</v>
      </c>
      <c r="E241" s="57" t="s">
        <v>370</v>
      </c>
      <c r="F241" s="57" t="s">
        <v>370</v>
      </c>
      <c r="G241" s="57" t="s">
        <v>1623</v>
      </c>
      <c r="H241" s="57" t="s">
        <v>1080</v>
      </c>
      <c r="I241" s="57" t="s">
        <v>192</v>
      </c>
      <c r="J241" s="57" t="s">
        <v>370</v>
      </c>
      <c r="K241" s="57" t="s">
        <v>591</v>
      </c>
      <c r="L241" s="5" t="s">
        <v>651</v>
      </c>
      <c r="M241" s="22">
        <v>50</v>
      </c>
      <c r="N241" s="46">
        <v>179</v>
      </c>
      <c r="O241" s="49">
        <f t="shared" si="5"/>
        <v>8950</v>
      </c>
      <c r="P241" s="5" t="s">
        <v>612</v>
      </c>
      <c r="Q241" s="14" t="s">
        <v>1474</v>
      </c>
      <c r="R241" s="11" t="s">
        <v>789</v>
      </c>
      <c r="S241" s="5">
        <v>100</v>
      </c>
    </row>
    <row r="242" spans="1:19" ht="89.25">
      <c r="A242" s="5">
        <v>227</v>
      </c>
      <c r="B242" s="29" t="s">
        <v>710</v>
      </c>
      <c r="C242" s="30" t="s">
        <v>711</v>
      </c>
      <c r="D242" s="5" t="s">
        <v>645</v>
      </c>
      <c r="E242" s="57" t="s">
        <v>820</v>
      </c>
      <c r="F242" s="57" t="s">
        <v>10</v>
      </c>
      <c r="G242" s="57" t="s">
        <v>821</v>
      </c>
      <c r="H242" s="57" t="s">
        <v>646</v>
      </c>
      <c r="I242" s="57" t="s">
        <v>820</v>
      </c>
      <c r="J242" s="57" t="s">
        <v>10</v>
      </c>
      <c r="K242" s="57" t="s">
        <v>591</v>
      </c>
      <c r="L242" s="31" t="s">
        <v>644</v>
      </c>
      <c r="M242" s="22">
        <v>2</v>
      </c>
      <c r="N242" s="46">
        <v>1339</v>
      </c>
      <c r="O242" s="49">
        <f t="shared" si="5"/>
        <v>2678</v>
      </c>
      <c r="P242" s="5" t="s">
        <v>501</v>
      </c>
      <c r="Q242" s="14" t="s">
        <v>1474</v>
      </c>
      <c r="R242" s="11" t="s">
        <v>789</v>
      </c>
      <c r="S242" s="5">
        <v>100</v>
      </c>
    </row>
    <row r="243" spans="1:19" ht="41.25" customHeight="1">
      <c r="A243" s="5">
        <v>228</v>
      </c>
      <c r="B243" s="15" t="s">
        <v>710</v>
      </c>
      <c r="C243" s="30" t="s">
        <v>711</v>
      </c>
      <c r="D243" s="5" t="s">
        <v>822</v>
      </c>
      <c r="E243" s="57" t="s">
        <v>823</v>
      </c>
      <c r="F243" s="57" t="s">
        <v>824</v>
      </c>
      <c r="G243" s="57" t="s">
        <v>823</v>
      </c>
      <c r="H243" s="57" t="s">
        <v>824</v>
      </c>
      <c r="I243" s="57" t="s">
        <v>2177</v>
      </c>
      <c r="J243" s="57" t="s">
        <v>198</v>
      </c>
      <c r="K243" s="57" t="s">
        <v>591</v>
      </c>
      <c r="L243" s="31" t="s">
        <v>644</v>
      </c>
      <c r="M243" s="22">
        <v>4</v>
      </c>
      <c r="N243" s="46">
        <v>2232</v>
      </c>
      <c r="O243" s="49">
        <f t="shared" si="5"/>
        <v>8928</v>
      </c>
      <c r="P243" s="5" t="s">
        <v>515</v>
      </c>
      <c r="Q243" s="14" t="s">
        <v>1474</v>
      </c>
      <c r="R243" s="11" t="s">
        <v>789</v>
      </c>
      <c r="S243" s="5">
        <v>100</v>
      </c>
    </row>
    <row r="244" spans="1:19" ht="41.25" customHeight="1">
      <c r="A244" s="5">
        <v>229</v>
      </c>
      <c r="B244" s="15" t="s">
        <v>710</v>
      </c>
      <c r="C244" s="30" t="s">
        <v>711</v>
      </c>
      <c r="D244" s="5" t="s">
        <v>649</v>
      </c>
      <c r="E244" s="57" t="s">
        <v>1627</v>
      </c>
      <c r="F244" s="57" t="s">
        <v>371</v>
      </c>
      <c r="G244" s="57" t="s">
        <v>1629</v>
      </c>
      <c r="H244" s="57" t="s">
        <v>650</v>
      </c>
      <c r="I244" s="57" t="s">
        <v>1627</v>
      </c>
      <c r="J244" s="57" t="s">
        <v>371</v>
      </c>
      <c r="K244" s="57" t="s">
        <v>591</v>
      </c>
      <c r="L244" s="5" t="s">
        <v>651</v>
      </c>
      <c r="M244" s="22">
        <v>2</v>
      </c>
      <c r="N244" s="46">
        <v>446</v>
      </c>
      <c r="O244" s="49">
        <f t="shared" si="5"/>
        <v>892</v>
      </c>
      <c r="P244" s="5" t="s">
        <v>501</v>
      </c>
      <c r="Q244" s="14" t="s">
        <v>1474</v>
      </c>
      <c r="R244" s="11" t="s">
        <v>789</v>
      </c>
      <c r="S244" s="5">
        <v>100</v>
      </c>
    </row>
    <row r="245" spans="1:19" ht="41.25" customHeight="1">
      <c r="A245" s="5">
        <v>230</v>
      </c>
      <c r="B245" s="29" t="s">
        <v>710</v>
      </c>
      <c r="C245" s="30" t="s">
        <v>711</v>
      </c>
      <c r="D245" s="5" t="s">
        <v>825</v>
      </c>
      <c r="E245" s="57" t="s">
        <v>826</v>
      </c>
      <c r="F245" s="57" t="s">
        <v>372</v>
      </c>
      <c r="G245" s="57" t="s">
        <v>827</v>
      </c>
      <c r="H245" s="57" t="s">
        <v>828</v>
      </c>
      <c r="I245" s="57" t="s">
        <v>1631</v>
      </c>
      <c r="J245" s="57" t="s">
        <v>372</v>
      </c>
      <c r="K245" s="57" t="s">
        <v>591</v>
      </c>
      <c r="L245" s="31" t="s">
        <v>644</v>
      </c>
      <c r="M245" s="22">
        <v>50</v>
      </c>
      <c r="N245" s="46">
        <v>179</v>
      </c>
      <c r="O245" s="49">
        <f t="shared" si="5"/>
        <v>8950</v>
      </c>
      <c r="P245" s="5" t="s">
        <v>612</v>
      </c>
      <c r="Q245" s="14" t="s">
        <v>1474</v>
      </c>
      <c r="R245" s="11" t="s">
        <v>789</v>
      </c>
      <c r="S245" s="5">
        <v>100</v>
      </c>
    </row>
    <row r="246" spans="1:19" ht="41.25" customHeight="1">
      <c r="A246" s="5">
        <v>231</v>
      </c>
      <c r="B246" s="15" t="s">
        <v>710</v>
      </c>
      <c r="C246" s="30" t="s">
        <v>711</v>
      </c>
      <c r="D246" s="5" t="s">
        <v>829</v>
      </c>
      <c r="E246" s="57" t="s">
        <v>11</v>
      </c>
      <c r="F246" s="57" t="s">
        <v>11</v>
      </c>
      <c r="G246" s="57" t="s">
        <v>830</v>
      </c>
      <c r="H246" s="57" t="s">
        <v>830</v>
      </c>
      <c r="I246" s="57" t="s">
        <v>11</v>
      </c>
      <c r="J246" s="57" t="s">
        <v>11</v>
      </c>
      <c r="K246" s="57" t="s">
        <v>591</v>
      </c>
      <c r="L246" s="5" t="s">
        <v>1481</v>
      </c>
      <c r="M246" s="22">
        <v>25</v>
      </c>
      <c r="N246" s="46">
        <v>313</v>
      </c>
      <c r="O246" s="49">
        <f t="shared" si="5"/>
        <v>7825</v>
      </c>
      <c r="P246" s="5" t="s">
        <v>502</v>
      </c>
      <c r="Q246" s="14" t="s">
        <v>1474</v>
      </c>
      <c r="R246" s="11" t="s">
        <v>789</v>
      </c>
      <c r="S246" s="5">
        <v>100</v>
      </c>
    </row>
    <row r="247" spans="1:19" ht="41.25" customHeight="1">
      <c r="A247" s="5">
        <v>232</v>
      </c>
      <c r="B247" s="29" t="s">
        <v>710</v>
      </c>
      <c r="C247" s="30" t="s">
        <v>711</v>
      </c>
      <c r="D247" s="5" t="s">
        <v>894</v>
      </c>
      <c r="E247" s="57" t="s">
        <v>767</v>
      </c>
      <c r="F247" s="57" t="s">
        <v>18</v>
      </c>
      <c r="G247" s="57" t="s">
        <v>2180</v>
      </c>
      <c r="H247" s="57" t="s">
        <v>670</v>
      </c>
      <c r="I247" s="57" t="s">
        <v>767</v>
      </c>
      <c r="J247" s="57" t="s">
        <v>18</v>
      </c>
      <c r="K247" s="57" t="s">
        <v>591</v>
      </c>
      <c r="L247" s="5" t="s">
        <v>480</v>
      </c>
      <c r="M247" s="22">
        <v>2</v>
      </c>
      <c r="N247" s="46">
        <v>714</v>
      </c>
      <c r="O247" s="49">
        <f t="shared" si="5"/>
        <v>1428</v>
      </c>
      <c r="P247" s="5" t="s">
        <v>393</v>
      </c>
      <c r="Q247" s="14" t="s">
        <v>1474</v>
      </c>
      <c r="R247" s="11" t="s">
        <v>789</v>
      </c>
      <c r="S247" s="5">
        <v>100</v>
      </c>
    </row>
    <row r="248" spans="1:19" ht="41.25" customHeight="1">
      <c r="A248" s="5">
        <v>233</v>
      </c>
      <c r="B248" s="29" t="s">
        <v>710</v>
      </c>
      <c r="C248" s="30" t="s">
        <v>711</v>
      </c>
      <c r="D248" s="5" t="s">
        <v>2388</v>
      </c>
      <c r="E248" s="57" t="s">
        <v>374</v>
      </c>
      <c r="F248" s="57" t="s">
        <v>374</v>
      </c>
      <c r="G248" s="57" t="s">
        <v>2286</v>
      </c>
      <c r="H248" s="57" t="s">
        <v>831</v>
      </c>
      <c r="I248" s="57" t="s">
        <v>374</v>
      </c>
      <c r="J248" s="57" t="s">
        <v>197</v>
      </c>
      <c r="K248" s="57" t="s">
        <v>591</v>
      </c>
      <c r="L248" s="31" t="s">
        <v>644</v>
      </c>
      <c r="M248" s="22">
        <v>25</v>
      </c>
      <c r="N248" s="46">
        <v>67</v>
      </c>
      <c r="O248" s="49">
        <f t="shared" si="5"/>
        <v>1675</v>
      </c>
      <c r="P248" s="5" t="s">
        <v>502</v>
      </c>
      <c r="Q248" s="14" t="s">
        <v>1474</v>
      </c>
      <c r="R248" s="11" t="s">
        <v>789</v>
      </c>
      <c r="S248" s="5">
        <v>100</v>
      </c>
    </row>
    <row r="249" spans="1:19" ht="41.25" customHeight="1">
      <c r="A249" s="5">
        <v>234</v>
      </c>
      <c r="B249" s="29" t="s">
        <v>710</v>
      </c>
      <c r="C249" s="30" t="s">
        <v>711</v>
      </c>
      <c r="D249" s="5" t="s">
        <v>660</v>
      </c>
      <c r="E249" s="57" t="s">
        <v>832</v>
      </c>
      <c r="F249" s="57" t="s">
        <v>12</v>
      </c>
      <c r="G249" s="57" t="s">
        <v>1639</v>
      </c>
      <c r="H249" s="57" t="s">
        <v>661</v>
      </c>
      <c r="I249" s="57" t="s">
        <v>832</v>
      </c>
      <c r="J249" s="57" t="s">
        <v>12</v>
      </c>
      <c r="K249" s="57" t="s">
        <v>591</v>
      </c>
      <c r="L249" s="31" t="s">
        <v>644</v>
      </c>
      <c r="M249" s="22">
        <v>5</v>
      </c>
      <c r="N249" s="46">
        <v>1339</v>
      </c>
      <c r="O249" s="49">
        <f t="shared" si="5"/>
        <v>6695</v>
      </c>
      <c r="P249" s="5" t="s">
        <v>515</v>
      </c>
      <c r="Q249" s="14" t="s">
        <v>1474</v>
      </c>
      <c r="R249" s="11" t="s">
        <v>789</v>
      </c>
      <c r="S249" s="5">
        <v>100</v>
      </c>
    </row>
    <row r="250" spans="1:19" ht="41.25" customHeight="1">
      <c r="A250" s="5">
        <v>235</v>
      </c>
      <c r="B250" s="29" t="s">
        <v>710</v>
      </c>
      <c r="C250" s="30" t="s">
        <v>711</v>
      </c>
      <c r="D250" s="5" t="s">
        <v>410</v>
      </c>
      <c r="E250" s="57" t="s">
        <v>833</v>
      </c>
      <c r="F250" s="57" t="s">
        <v>375</v>
      </c>
      <c r="G250" s="57" t="s">
        <v>2272</v>
      </c>
      <c r="H250" s="57" t="s">
        <v>411</v>
      </c>
      <c r="I250" s="57" t="s">
        <v>2272</v>
      </c>
      <c r="J250" s="57" t="s">
        <v>375</v>
      </c>
      <c r="K250" s="57" t="s">
        <v>591</v>
      </c>
      <c r="L250" s="31" t="s">
        <v>644</v>
      </c>
      <c r="M250" s="22">
        <v>5</v>
      </c>
      <c r="N250" s="46">
        <v>1071</v>
      </c>
      <c r="O250" s="49">
        <f t="shared" si="5"/>
        <v>5355</v>
      </c>
      <c r="P250" s="5" t="s">
        <v>393</v>
      </c>
      <c r="Q250" s="14" t="s">
        <v>1474</v>
      </c>
      <c r="R250" s="11" t="s">
        <v>789</v>
      </c>
      <c r="S250" s="5">
        <v>100</v>
      </c>
    </row>
    <row r="251" spans="1:19" ht="41.25" customHeight="1">
      <c r="A251" s="5">
        <v>236</v>
      </c>
      <c r="B251" s="29" t="s">
        <v>710</v>
      </c>
      <c r="C251" s="30" t="s">
        <v>711</v>
      </c>
      <c r="D251" s="5" t="s">
        <v>662</v>
      </c>
      <c r="E251" s="57" t="s">
        <v>2236</v>
      </c>
      <c r="F251" s="57" t="s">
        <v>663</v>
      </c>
      <c r="G251" s="57" t="s">
        <v>2237</v>
      </c>
      <c r="H251" s="57" t="s">
        <v>2239</v>
      </c>
      <c r="I251" s="57" t="s">
        <v>2238</v>
      </c>
      <c r="J251" s="57" t="s">
        <v>376</v>
      </c>
      <c r="K251" s="57" t="s">
        <v>591</v>
      </c>
      <c r="L251" s="5" t="s">
        <v>1482</v>
      </c>
      <c r="M251" s="22">
        <v>1</v>
      </c>
      <c r="N251" s="46">
        <v>26786</v>
      </c>
      <c r="O251" s="49">
        <f t="shared" si="5"/>
        <v>26786</v>
      </c>
      <c r="P251" s="5" t="s">
        <v>391</v>
      </c>
      <c r="Q251" s="14" t="s">
        <v>1474</v>
      </c>
      <c r="R251" s="11" t="s">
        <v>789</v>
      </c>
      <c r="S251" s="5">
        <v>100</v>
      </c>
    </row>
    <row r="252" spans="1:19" ht="41.25" customHeight="1">
      <c r="A252" s="5">
        <v>237</v>
      </c>
      <c r="B252" s="29" t="s">
        <v>710</v>
      </c>
      <c r="C252" s="30" t="s">
        <v>711</v>
      </c>
      <c r="D252" s="5" t="s">
        <v>412</v>
      </c>
      <c r="E252" s="57" t="s">
        <v>835</v>
      </c>
      <c r="F252" s="57" t="s">
        <v>377</v>
      </c>
      <c r="G252" s="57" t="s">
        <v>836</v>
      </c>
      <c r="H252" s="57" t="s">
        <v>413</v>
      </c>
      <c r="I252" s="57" t="s">
        <v>2296</v>
      </c>
      <c r="J252" s="57" t="s">
        <v>377</v>
      </c>
      <c r="K252" s="57" t="s">
        <v>591</v>
      </c>
      <c r="L252" s="31" t="s">
        <v>644</v>
      </c>
      <c r="M252" s="22">
        <v>1</v>
      </c>
      <c r="N252" s="46">
        <v>26786</v>
      </c>
      <c r="O252" s="49">
        <f t="shared" si="5"/>
        <v>26786</v>
      </c>
      <c r="P252" s="5" t="s">
        <v>515</v>
      </c>
      <c r="Q252" s="14" t="s">
        <v>1474</v>
      </c>
      <c r="R252" s="11" t="s">
        <v>789</v>
      </c>
      <c r="S252" s="5">
        <v>100</v>
      </c>
    </row>
    <row r="253" spans="1:19" ht="41.25" customHeight="1">
      <c r="A253" s="5">
        <v>238</v>
      </c>
      <c r="B253" s="29" t="s">
        <v>710</v>
      </c>
      <c r="C253" s="30" t="s">
        <v>711</v>
      </c>
      <c r="D253" s="5" t="s">
        <v>412</v>
      </c>
      <c r="E253" s="57" t="s">
        <v>835</v>
      </c>
      <c r="F253" s="57" t="s">
        <v>377</v>
      </c>
      <c r="G253" s="57" t="s">
        <v>836</v>
      </c>
      <c r="H253" s="57" t="s">
        <v>413</v>
      </c>
      <c r="I253" s="57" t="s">
        <v>2292</v>
      </c>
      <c r="J253" s="57" t="s">
        <v>378</v>
      </c>
      <c r="K253" s="57" t="s">
        <v>591</v>
      </c>
      <c r="L253" s="31" t="s">
        <v>644</v>
      </c>
      <c r="M253" s="22">
        <v>1</v>
      </c>
      <c r="N253" s="46">
        <f>O253/M253</f>
        <v>0</v>
      </c>
      <c r="O253" s="49">
        <f>16071-16071</f>
        <v>0</v>
      </c>
      <c r="P253" s="5" t="s">
        <v>515</v>
      </c>
      <c r="Q253" s="14" t="s">
        <v>1474</v>
      </c>
      <c r="R253" s="11" t="s">
        <v>789</v>
      </c>
      <c r="S253" s="5">
        <v>100</v>
      </c>
    </row>
    <row r="254" spans="1:19" ht="41.25" customHeight="1">
      <c r="A254" s="5">
        <v>239</v>
      </c>
      <c r="B254" s="29" t="s">
        <v>710</v>
      </c>
      <c r="C254" s="30" t="s">
        <v>711</v>
      </c>
      <c r="D254" s="5" t="s">
        <v>667</v>
      </c>
      <c r="E254" s="57" t="s">
        <v>2184</v>
      </c>
      <c r="F254" s="57" t="s">
        <v>13</v>
      </c>
      <c r="G254" s="57" t="s">
        <v>2185</v>
      </c>
      <c r="H254" s="57" t="s">
        <v>668</v>
      </c>
      <c r="I254" s="57" t="s">
        <v>2184</v>
      </c>
      <c r="J254" s="57" t="s">
        <v>13</v>
      </c>
      <c r="K254" s="57" t="s">
        <v>591</v>
      </c>
      <c r="L254" s="31" t="s">
        <v>644</v>
      </c>
      <c r="M254" s="22">
        <v>3</v>
      </c>
      <c r="N254" s="46">
        <v>2679</v>
      </c>
      <c r="O254" s="49">
        <f t="shared" si="5"/>
        <v>8037</v>
      </c>
      <c r="P254" s="5" t="s">
        <v>393</v>
      </c>
      <c r="Q254" s="14" t="s">
        <v>1474</v>
      </c>
      <c r="R254" s="11" t="s">
        <v>789</v>
      </c>
      <c r="S254" s="5">
        <v>100</v>
      </c>
    </row>
    <row r="255" spans="1:19" ht="41.25" customHeight="1">
      <c r="A255" s="5">
        <v>240</v>
      </c>
      <c r="B255" s="29" t="s">
        <v>710</v>
      </c>
      <c r="C255" s="30" t="s">
        <v>711</v>
      </c>
      <c r="D255" s="5" t="s">
        <v>416</v>
      </c>
      <c r="E255" s="57" t="s">
        <v>2223</v>
      </c>
      <c r="F255" s="57" t="s">
        <v>417</v>
      </c>
      <c r="G255" s="57" t="s">
        <v>2224</v>
      </c>
      <c r="H255" s="57" t="s">
        <v>418</v>
      </c>
      <c r="I255" s="57" t="s">
        <v>2223</v>
      </c>
      <c r="J255" s="57" t="s">
        <v>379</v>
      </c>
      <c r="K255" s="57" t="s">
        <v>591</v>
      </c>
      <c r="L255" s="31" t="s">
        <v>644</v>
      </c>
      <c r="M255" s="22">
        <v>1</v>
      </c>
      <c r="N255" s="46">
        <v>16071</v>
      </c>
      <c r="O255" s="49">
        <f t="shared" si="5"/>
        <v>16071</v>
      </c>
      <c r="P255" s="5" t="s">
        <v>501</v>
      </c>
      <c r="Q255" s="14" t="s">
        <v>1474</v>
      </c>
      <c r="R255" s="11" t="s">
        <v>789</v>
      </c>
      <c r="S255" s="5">
        <v>100</v>
      </c>
    </row>
    <row r="256" spans="1:19" ht="41.25" customHeight="1">
      <c r="A256" s="5">
        <v>241</v>
      </c>
      <c r="B256" s="15" t="s">
        <v>710</v>
      </c>
      <c r="C256" s="30" t="s">
        <v>711</v>
      </c>
      <c r="D256" s="5" t="s">
        <v>1006</v>
      </c>
      <c r="E256" s="57" t="s">
        <v>2078</v>
      </c>
      <c r="F256" s="57" t="s">
        <v>1007</v>
      </c>
      <c r="G256" s="57" t="s">
        <v>2079</v>
      </c>
      <c r="H256" s="57" t="s">
        <v>1008</v>
      </c>
      <c r="I256" s="57" t="s">
        <v>2078</v>
      </c>
      <c r="J256" s="57" t="s">
        <v>380</v>
      </c>
      <c r="K256" s="57" t="s">
        <v>591</v>
      </c>
      <c r="L256" s="31" t="s">
        <v>644</v>
      </c>
      <c r="M256" s="22">
        <v>1</v>
      </c>
      <c r="N256" s="46">
        <v>1786</v>
      </c>
      <c r="O256" s="49">
        <f t="shared" si="5"/>
        <v>1786</v>
      </c>
      <c r="P256" s="5" t="s">
        <v>501</v>
      </c>
      <c r="Q256" s="14" t="s">
        <v>1474</v>
      </c>
      <c r="R256" s="11" t="s">
        <v>789</v>
      </c>
      <c r="S256" s="5">
        <v>100</v>
      </c>
    </row>
    <row r="257" spans="1:19" s="13" customFormat="1" ht="63.75">
      <c r="A257" s="5">
        <v>242</v>
      </c>
      <c r="B257" s="29" t="s">
        <v>710</v>
      </c>
      <c r="C257" s="30" t="s">
        <v>711</v>
      </c>
      <c r="D257" s="5" t="s">
        <v>803</v>
      </c>
      <c r="E257" s="57" t="s">
        <v>804</v>
      </c>
      <c r="F257" s="57" t="s">
        <v>364</v>
      </c>
      <c r="G257" s="57" t="s">
        <v>805</v>
      </c>
      <c r="H257" s="57" t="s">
        <v>806</v>
      </c>
      <c r="I257" s="57" t="s">
        <v>804</v>
      </c>
      <c r="J257" s="57" t="s">
        <v>364</v>
      </c>
      <c r="K257" s="57" t="s">
        <v>591</v>
      </c>
      <c r="L257" s="31" t="s">
        <v>644</v>
      </c>
      <c r="M257" s="22">
        <v>5</v>
      </c>
      <c r="N257" s="46">
        <v>313</v>
      </c>
      <c r="O257" s="49">
        <f t="shared" si="5"/>
        <v>1565</v>
      </c>
      <c r="P257" s="5" t="s">
        <v>393</v>
      </c>
      <c r="Q257" s="5" t="s">
        <v>1025</v>
      </c>
      <c r="R257" s="11" t="s">
        <v>2023</v>
      </c>
      <c r="S257" s="22">
        <v>100</v>
      </c>
    </row>
    <row r="258" spans="1:19" s="13" customFormat="1" ht="25.5">
      <c r="A258" s="5">
        <v>243</v>
      </c>
      <c r="B258" s="15" t="s">
        <v>710</v>
      </c>
      <c r="C258" s="30" t="s">
        <v>711</v>
      </c>
      <c r="D258" s="11" t="s">
        <v>807</v>
      </c>
      <c r="E258" s="57" t="s">
        <v>1596</v>
      </c>
      <c r="F258" s="57" t="s">
        <v>2377</v>
      </c>
      <c r="G258" s="57" t="s">
        <v>1597</v>
      </c>
      <c r="H258" s="57" t="s">
        <v>808</v>
      </c>
      <c r="I258" s="57" t="s">
        <v>1598</v>
      </c>
      <c r="J258" s="57" t="s">
        <v>5</v>
      </c>
      <c r="K258" s="57" t="s">
        <v>591</v>
      </c>
      <c r="L258" s="31" t="s">
        <v>644</v>
      </c>
      <c r="M258" s="22">
        <v>2</v>
      </c>
      <c r="N258" s="46">
        <v>714</v>
      </c>
      <c r="O258" s="49">
        <f t="shared" si="5"/>
        <v>1428</v>
      </c>
      <c r="P258" s="5" t="s">
        <v>393</v>
      </c>
      <c r="Q258" s="5" t="s">
        <v>1025</v>
      </c>
      <c r="R258" s="11" t="s">
        <v>2023</v>
      </c>
      <c r="S258" s="22">
        <v>100</v>
      </c>
    </row>
    <row r="259" spans="1:19" s="13" customFormat="1" ht="51">
      <c r="A259" s="5">
        <v>244</v>
      </c>
      <c r="B259" s="29" t="s">
        <v>710</v>
      </c>
      <c r="C259" s="30" t="s">
        <v>711</v>
      </c>
      <c r="D259" s="5" t="s">
        <v>1001</v>
      </c>
      <c r="E259" s="57" t="s">
        <v>810</v>
      </c>
      <c r="F259" s="57" t="s">
        <v>6</v>
      </c>
      <c r="G259" s="57" t="s">
        <v>2285</v>
      </c>
      <c r="H259" s="57" t="s">
        <v>1002</v>
      </c>
      <c r="I259" s="57" t="s">
        <v>6</v>
      </c>
      <c r="J259" s="57" t="s">
        <v>6</v>
      </c>
      <c r="K259" s="57" t="s">
        <v>591</v>
      </c>
      <c r="L259" s="31" t="s">
        <v>644</v>
      </c>
      <c r="M259" s="22">
        <v>4</v>
      </c>
      <c r="N259" s="46">
        <v>3125</v>
      </c>
      <c r="O259" s="49">
        <f t="shared" si="5"/>
        <v>12500</v>
      </c>
      <c r="P259" s="5" t="s">
        <v>393</v>
      </c>
      <c r="Q259" s="5" t="s">
        <v>766</v>
      </c>
      <c r="R259" s="11" t="s">
        <v>2023</v>
      </c>
      <c r="S259" s="22">
        <v>100</v>
      </c>
    </row>
    <row r="260" spans="1:19" s="13" customFormat="1" ht="25.5">
      <c r="A260" s="5">
        <v>245</v>
      </c>
      <c r="B260" s="29" t="s">
        <v>710</v>
      </c>
      <c r="C260" s="30" t="s">
        <v>711</v>
      </c>
      <c r="D260" s="5" t="s">
        <v>634</v>
      </c>
      <c r="E260" s="57" t="s">
        <v>813</v>
      </c>
      <c r="F260" s="57" t="s">
        <v>365</v>
      </c>
      <c r="G260" s="57" t="s">
        <v>814</v>
      </c>
      <c r="H260" s="57" t="s">
        <v>635</v>
      </c>
      <c r="I260" s="57" t="s">
        <v>813</v>
      </c>
      <c r="J260" s="57" t="s">
        <v>365</v>
      </c>
      <c r="K260" s="57" t="s">
        <v>591</v>
      </c>
      <c r="L260" s="31" t="s">
        <v>644</v>
      </c>
      <c r="M260" s="22">
        <v>2</v>
      </c>
      <c r="N260" s="46">
        <v>223</v>
      </c>
      <c r="O260" s="49">
        <f t="shared" si="5"/>
        <v>446</v>
      </c>
      <c r="P260" s="5" t="s">
        <v>393</v>
      </c>
      <c r="Q260" s="5" t="s">
        <v>1025</v>
      </c>
      <c r="R260" s="11" t="s">
        <v>2023</v>
      </c>
      <c r="S260" s="22">
        <v>100</v>
      </c>
    </row>
    <row r="261" spans="1:19" s="13" customFormat="1" ht="76.5">
      <c r="A261" s="5">
        <v>246</v>
      </c>
      <c r="B261" s="15" t="s">
        <v>710</v>
      </c>
      <c r="C261" s="30" t="s">
        <v>711</v>
      </c>
      <c r="D261" s="5" t="s">
        <v>954</v>
      </c>
      <c r="E261" s="57" t="s">
        <v>1003</v>
      </c>
      <c r="F261" s="57" t="s">
        <v>366</v>
      </c>
      <c r="G261" s="57" t="s">
        <v>2171</v>
      </c>
      <c r="H261" s="57" t="s">
        <v>955</v>
      </c>
      <c r="I261" s="57" t="s">
        <v>1003</v>
      </c>
      <c r="J261" s="57" t="s">
        <v>366</v>
      </c>
      <c r="K261" s="57" t="s">
        <v>591</v>
      </c>
      <c r="L261" s="31" t="s">
        <v>644</v>
      </c>
      <c r="M261" s="22">
        <v>2</v>
      </c>
      <c r="N261" s="46">
        <v>313</v>
      </c>
      <c r="O261" s="49">
        <f t="shared" si="5"/>
        <v>626</v>
      </c>
      <c r="P261" s="5" t="s">
        <v>393</v>
      </c>
      <c r="Q261" s="5" t="s">
        <v>1025</v>
      </c>
      <c r="R261" s="11" t="s">
        <v>2023</v>
      </c>
      <c r="S261" s="22">
        <v>100</v>
      </c>
    </row>
    <row r="262" spans="1:19" s="13" customFormat="1" ht="102">
      <c r="A262" s="5">
        <v>247</v>
      </c>
      <c r="B262" s="29" t="s">
        <v>710</v>
      </c>
      <c r="C262" s="30" t="s">
        <v>711</v>
      </c>
      <c r="D262" s="5" t="s">
        <v>636</v>
      </c>
      <c r="E262" s="57" t="s">
        <v>815</v>
      </c>
      <c r="F262" s="57" t="s">
        <v>367</v>
      </c>
      <c r="G262" s="57" t="s">
        <v>816</v>
      </c>
      <c r="H262" s="57" t="s">
        <v>637</v>
      </c>
      <c r="I262" s="57" t="s">
        <v>815</v>
      </c>
      <c r="J262" s="57" t="s">
        <v>367</v>
      </c>
      <c r="K262" s="57" t="s">
        <v>591</v>
      </c>
      <c r="L262" s="31" t="s">
        <v>644</v>
      </c>
      <c r="M262" s="22">
        <v>1</v>
      </c>
      <c r="N262" s="46">
        <v>14286</v>
      </c>
      <c r="O262" s="49">
        <f t="shared" si="5"/>
        <v>14286</v>
      </c>
      <c r="P262" s="5" t="s">
        <v>393</v>
      </c>
      <c r="Q262" s="5" t="s">
        <v>1025</v>
      </c>
      <c r="R262" s="11" t="s">
        <v>2023</v>
      </c>
      <c r="S262" s="22">
        <v>100</v>
      </c>
    </row>
    <row r="263" spans="1:19" s="13" customFormat="1" ht="25.5">
      <c r="A263" s="5">
        <v>248</v>
      </c>
      <c r="B263" s="29" t="s">
        <v>710</v>
      </c>
      <c r="C263" s="30" t="s">
        <v>711</v>
      </c>
      <c r="D263" s="5" t="s">
        <v>639</v>
      </c>
      <c r="E263" s="57" t="s">
        <v>2172</v>
      </c>
      <c r="F263" s="57" t="s">
        <v>368</v>
      </c>
      <c r="G263" s="57" t="s">
        <v>817</v>
      </c>
      <c r="H263" s="57" t="s">
        <v>640</v>
      </c>
      <c r="I263" s="57" t="s">
        <v>2172</v>
      </c>
      <c r="J263" s="57" t="s">
        <v>368</v>
      </c>
      <c r="K263" s="57" t="s">
        <v>591</v>
      </c>
      <c r="L263" s="31" t="s">
        <v>644</v>
      </c>
      <c r="M263" s="22">
        <v>1</v>
      </c>
      <c r="N263" s="46">
        <v>1786</v>
      </c>
      <c r="O263" s="49">
        <f t="shared" si="5"/>
        <v>1786</v>
      </c>
      <c r="P263" s="5" t="s">
        <v>393</v>
      </c>
      <c r="Q263" s="5" t="s">
        <v>1025</v>
      </c>
      <c r="R263" s="11" t="s">
        <v>2023</v>
      </c>
      <c r="S263" s="22">
        <v>100</v>
      </c>
    </row>
    <row r="264" spans="1:19" s="13" customFormat="1" ht="63.75">
      <c r="A264" s="5">
        <v>249</v>
      </c>
      <c r="B264" s="29" t="s">
        <v>710</v>
      </c>
      <c r="C264" s="30" t="s">
        <v>711</v>
      </c>
      <c r="D264" s="5" t="s">
        <v>1004</v>
      </c>
      <c r="E264" s="57" t="s">
        <v>191</v>
      </c>
      <c r="F264" s="57" t="s">
        <v>191</v>
      </c>
      <c r="G264" s="57" t="s">
        <v>2221</v>
      </c>
      <c r="H264" s="57" t="s">
        <v>1005</v>
      </c>
      <c r="I264" s="57" t="s">
        <v>818</v>
      </c>
      <c r="J264" s="57" t="s">
        <v>369</v>
      </c>
      <c r="K264" s="57" t="s">
        <v>591</v>
      </c>
      <c r="L264" s="5" t="s">
        <v>669</v>
      </c>
      <c r="M264" s="22">
        <v>5</v>
      </c>
      <c r="N264" s="46">
        <v>156</v>
      </c>
      <c r="O264" s="49">
        <f t="shared" si="5"/>
        <v>780</v>
      </c>
      <c r="P264" s="5" t="s">
        <v>393</v>
      </c>
      <c r="Q264" s="5" t="s">
        <v>1025</v>
      </c>
      <c r="R264" s="11" t="s">
        <v>2023</v>
      </c>
      <c r="S264" s="22">
        <v>100</v>
      </c>
    </row>
    <row r="265" spans="1:19" s="13" customFormat="1" ht="114.75">
      <c r="A265" s="5">
        <v>250</v>
      </c>
      <c r="B265" s="15" t="s">
        <v>710</v>
      </c>
      <c r="C265" s="30" t="s">
        <v>711</v>
      </c>
      <c r="D265" s="5" t="s">
        <v>1079</v>
      </c>
      <c r="E265" s="57" t="s">
        <v>370</v>
      </c>
      <c r="F265" s="57" t="s">
        <v>370</v>
      </c>
      <c r="G265" s="57" t="s">
        <v>1623</v>
      </c>
      <c r="H265" s="57" t="s">
        <v>1080</v>
      </c>
      <c r="I265" s="57" t="s">
        <v>192</v>
      </c>
      <c r="J265" s="57" t="s">
        <v>370</v>
      </c>
      <c r="K265" s="57" t="s">
        <v>591</v>
      </c>
      <c r="L265" s="5" t="s">
        <v>651</v>
      </c>
      <c r="M265" s="22">
        <v>50</v>
      </c>
      <c r="N265" s="46">
        <v>179</v>
      </c>
      <c r="O265" s="49">
        <f t="shared" si="5"/>
        <v>8950</v>
      </c>
      <c r="P265" s="5" t="s">
        <v>515</v>
      </c>
      <c r="Q265" s="5" t="s">
        <v>1025</v>
      </c>
      <c r="R265" s="11" t="s">
        <v>2023</v>
      </c>
      <c r="S265" s="22">
        <v>100</v>
      </c>
    </row>
    <row r="266" spans="1:19" s="13" customFormat="1" ht="89.25">
      <c r="A266" s="5">
        <v>251</v>
      </c>
      <c r="B266" s="29" t="s">
        <v>710</v>
      </c>
      <c r="C266" s="30" t="s">
        <v>711</v>
      </c>
      <c r="D266" s="5" t="s">
        <v>645</v>
      </c>
      <c r="E266" s="57" t="s">
        <v>820</v>
      </c>
      <c r="F266" s="57" t="s">
        <v>10</v>
      </c>
      <c r="G266" s="57" t="s">
        <v>821</v>
      </c>
      <c r="H266" s="57" t="s">
        <v>646</v>
      </c>
      <c r="I266" s="57" t="s">
        <v>820</v>
      </c>
      <c r="J266" s="57" t="s">
        <v>10</v>
      </c>
      <c r="K266" s="57" t="s">
        <v>591</v>
      </c>
      <c r="L266" s="31" t="s">
        <v>644</v>
      </c>
      <c r="M266" s="22">
        <v>2</v>
      </c>
      <c r="N266" s="46">
        <v>1339</v>
      </c>
      <c r="O266" s="49">
        <f t="shared" si="5"/>
        <v>2678</v>
      </c>
      <c r="P266" s="5" t="s">
        <v>515</v>
      </c>
      <c r="Q266" s="5" t="s">
        <v>1025</v>
      </c>
      <c r="R266" s="11" t="s">
        <v>2023</v>
      </c>
      <c r="S266" s="22">
        <v>100</v>
      </c>
    </row>
    <row r="267" spans="1:19" s="13" customFormat="1" ht="25.5">
      <c r="A267" s="5">
        <v>252</v>
      </c>
      <c r="B267" s="15" t="s">
        <v>710</v>
      </c>
      <c r="C267" s="30" t="s">
        <v>711</v>
      </c>
      <c r="D267" s="5" t="s">
        <v>397</v>
      </c>
      <c r="E267" s="57" t="s">
        <v>2177</v>
      </c>
      <c r="F267" s="57" t="s">
        <v>198</v>
      </c>
      <c r="G267" s="57" t="s">
        <v>2226</v>
      </c>
      <c r="H267" s="57" t="s">
        <v>398</v>
      </c>
      <c r="I267" s="57" t="s">
        <v>2177</v>
      </c>
      <c r="J267" s="57" t="s">
        <v>198</v>
      </c>
      <c r="K267" s="57" t="s">
        <v>591</v>
      </c>
      <c r="L267" s="31" t="s">
        <v>644</v>
      </c>
      <c r="M267" s="22">
        <v>4</v>
      </c>
      <c r="N267" s="46">
        <v>2232</v>
      </c>
      <c r="O267" s="49">
        <f t="shared" si="5"/>
        <v>8928</v>
      </c>
      <c r="P267" s="5" t="s">
        <v>393</v>
      </c>
      <c r="Q267" s="5" t="s">
        <v>1025</v>
      </c>
      <c r="R267" s="11" t="s">
        <v>2023</v>
      </c>
      <c r="S267" s="22">
        <v>100</v>
      </c>
    </row>
    <row r="268" spans="1:19" s="13" customFormat="1" ht="38.25">
      <c r="A268" s="5">
        <v>253</v>
      </c>
      <c r="B268" s="15" t="s">
        <v>710</v>
      </c>
      <c r="C268" s="30" t="s">
        <v>711</v>
      </c>
      <c r="D268" s="5" t="s">
        <v>649</v>
      </c>
      <c r="E268" s="57" t="s">
        <v>1627</v>
      </c>
      <c r="F268" s="57" t="s">
        <v>371</v>
      </c>
      <c r="G268" s="57" t="s">
        <v>1629</v>
      </c>
      <c r="H268" s="57" t="s">
        <v>650</v>
      </c>
      <c r="I268" s="57" t="s">
        <v>1627</v>
      </c>
      <c r="J268" s="57" t="s">
        <v>371</v>
      </c>
      <c r="K268" s="57" t="s">
        <v>591</v>
      </c>
      <c r="L268" s="5" t="s">
        <v>651</v>
      </c>
      <c r="M268" s="22">
        <v>2</v>
      </c>
      <c r="N268" s="46">
        <v>446</v>
      </c>
      <c r="O268" s="49">
        <f t="shared" si="5"/>
        <v>892</v>
      </c>
      <c r="P268" s="5" t="s">
        <v>393</v>
      </c>
      <c r="Q268" s="5" t="s">
        <v>1025</v>
      </c>
      <c r="R268" s="11" t="s">
        <v>2023</v>
      </c>
      <c r="S268" s="22">
        <v>100</v>
      </c>
    </row>
    <row r="269" spans="1:19" s="13" customFormat="1" ht="38.25">
      <c r="A269" s="5">
        <v>254</v>
      </c>
      <c r="B269" s="29" t="s">
        <v>710</v>
      </c>
      <c r="C269" s="30" t="s">
        <v>711</v>
      </c>
      <c r="D269" s="5" t="s">
        <v>652</v>
      </c>
      <c r="E269" s="57" t="s">
        <v>1631</v>
      </c>
      <c r="F269" s="57" t="s">
        <v>653</v>
      </c>
      <c r="G269" s="57" t="s">
        <v>1632</v>
      </c>
      <c r="H269" s="57" t="s">
        <v>654</v>
      </c>
      <c r="I269" s="57" t="s">
        <v>1631</v>
      </c>
      <c r="J269" s="57" t="s">
        <v>372</v>
      </c>
      <c r="K269" s="57" t="s">
        <v>591</v>
      </c>
      <c r="L269" s="31" t="s">
        <v>644</v>
      </c>
      <c r="M269" s="22">
        <v>50</v>
      </c>
      <c r="N269" s="46">
        <v>179</v>
      </c>
      <c r="O269" s="49">
        <f t="shared" si="5"/>
        <v>8950</v>
      </c>
      <c r="P269" s="5" t="s">
        <v>393</v>
      </c>
      <c r="Q269" s="5" t="s">
        <v>1025</v>
      </c>
      <c r="R269" s="11" t="s">
        <v>2023</v>
      </c>
      <c r="S269" s="22">
        <v>100</v>
      </c>
    </row>
    <row r="270" spans="1:19" s="13" customFormat="1" ht="25.5">
      <c r="A270" s="5">
        <v>255</v>
      </c>
      <c r="B270" s="15" t="s">
        <v>710</v>
      </c>
      <c r="C270" s="30" t="s">
        <v>711</v>
      </c>
      <c r="D270" s="5" t="s">
        <v>829</v>
      </c>
      <c r="E270" s="57" t="s">
        <v>11</v>
      </c>
      <c r="F270" s="57" t="s">
        <v>11</v>
      </c>
      <c r="G270" s="57" t="s">
        <v>830</v>
      </c>
      <c r="H270" s="57" t="s">
        <v>830</v>
      </c>
      <c r="I270" s="57" t="s">
        <v>11</v>
      </c>
      <c r="J270" s="57" t="s">
        <v>11</v>
      </c>
      <c r="K270" s="57" t="s">
        <v>591</v>
      </c>
      <c r="L270" s="5" t="s">
        <v>1481</v>
      </c>
      <c r="M270" s="22">
        <v>25</v>
      </c>
      <c r="N270" s="46">
        <v>313</v>
      </c>
      <c r="O270" s="49">
        <f t="shared" si="5"/>
        <v>7825</v>
      </c>
      <c r="P270" s="5" t="s">
        <v>393</v>
      </c>
      <c r="Q270" s="5" t="s">
        <v>1025</v>
      </c>
      <c r="R270" s="11" t="s">
        <v>2023</v>
      </c>
      <c r="S270" s="22">
        <v>100</v>
      </c>
    </row>
    <row r="271" spans="1:19" s="13" customFormat="1" ht="25.5">
      <c r="A271" s="5">
        <v>256</v>
      </c>
      <c r="B271" s="29" t="s">
        <v>710</v>
      </c>
      <c r="C271" s="30" t="s">
        <v>711</v>
      </c>
      <c r="D271" s="5" t="s">
        <v>894</v>
      </c>
      <c r="E271" s="57" t="s">
        <v>767</v>
      </c>
      <c r="F271" s="57" t="s">
        <v>18</v>
      </c>
      <c r="G271" s="57" t="s">
        <v>2180</v>
      </c>
      <c r="H271" s="57" t="s">
        <v>670</v>
      </c>
      <c r="I271" s="57" t="s">
        <v>767</v>
      </c>
      <c r="J271" s="57" t="s">
        <v>18</v>
      </c>
      <c r="K271" s="57" t="s">
        <v>591</v>
      </c>
      <c r="L271" s="5" t="s">
        <v>480</v>
      </c>
      <c r="M271" s="22">
        <v>2</v>
      </c>
      <c r="N271" s="46">
        <v>714</v>
      </c>
      <c r="O271" s="49">
        <f t="shared" si="5"/>
        <v>1428</v>
      </c>
      <c r="P271" s="5" t="s">
        <v>393</v>
      </c>
      <c r="Q271" s="5" t="s">
        <v>1025</v>
      </c>
      <c r="R271" s="11" t="s">
        <v>2023</v>
      </c>
      <c r="S271" s="22">
        <v>100</v>
      </c>
    </row>
    <row r="272" spans="1:19" s="13" customFormat="1" ht="51">
      <c r="A272" s="5">
        <v>257</v>
      </c>
      <c r="B272" s="29" t="s">
        <v>710</v>
      </c>
      <c r="C272" s="30" t="s">
        <v>711</v>
      </c>
      <c r="D272" s="5" t="s">
        <v>2388</v>
      </c>
      <c r="E272" s="57" t="s">
        <v>374</v>
      </c>
      <c r="F272" s="57" t="s">
        <v>374</v>
      </c>
      <c r="G272" s="57" t="s">
        <v>2286</v>
      </c>
      <c r="H272" s="57" t="s">
        <v>831</v>
      </c>
      <c r="I272" s="57" t="s">
        <v>374</v>
      </c>
      <c r="J272" s="57" t="s">
        <v>197</v>
      </c>
      <c r="K272" s="57" t="s">
        <v>591</v>
      </c>
      <c r="L272" s="31" t="s">
        <v>644</v>
      </c>
      <c r="M272" s="22">
        <v>25</v>
      </c>
      <c r="N272" s="46">
        <v>67</v>
      </c>
      <c r="O272" s="49">
        <f t="shared" si="5"/>
        <v>1675</v>
      </c>
      <c r="P272" s="5" t="s">
        <v>393</v>
      </c>
      <c r="Q272" s="5" t="s">
        <v>766</v>
      </c>
      <c r="R272" s="11" t="s">
        <v>2023</v>
      </c>
      <c r="S272" s="22">
        <v>100</v>
      </c>
    </row>
    <row r="273" spans="1:19" s="13" customFormat="1" ht="38.25">
      <c r="A273" s="5">
        <v>258</v>
      </c>
      <c r="B273" s="29" t="s">
        <v>710</v>
      </c>
      <c r="C273" s="30" t="s">
        <v>711</v>
      </c>
      <c r="D273" s="5" t="s">
        <v>660</v>
      </c>
      <c r="E273" s="57" t="s">
        <v>832</v>
      </c>
      <c r="F273" s="57" t="s">
        <v>12</v>
      </c>
      <c r="G273" s="57" t="s">
        <v>1639</v>
      </c>
      <c r="H273" s="57" t="s">
        <v>661</v>
      </c>
      <c r="I273" s="57" t="s">
        <v>832</v>
      </c>
      <c r="J273" s="57" t="s">
        <v>12</v>
      </c>
      <c r="K273" s="57" t="s">
        <v>591</v>
      </c>
      <c r="L273" s="31" t="s">
        <v>644</v>
      </c>
      <c r="M273" s="22">
        <v>5</v>
      </c>
      <c r="N273" s="46">
        <v>1339</v>
      </c>
      <c r="O273" s="49">
        <f t="shared" si="5"/>
        <v>6695</v>
      </c>
      <c r="P273" s="5" t="s">
        <v>393</v>
      </c>
      <c r="Q273" s="5" t="s">
        <v>1025</v>
      </c>
      <c r="R273" s="11" t="s">
        <v>2023</v>
      </c>
      <c r="S273" s="22">
        <v>100</v>
      </c>
    </row>
    <row r="274" spans="1:19" s="13" customFormat="1" ht="51">
      <c r="A274" s="5">
        <v>259</v>
      </c>
      <c r="B274" s="29" t="s">
        <v>710</v>
      </c>
      <c r="C274" s="30" t="s">
        <v>711</v>
      </c>
      <c r="D274" s="5" t="s">
        <v>410</v>
      </c>
      <c r="E274" s="57" t="s">
        <v>833</v>
      </c>
      <c r="F274" s="57" t="s">
        <v>375</v>
      </c>
      <c r="G274" s="57" t="s">
        <v>2272</v>
      </c>
      <c r="H274" s="57" t="s">
        <v>411</v>
      </c>
      <c r="I274" s="57" t="s">
        <v>2272</v>
      </c>
      <c r="J274" s="57" t="s">
        <v>375</v>
      </c>
      <c r="K274" s="57" t="s">
        <v>591</v>
      </c>
      <c r="L274" s="31" t="s">
        <v>644</v>
      </c>
      <c r="M274" s="22">
        <v>5</v>
      </c>
      <c r="N274" s="46">
        <v>1071</v>
      </c>
      <c r="O274" s="49">
        <f t="shared" si="5"/>
        <v>5355</v>
      </c>
      <c r="P274" s="5" t="s">
        <v>393</v>
      </c>
      <c r="Q274" s="5" t="s">
        <v>766</v>
      </c>
      <c r="R274" s="11" t="s">
        <v>2023</v>
      </c>
      <c r="S274" s="22">
        <v>100</v>
      </c>
    </row>
    <row r="275" spans="1:19" s="13" customFormat="1" ht="63.75">
      <c r="A275" s="5">
        <v>260</v>
      </c>
      <c r="B275" s="29" t="s">
        <v>710</v>
      </c>
      <c r="C275" s="30" t="s">
        <v>711</v>
      </c>
      <c r="D275" s="5" t="s">
        <v>662</v>
      </c>
      <c r="E275" s="57" t="s">
        <v>2236</v>
      </c>
      <c r="F275" s="57" t="s">
        <v>663</v>
      </c>
      <c r="G275" s="57" t="s">
        <v>2237</v>
      </c>
      <c r="H275" s="57" t="s">
        <v>2239</v>
      </c>
      <c r="I275" s="57" t="s">
        <v>2238</v>
      </c>
      <c r="J275" s="57" t="s">
        <v>376</v>
      </c>
      <c r="K275" s="57" t="s">
        <v>591</v>
      </c>
      <c r="L275" s="5" t="s">
        <v>1482</v>
      </c>
      <c r="M275" s="22">
        <v>1</v>
      </c>
      <c r="N275" s="46">
        <v>26786</v>
      </c>
      <c r="O275" s="49">
        <f t="shared" si="5"/>
        <v>26786</v>
      </c>
      <c r="P275" s="5" t="s">
        <v>393</v>
      </c>
      <c r="Q275" s="5" t="s">
        <v>1051</v>
      </c>
      <c r="R275" s="11" t="s">
        <v>2023</v>
      </c>
      <c r="S275" s="22">
        <v>100</v>
      </c>
    </row>
    <row r="276" spans="1:19" s="13" customFormat="1" ht="38.25">
      <c r="A276" s="5">
        <v>261</v>
      </c>
      <c r="B276" s="29" t="s">
        <v>710</v>
      </c>
      <c r="C276" s="30" t="s">
        <v>711</v>
      </c>
      <c r="D276" s="5" t="s">
        <v>412</v>
      </c>
      <c r="E276" s="57" t="s">
        <v>835</v>
      </c>
      <c r="F276" s="57" t="s">
        <v>377</v>
      </c>
      <c r="G276" s="57" t="s">
        <v>836</v>
      </c>
      <c r="H276" s="57" t="s">
        <v>413</v>
      </c>
      <c r="I276" s="57" t="s">
        <v>2296</v>
      </c>
      <c r="J276" s="57" t="s">
        <v>377</v>
      </c>
      <c r="K276" s="57" t="s">
        <v>591</v>
      </c>
      <c r="L276" s="31" t="s">
        <v>644</v>
      </c>
      <c r="M276" s="22">
        <v>1</v>
      </c>
      <c r="N276" s="46">
        <v>26786</v>
      </c>
      <c r="O276" s="49">
        <f t="shared" si="5"/>
        <v>26786</v>
      </c>
      <c r="P276" s="5" t="s">
        <v>391</v>
      </c>
      <c r="Q276" s="5" t="s">
        <v>391</v>
      </c>
      <c r="R276" s="11" t="s">
        <v>2023</v>
      </c>
      <c r="S276" s="22">
        <v>100</v>
      </c>
    </row>
    <row r="277" spans="1:19" s="13" customFormat="1" ht="51">
      <c r="A277" s="5">
        <v>262</v>
      </c>
      <c r="B277" s="29" t="s">
        <v>710</v>
      </c>
      <c r="C277" s="30" t="s">
        <v>711</v>
      </c>
      <c r="D277" s="5" t="s">
        <v>412</v>
      </c>
      <c r="E277" s="57" t="s">
        <v>835</v>
      </c>
      <c r="F277" s="57" t="s">
        <v>377</v>
      </c>
      <c r="G277" s="57" t="s">
        <v>836</v>
      </c>
      <c r="H277" s="57" t="s">
        <v>413</v>
      </c>
      <c r="I277" s="57" t="s">
        <v>2292</v>
      </c>
      <c r="J277" s="57" t="s">
        <v>378</v>
      </c>
      <c r="K277" s="57" t="s">
        <v>591</v>
      </c>
      <c r="L277" s="31" t="s">
        <v>644</v>
      </c>
      <c r="M277" s="22">
        <v>1</v>
      </c>
      <c r="N277" s="46">
        <v>16071</v>
      </c>
      <c r="O277" s="49">
        <f t="shared" si="5"/>
        <v>16071</v>
      </c>
      <c r="P277" s="5" t="s">
        <v>393</v>
      </c>
      <c r="Q277" s="5" t="s">
        <v>766</v>
      </c>
      <c r="R277" s="11" t="s">
        <v>2023</v>
      </c>
      <c r="S277" s="22">
        <v>100</v>
      </c>
    </row>
    <row r="278" spans="1:19" s="13" customFormat="1" ht="140.25">
      <c r="A278" s="5">
        <v>263</v>
      </c>
      <c r="B278" s="29" t="s">
        <v>710</v>
      </c>
      <c r="C278" s="30" t="s">
        <v>711</v>
      </c>
      <c r="D278" s="5" t="s">
        <v>414</v>
      </c>
      <c r="E278" s="57" t="s">
        <v>2184</v>
      </c>
      <c r="F278" s="57" t="s">
        <v>13</v>
      </c>
      <c r="G278" s="57" t="s">
        <v>2186</v>
      </c>
      <c r="H278" s="57" t="s">
        <v>415</v>
      </c>
      <c r="I278" s="57" t="s">
        <v>2184</v>
      </c>
      <c r="J278" s="57" t="s">
        <v>13</v>
      </c>
      <c r="K278" s="57" t="s">
        <v>591</v>
      </c>
      <c r="L278" s="31" t="s">
        <v>644</v>
      </c>
      <c r="M278" s="22">
        <v>3</v>
      </c>
      <c r="N278" s="46">
        <v>2679</v>
      </c>
      <c r="O278" s="49">
        <f t="shared" si="5"/>
        <v>8037</v>
      </c>
      <c r="P278" s="5" t="s">
        <v>393</v>
      </c>
      <c r="Q278" s="5" t="s">
        <v>1025</v>
      </c>
      <c r="R278" s="11" t="s">
        <v>2023</v>
      </c>
      <c r="S278" s="22">
        <v>100</v>
      </c>
    </row>
    <row r="279" spans="1:19" s="13" customFormat="1" ht="25.5">
      <c r="A279" s="5">
        <v>264</v>
      </c>
      <c r="B279" s="29" t="s">
        <v>710</v>
      </c>
      <c r="C279" s="30" t="s">
        <v>711</v>
      </c>
      <c r="D279" s="5" t="s">
        <v>416</v>
      </c>
      <c r="E279" s="57" t="s">
        <v>2223</v>
      </c>
      <c r="F279" s="57" t="s">
        <v>417</v>
      </c>
      <c r="G279" s="57" t="s">
        <v>2224</v>
      </c>
      <c r="H279" s="57" t="s">
        <v>418</v>
      </c>
      <c r="I279" s="57" t="s">
        <v>2223</v>
      </c>
      <c r="J279" s="57" t="s">
        <v>379</v>
      </c>
      <c r="K279" s="57" t="s">
        <v>591</v>
      </c>
      <c r="L279" s="31" t="s">
        <v>644</v>
      </c>
      <c r="M279" s="22">
        <v>1</v>
      </c>
      <c r="N279" s="46">
        <v>16071</v>
      </c>
      <c r="O279" s="49">
        <f t="shared" si="5"/>
        <v>16071</v>
      </c>
      <c r="P279" s="5" t="s">
        <v>391</v>
      </c>
      <c r="Q279" s="5" t="s">
        <v>391</v>
      </c>
      <c r="R279" s="11" t="s">
        <v>2023</v>
      </c>
      <c r="S279" s="22">
        <v>100</v>
      </c>
    </row>
    <row r="280" spans="1:19" s="13" customFormat="1" ht="51">
      <c r="A280" s="5">
        <v>265</v>
      </c>
      <c r="B280" s="15" t="s">
        <v>710</v>
      </c>
      <c r="C280" s="30" t="s">
        <v>711</v>
      </c>
      <c r="D280" s="5" t="s">
        <v>1006</v>
      </c>
      <c r="E280" s="57" t="s">
        <v>2078</v>
      </c>
      <c r="F280" s="57" t="s">
        <v>1007</v>
      </c>
      <c r="G280" s="57" t="s">
        <v>2079</v>
      </c>
      <c r="H280" s="57" t="s">
        <v>1008</v>
      </c>
      <c r="I280" s="57" t="s">
        <v>2078</v>
      </c>
      <c r="J280" s="57" t="s">
        <v>380</v>
      </c>
      <c r="K280" s="57" t="s">
        <v>591</v>
      </c>
      <c r="L280" s="31" t="s">
        <v>644</v>
      </c>
      <c r="M280" s="22">
        <v>1</v>
      </c>
      <c r="N280" s="46">
        <v>1786</v>
      </c>
      <c r="O280" s="49">
        <f t="shared" ref="O280:O343" si="6">M280*N280</f>
        <v>1786</v>
      </c>
      <c r="P280" s="5" t="s">
        <v>393</v>
      </c>
      <c r="Q280" s="5" t="s">
        <v>1025</v>
      </c>
      <c r="R280" s="11" t="s">
        <v>2023</v>
      </c>
      <c r="S280" s="22">
        <v>100</v>
      </c>
    </row>
    <row r="281" spans="1:19" ht="63.75">
      <c r="A281" s="5">
        <v>266</v>
      </c>
      <c r="B281" s="29" t="s">
        <v>710</v>
      </c>
      <c r="C281" s="30" t="s">
        <v>711</v>
      </c>
      <c r="D281" s="5" t="s">
        <v>803</v>
      </c>
      <c r="E281" s="57" t="s">
        <v>804</v>
      </c>
      <c r="F281" s="57" t="s">
        <v>364</v>
      </c>
      <c r="G281" s="57" t="s">
        <v>805</v>
      </c>
      <c r="H281" s="57" t="s">
        <v>806</v>
      </c>
      <c r="I281" s="57" t="s">
        <v>804</v>
      </c>
      <c r="J281" s="57" t="s">
        <v>364</v>
      </c>
      <c r="K281" s="57" t="s">
        <v>591</v>
      </c>
      <c r="L281" s="31" t="s">
        <v>644</v>
      </c>
      <c r="M281" s="22">
        <v>5</v>
      </c>
      <c r="N281" s="46">
        <v>313</v>
      </c>
      <c r="O281" s="49">
        <f t="shared" si="6"/>
        <v>1565</v>
      </c>
      <c r="P281" s="5" t="s">
        <v>612</v>
      </c>
      <c r="Q281" s="5" t="s">
        <v>1051</v>
      </c>
      <c r="R281" s="11" t="s">
        <v>633</v>
      </c>
      <c r="S281" s="22">
        <v>30</v>
      </c>
    </row>
    <row r="282" spans="1:19" ht="63.75">
      <c r="A282" s="5">
        <v>267</v>
      </c>
      <c r="B282" s="15" t="s">
        <v>710</v>
      </c>
      <c r="C282" s="30" t="s">
        <v>711</v>
      </c>
      <c r="D282" s="11" t="s">
        <v>807</v>
      </c>
      <c r="E282" s="57" t="s">
        <v>1596</v>
      </c>
      <c r="F282" s="57" t="s">
        <v>2377</v>
      </c>
      <c r="G282" s="57" t="s">
        <v>1597</v>
      </c>
      <c r="H282" s="57" t="s">
        <v>808</v>
      </c>
      <c r="I282" s="57" t="s">
        <v>1598</v>
      </c>
      <c r="J282" s="57" t="s">
        <v>5</v>
      </c>
      <c r="K282" s="57" t="s">
        <v>591</v>
      </c>
      <c r="L282" s="31" t="s">
        <v>644</v>
      </c>
      <c r="M282" s="22">
        <v>2</v>
      </c>
      <c r="N282" s="46">
        <v>714</v>
      </c>
      <c r="O282" s="49">
        <f t="shared" si="6"/>
        <v>1428</v>
      </c>
      <c r="P282" s="5" t="s">
        <v>612</v>
      </c>
      <c r="Q282" s="5" t="s">
        <v>1051</v>
      </c>
      <c r="R282" s="11" t="s">
        <v>633</v>
      </c>
      <c r="S282" s="22">
        <v>30</v>
      </c>
    </row>
    <row r="283" spans="1:19" ht="63.75">
      <c r="A283" s="5">
        <v>268</v>
      </c>
      <c r="B283" s="29" t="s">
        <v>710</v>
      </c>
      <c r="C283" s="30" t="s">
        <v>711</v>
      </c>
      <c r="D283" s="11" t="s">
        <v>952</v>
      </c>
      <c r="E283" s="57" t="s">
        <v>2170</v>
      </c>
      <c r="F283" s="57" t="s">
        <v>953</v>
      </c>
      <c r="G283" s="57" t="s">
        <v>2170</v>
      </c>
      <c r="H283" s="57" t="s">
        <v>953</v>
      </c>
      <c r="I283" s="57" t="s">
        <v>6</v>
      </c>
      <c r="J283" s="57" t="s">
        <v>6</v>
      </c>
      <c r="K283" s="57" t="s">
        <v>591</v>
      </c>
      <c r="L283" s="31" t="s">
        <v>644</v>
      </c>
      <c r="M283" s="22">
        <v>4</v>
      </c>
      <c r="N283" s="46">
        <v>3125</v>
      </c>
      <c r="O283" s="49">
        <f t="shared" si="6"/>
        <v>12500</v>
      </c>
      <c r="P283" s="5" t="s">
        <v>612</v>
      </c>
      <c r="Q283" s="5" t="s">
        <v>1051</v>
      </c>
      <c r="R283" s="11" t="s">
        <v>633</v>
      </c>
      <c r="S283" s="22">
        <v>30</v>
      </c>
    </row>
    <row r="284" spans="1:19" ht="63.75">
      <c r="A284" s="5">
        <v>269</v>
      </c>
      <c r="B284" s="29" t="s">
        <v>710</v>
      </c>
      <c r="C284" s="30" t="s">
        <v>711</v>
      </c>
      <c r="D284" s="5" t="s">
        <v>634</v>
      </c>
      <c r="E284" s="57" t="s">
        <v>813</v>
      </c>
      <c r="F284" s="57" t="s">
        <v>365</v>
      </c>
      <c r="G284" s="57" t="s">
        <v>814</v>
      </c>
      <c r="H284" s="57" t="s">
        <v>635</v>
      </c>
      <c r="I284" s="57" t="s">
        <v>813</v>
      </c>
      <c r="J284" s="57" t="s">
        <v>365</v>
      </c>
      <c r="K284" s="57" t="s">
        <v>591</v>
      </c>
      <c r="L284" s="31" t="s">
        <v>644</v>
      </c>
      <c r="M284" s="22">
        <v>2</v>
      </c>
      <c r="N284" s="46">
        <v>223</v>
      </c>
      <c r="O284" s="49">
        <f t="shared" si="6"/>
        <v>446</v>
      </c>
      <c r="P284" s="5" t="s">
        <v>612</v>
      </c>
      <c r="Q284" s="5" t="s">
        <v>1051</v>
      </c>
      <c r="R284" s="11" t="s">
        <v>633</v>
      </c>
      <c r="S284" s="22">
        <v>30</v>
      </c>
    </row>
    <row r="285" spans="1:19" ht="76.5">
      <c r="A285" s="5">
        <v>270</v>
      </c>
      <c r="B285" s="15" t="s">
        <v>710</v>
      </c>
      <c r="C285" s="30" t="s">
        <v>711</v>
      </c>
      <c r="D285" s="5" t="s">
        <v>954</v>
      </c>
      <c r="E285" s="57" t="s">
        <v>1003</v>
      </c>
      <c r="F285" s="57" t="s">
        <v>366</v>
      </c>
      <c r="G285" s="57" t="s">
        <v>2171</v>
      </c>
      <c r="H285" s="57" t="s">
        <v>955</v>
      </c>
      <c r="I285" s="57" t="s">
        <v>1003</v>
      </c>
      <c r="J285" s="57" t="s">
        <v>366</v>
      </c>
      <c r="K285" s="57" t="s">
        <v>591</v>
      </c>
      <c r="L285" s="31" t="s">
        <v>644</v>
      </c>
      <c r="M285" s="22">
        <v>2</v>
      </c>
      <c r="N285" s="46">
        <v>313</v>
      </c>
      <c r="O285" s="49">
        <f t="shared" si="6"/>
        <v>626</v>
      </c>
      <c r="P285" s="5" t="s">
        <v>612</v>
      </c>
      <c r="Q285" s="5" t="s">
        <v>1051</v>
      </c>
      <c r="R285" s="11" t="s">
        <v>633</v>
      </c>
      <c r="S285" s="22">
        <v>30</v>
      </c>
    </row>
    <row r="286" spans="1:19" ht="102">
      <c r="A286" s="5">
        <v>271</v>
      </c>
      <c r="B286" s="29" t="s">
        <v>710</v>
      </c>
      <c r="C286" s="30" t="s">
        <v>711</v>
      </c>
      <c r="D286" s="5" t="s">
        <v>636</v>
      </c>
      <c r="E286" s="57" t="s">
        <v>815</v>
      </c>
      <c r="F286" s="57" t="s">
        <v>367</v>
      </c>
      <c r="G286" s="57" t="s">
        <v>816</v>
      </c>
      <c r="H286" s="57" t="s">
        <v>637</v>
      </c>
      <c r="I286" s="57" t="s">
        <v>815</v>
      </c>
      <c r="J286" s="57" t="s">
        <v>367</v>
      </c>
      <c r="K286" s="57" t="s">
        <v>591</v>
      </c>
      <c r="L286" s="31" t="s">
        <v>644</v>
      </c>
      <c r="M286" s="22">
        <v>1</v>
      </c>
      <c r="N286" s="46">
        <v>14286</v>
      </c>
      <c r="O286" s="49">
        <f t="shared" si="6"/>
        <v>14286</v>
      </c>
      <c r="P286" s="5" t="s">
        <v>612</v>
      </c>
      <c r="Q286" s="5" t="s">
        <v>1051</v>
      </c>
      <c r="R286" s="11" t="s">
        <v>633</v>
      </c>
      <c r="S286" s="22">
        <v>30</v>
      </c>
    </row>
    <row r="287" spans="1:19" ht="63.75">
      <c r="A287" s="5">
        <v>272</v>
      </c>
      <c r="B287" s="29" t="s">
        <v>710</v>
      </c>
      <c r="C287" s="30" t="s">
        <v>711</v>
      </c>
      <c r="D287" s="5" t="s">
        <v>639</v>
      </c>
      <c r="E287" s="57" t="s">
        <v>2172</v>
      </c>
      <c r="F287" s="57" t="s">
        <v>368</v>
      </c>
      <c r="G287" s="57" t="s">
        <v>817</v>
      </c>
      <c r="H287" s="57" t="s">
        <v>640</v>
      </c>
      <c r="I287" s="57" t="s">
        <v>2172</v>
      </c>
      <c r="J287" s="57" t="s">
        <v>368</v>
      </c>
      <c r="K287" s="57" t="s">
        <v>591</v>
      </c>
      <c r="L287" s="31" t="s">
        <v>644</v>
      </c>
      <c r="M287" s="22">
        <v>1</v>
      </c>
      <c r="N287" s="46">
        <v>1786</v>
      </c>
      <c r="O287" s="49">
        <f t="shared" si="6"/>
        <v>1786</v>
      </c>
      <c r="P287" s="5" t="s">
        <v>612</v>
      </c>
      <c r="Q287" s="5" t="s">
        <v>1051</v>
      </c>
      <c r="R287" s="11" t="s">
        <v>633</v>
      </c>
      <c r="S287" s="22">
        <v>30</v>
      </c>
    </row>
    <row r="288" spans="1:19" ht="63.75">
      <c r="A288" s="5">
        <v>273</v>
      </c>
      <c r="B288" s="29" t="s">
        <v>710</v>
      </c>
      <c r="C288" s="30" t="s">
        <v>711</v>
      </c>
      <c r="D288" s="5" t="s">
        <v>641</v>
      </c>
      <c r="E288" s="57" t="s">
        <v>2220</v>
      </c>
      <c r="F288" s="57" t="s">
        <v>642</v>
      </c>
      <c r="G288" s="57" t="s">
        <v>2222</v>
      </c>
      <c r="H288" s="57" t="s">
        <v>643</v>
      </c>
      <c r="I288" s="57" t="s">
        <v>818</v>
      </c>
      <c r="J288" s="57" t="s">
        <v>369</v>
      </c>
      <c r="K288" s="57" t="s">
        <v>591</v>
      </c>
      <c r="L288" s="5" t="s">
        <v>669</v>
      </c>
      <c r="M288" s="22">
        <v>5</v>
      </c>
      <c r="N288" s="46">
        <v>156</v>
      </c>
      <c r="O288" s="49">
        <f t="shared" si="6"/>
        <v>780</v>
      </c>
      <c r="P288" s="5" t="s">
        <v>612</v>
      </c>
      <c r="Q288" s="5" t="s">
        <v>1051</v>
      </c>
      <c r="R288" s="11" t="s">
        <v>633</v>
      </c>
      <c r="S288" s="22">
        <v>30</v>
      </c>
    </row>
    <row r="289" spans="1:19" ht="114.75">
      <c r="A289" s="5">
        <v>274</v>
      </c>
      <c r="B289" s="15" t="s">
        <v>710</v>
      </c>
      <c r="C289" s="30" t="s">
        <v>711</v>
      </c>
      <c r="D289" s="5" t="s">
        <v>1079</v>
      </c>
      <c r="E289" s="57" t="s">
        <v>370</v>
      </c>
      <c r="F289" s="57" t="s">
        <v>370</v>
      </c>
      <c r="G289" s="57" t="s">
        <v>1623</v>
      </c>
      <c r="H289" s="57" t="s">
        <v>1080</v>
      </c>
      <c r="I289" s="57" t="s">
        <v>192</v>
      </c>
      <c r="J289" s="57" t="s">
        <v>370</v>
      </c>
      <c r="K289" s="57" t="s">
        <v>591</v>
      </c>
      <c r="L289" s="5" t="s">
        <v>651</v>
      </c>
      <c r="M289" s="22">
        <v>50</v>
      </c>
      <c r="N289" s="46">
        <v>179</v>
      </c>
      <c r="O289" s="49">
        <f t="shared" si="6"/>
        <v>8950</v>
      </c>
      <c r="P289" s="5" t="s">
        <v>612</v>
      </c>
      <c r="Q289" s="5" t="s">
        <v>1051</v>
      </c>
      <c r="R289" s="11" t="s">
        <v>633</v>
      </c>
      <c r="S289" s="22">
        <v>30</v>
      </c>
    </row>
    <row r="290" spans="1:19" ht="89.25">
      <c r="A290" s="5">
        <v>275</v>
      </c>
      <c r="B290" s="29" t="s">
        <v>710</v>
      </c>
      <c r="C290" s="30" t="s">
        <v>711</v>
      </c>
      <c r="D290" s="5" t="s">
        <v>645</v>
      </c>
      <c r="E290" s="57" t="s">
        <v>820</v>
      </c>
      <c r="F290" s="57" t="s">
        <v>10</v>
      </c>
      <c r="G290" s="57" t="s">
        <v>821</v>
      </c>
      <c r="H290" s="57" t="s">
        <v>646</v>
      </c>
      <c r="I290" s="57" t="s">
        <v>820</v>
      </c>
      <c r="J290" s="57" t="s">
        <v>10</v>
      </c>
      <c r="K290" s="57" t="s">
        <v>591</v>
      </c>
      <c r="L290" s="31" t="s">
        <v>644</v>
      </c>
      <c r="M290" s="22">
        <v>2</v>
      </c>
      <c r="N290" s="46">
        <v>1339</v>
      </c>
      <c r="O290" s="49">
        <f t="shared" si="6"/>
        <v>2678</v>
      </c>
      <c r="P290" s="5" t="s">
        <v>612</v>
      </c>
      <c r="Q290" s="5" t="s">
        <v>1051</v>
      </c>
      <c r="R290" s="11" t="s">
        <v>633</v>
      </c>
      <c r="S290" s="22">
        <v>30</v>
      </c>
    </row>
    <row r="291" spans="1:19" ht="63.75">
      <c r="A291" s="5">
        <v>276</v>
      </c>
      <c r="B291" s="15" t="s">
        <v>710</v>
      </c>
      <c r="C291" s="30" t="s">
        <v>711</v>
      </c>
      <c r="D291" s="5" t="s">
        <v>647</v>
      </c>
      <c r="E291" s="57" t="s">
        <v>2177</v>
      </c>
      <c r="F291" s="57" t="s">
        <v>198</v>
      </c>
      <c r="G291" s="57" t="s">
        <v>2179</v>
      </c>
      <c r="H291" s="57" t="s">
        <v>648</v>
      </c>
      <c r="I291" s="57" t="s">
        <v>2177</v>
      </c>
      <c r="J291" s="57" t="s">
        <v>198</v>
      </c>
      <c r="K291" s="57" t="s">
        <v>591</v>
      </c>
      <c r="L291" s="31" t="s">
        <v>644</v>
      </c>
      <c r="M291" s="22">
        <v>4</v>
      </c>
      <c r="N291" s="46">
        <v>2232</v>
      </c>
      <c r="O291" s="49">
        <f t="shared" si="6"/>
        <v>8928</v>
      </c>
      <c r="P291" s="5" t="s">
        <v>612</v>
      </c>
      <c r="Q291" s="5" t="s">
        <v>1051</v>
      </c>
      <c r="R291" s="11" t="s">
        <v>633</v>
      </c>
      <c r="S291" s="22">
        <v>30</v>
      </c>
    </row>
    <row r="292" spans="1:19" ht="63.75">
      <c r="A292" s="5">
        <v>277</v>
      </c>
      <c r="B292" s="15" t="s">
        <v>710</v>
      </c>
      <c r="C292" s="30" t="s">
        <v>711</v>
      </c>
      <c r="D292" s="5" t="s">
        <v>649</v>
      </c>
      <c r="E292" s="57" t="s">
        <v>1627</v>
      </c>
      <c r="F292" s="57" t="s">
        <v>371</v>
      </c>
      <c r="G292" s="57" t="s">
        <v>1629</v>
      </c>
      <c r="H292" s="57" t="s">
        <v>650</v>
      </c>
      <c r="I292" s="57" t="s">
        <v>1627</v>
      </c>
      <c r="J292" s="57" t="s">
        <v>371</v>
      </c>
      <c r="K292" s="57" t="s">
        <v>591</v>
      </c>
      <c r="L292" s="5" t="s">
        <v>651</v>
      </c>
      <c r="M292" s="22">
        <v>2</v>
      </c>
      <c r="N292" s="46">
        <v>446</v>
      </c>
      <c r="O292" s="49">
        <f t="shared" si="6"/>
        <v>892</v>
      </c>
      <c r="P292" s="5" t="s">
        <v>612</v>
      </c>
      <c r="Q292" s="5" t="s">
        <v>1051</v>
      </c>
      <c r="R292" s="11" t="s">
        <v>633</v>
      </c>
      <c r="S292" s="22">
        <v>30</v>
      </c>
    </row>
    <row r="293" spans="1:19" ht="63.75">
      <c r="A293" s="5">
        <v>278</v>
      </c>
      <c r="B293" s="29" t="s">
        <v>710</v>
      </c>
      <c r="C293" s="30" t="s">
        <v>711</v>
      </c>
      <c r="D293" s="5" t="s">
        <v>652</v>
      </c>
      <c r="E293" s="57" t="s">
        <v>1631</v>
      </c>
      <c r="F293" s="57" t="s">
        <v>653</v>
      </c>
      <c r="G293" s="57" t="s">
        <v>1632</v>
      </c>
      <c r="H293" s="57" t="s">
        <v>654</v>
      </c>
      <c r="I293" s="57" t="s">
        <v>1631</v>
      </c>
      <c r="J293" s="57" t="s">
        <v>372</v>
      </c>
      <c r="K293" s="57" t="s">
        <v>591</v>
      </c>
      <c r="L293" s="31" t="s">
        <v>644</v>
      </c>
      <c r="M293" s="22">
        <v>50</v>
      </c>
      <c r="N293" s="46">
        <v>179</v>
      </c>
      <c r="O293" s="49">
        <f t="shared" si="6"/>
        <v>8950</v>
      </c>
      <c r="P293" s="5" t="s">
        <v>612</v>
      </c>
      <c r="Q293" s="5" t="s">
        <v>1051</v>
      </c>
      <c r="R293" s="11" t="s">
        <v>633</v>
      </c>
      <c r="S293" s="22">
        <v>30</v>
      </c>
    </row>
    <row r="294" spans="1:19" ht="63.75">
      <c r="A294" s="5">
        <v>279</v>
      </c>
      <c r="B294" s="15" t="s">
        <v>710</v>
      </c>
      <c r="C294" s="30" t="s">
        <v>711</v>
      </c>
      <c r="D294" s="5" t="s">
        <v>655</v>
      </c>
      <c r="E294" s="57" t="s">
        <v>11</v>
      </c>
      <c r="F294" s="57" t="s">
        <v>11</v>
      </c>
      <c r="G294" s="57" t="s">
        <v>830</v>
      </c>
      <c r="H294" s="57" t="s">
        <v>830</v>
      </c>
      <c r="I294" s="57" t="s">
        <v>11</v>
      </c>
      <c r="J294" s="57" t="s">
        <v>11</v>
      </c>
      <c r="K294" s="57" t="s">
        <v>591</v>
      </c>
      <c r="L294" s="5" t="s">
        <v>1481</v>
      </c>
      <c r="M294" s="22">
        <v>25</v>
      </c>
      <c r="N294" s="46">
        <v>313</v>
      </c>
      <c r="O294" s="49">
        <f t="shared" si="6"/>
        <v>7825</v>
      </c>
      <c r="P294" s="5" t="s">
        <v>612</v>
      </c>
      <c r="Q294" s="5" t="s">
        <v>1051</v>
      </c>
      <c r="R294" s="11" t="s">
        <v>633</v>
      </c>
      <c r="S294" s="22">
        <v>30</v>
      </c>
    </row>
    <row r="295" spans="1:19" ht="102">
      <c r="A295" s="5">
        <v>280</v>
      </c>
      <c r="B295" s="29" t="s">
        <v>710</v>
      </c>
      <c r="C295" s="30" t="s">
        <v>711</v>
      </c>
      <c r="D295" s="5" t="s">
        <v>656</v>
      </c>
      <c r="E295" s="57" t="s">
        <v>767</v>
      </c>
      <c r="F295" s="57" t="s">
        <v>18</v>
      </c>
      <c r="G295" s="57" t="s">
        <v>2192</v>
      </c>
      <c r="H295" s="57" t="s">
        <v>1029</v>
      </c>
      <c r="I295" s="57" t="s">
        <v>767</v>
      </c>
      <c r="J295" s="57" t="s">
        <v>373</v>
      </c>
      <c r="K295" s="57" t="s">
        <v>591</v>
      </c>
      <c r="L295" s="5" t="s">
        <v>480</v>
      </c>
      <c r="M295" s="22">
        <v>2</v>
      </c>
      <c r="N295" s="46">
        <v>714</v>
      </c>
      <c r="O295" s="49">
        <f t="shared" si="6"/>
        <v>1428</v>
      </c>
      <c r="P295" s="5" t="s">
        <v>612</v>
      </c>
      <c r="Q295" s="5" t="s">
        <v>1051</v>
      </c>
      <c r="R295" s="11" t="s">
        <v>633</v>
      </c>
      <c r="S295" s="22">
        <v>30</v>
      </c>
    </row>
    <row r="296" spans="1:19" ht="63.75">
      <c r="A296" s="5">
        <v>281</v>
      </c>
      <c r="B296" s="29" t="s">
        <v>710</v>
      </c>
      <c r="C296" s="30" t="s">
        <v>711</v>
      </c>
      <c r="D296" s="5" t="s">
        <v>658</v>
      </c>
      <c r="E296" s="57" t="s">
        <v>374</v>
      </c>
      <c r="F296" s="57" t="s">
        <v>374</v>
      </c>
      <c r="G296" s="57" t="s">
        <v>2287</v>
      </c>
      <c r="H296" s="57" t="s">
        <v>659</v>
      </c>
      <c r="I296" s="57" t="s">
        <v>374</v>
      </c>
      <c r="J296" s="57" t="s">
        <v>197</v>
      </c>
      <c r="K296" s="57" t="s">
        <v>591</v>
      </c>
      <c r="L296" s="31" t="s">
        <v>644</v>
      </c>
      <c r="M296" s="22">
        <v>25</v>
      </c>
      <c r="N296" s="46">
        <v>67</v>
      </c>
      <c r="O296" s="49">
        <f t="shared" si="6"/>
        <v>1675</v>
      </c>
      <c r="P296" s="5" t="s">
        <v>612</v>
      </c>
      <c r="Q296" s="5" t="s">
        <v>1051</v>
      </c>
      <c r="R296" s="11" t="s">
        <v>633</v>
      </c>
      <c r="S296" s="22">
        <v>30</v>
      </c>
    </row>
    <row r="297" spans="1:19" ht="63.75">
      <c r="A297" s="5">
        <v>282</v>
      </c>
      <c r="B297" s="29" t="s">
        <v>710</v>
      </c>
      <c r="C297" s="30" t="s">
        <v>711</v>
      </c>
      <c r="D297" s="5" t="s">
        <v>660</v>
      </c>
      <c r="E297" s="57" t="s">
        <v>832</v>
      </c>
      <c r="F297" s="57" t="s">
        <v>12</v>
      </c>
      <c r="G297" s="57" t="s">
        <v>1639</v>
      </c>
      <c r="H297" s="57" t="s">
        <v>661</v>
      </c>
      <c r="I297" s="57" t="s">
        <v>832</v>
      </c>
      <c r="J297" s="57" t="s">
        <v>12</v>
      </c>
      <c r="K297" s="57" t="s">
        <v>591</v>
      </c>
      <c r="L297" s="31" t="s">
        <v>644</v>
      </c>
      <c r="M297" s="22">
        <v>5</v>
      </c>
      <c r="N297" s="46">
        <v>1339</v>
      </c>
      <c r="O297" s="49">
        <f t="shared" si="6"/>
        <v>6695</v>
      </c>
      <c r="P297" s="5" t="s">
        <v>612</v>
      </c>
      <c r="Q297" s="5" t="s">
        <v>1051</v>
      </c>
      <c r="R297" s="11" t="s">
        <v>633</v>
      </c>
      <c r="S297" s="22">
        <v>30</v>
      </c>
    </row>
    <row r="298" spans="1:19" ht="63.75">
      <c r="A298" s="5">
        <v>283</v>
      </c>
      <c r="B298" s="29" t="s">
        <v>710</v>
      </c>
      <c r="C298" s="30" t="s">
        <v>711</v>
      </c>
      <c r="D298" s="5" t="s">
        <v>410</v>
      </c>
      <c r="E298" s="57" t="s">
        <v>833</v>
      </c>
      <c r="F298" s="57" t="s">
        <v>375</v>
      </c>
      <c r="G298" s="57" t="s">
        <v>2272</v>
      </c>
      <c r="H298" s="57" t="s">
        <v>411</v>
      </c>
      <c r="I298" s="57" t="s">
        <v>2272</v>
      </c>
      <c r="J298" s="57" t="s">
        <v>375</v>
      </c>
      <c r="K298" s="57" t="s">
        <v>591</v>
      </c>
      <c r="L298" s="31" t="s">
        <v>644</v>
      </c>
      <c r="M298" s="22">
        <v>5</v>
      </c>
      <c r="N298" s="46">
        <v>1071</v>
      </c>
      <c r="O298" s="49">
        <f t="shared" si="6"/>
        <v>5355</v>
      </c>
      <c r="P298" s="5" t="s">
        <v>612</v>
      </c>
      <c r="Q298" s="5" t="s">
        <v>1051</v>
      </c>
      <c r="R298" s="11" t="s">
        <v>633</v>
      </c>
      <c r="S298" s="22">
        <v>30</v>
      </c>
    </row>
    <row r="299" spans="1:19" ht="63.75">
      <c r="A299" s="5">
        <v>284</v>
      </c>
      <c r="B299" s="29" t="s">
        <v>710</v>
      </c>
      <c r="C299" s="30" t="s">
        <v>711</v>
      </c>
      <c r="D299" s="5" t="s">
        <v>662</v>
      </c>
      <c r="E299" s="57" t="s">
        <v>2236</v>
      </c>
      <c r="F299" s="57" t="s">
        <v>663</v>
      </c>
      <c r="G299" s="57" t="s">
        <v>2237</v>
      </c>
      <c r="H299" s="57" t="s">
        <v>2239</v>
      </c>
      <c r="I299" s="57" t="s">
        <v>2238</v>
      </c>
      <c r="J299" s="57" t="s">
        <v>376</v>
      </c>
      <c r="K299" s="57" t="s">
        <v>591</v>
      </c>
      <c r="L299" s="5" t="s">
        <v>1482</v>
      </c>
      <c r="M299" s="22">
        <v>1</v>
      </c>
      <c r="N299" s="46">
        <v>26786</v>
      </c>
      <c r="O299" s="49">
        <f t="shared" si="6"/>
        <v>26786</v>
      </c>
      <c r="P299" s="5" t="s">
        <v>612</v>
      </c>
      <c r="Q299" s="5" t="s">
        <v>1051</v>
      </c>
      <c r="R299" s="11" t="s">
        <v>633</v>
      </c>
      <c r="S299" s="22">
        <v>30</v>
      </c>
    </row>
    <row r="300" spans="1:19" ht="63.75">
      <c r="A300" s="5">
        <v>285</v>
      </c>
      <c r="B300" s="29" t="s">
        <v>710</v>
      </c>
      <c r="C300" s="30" t="s">
        <v>711</v>
      </c>
      <c r="D300" s="5" t="s">
        <v>664</v>
      </c>
      <c r="E300" s="57" t="s">
        <v>2293</v>
      </c>
      <c r="F300" s="57" t="s">
        <v>665</v>
      </c>
      <c r="G300" s="57" t="s">
        <v>2298</v>
      </c>
      <c r="H300" s="57" t="s">
        <v>2297</v>
      </c>
      <c r="I300" s="57" t="s">
        <v>2296</v>
      </c>
      <c r="J300" s="57" t="s">
        <v>377</v>
      </c>
      <c r="K300" s="57" t="s">
        <v>591</v>
      </c>
      <c r="L300" s="31" t="s">
        <v>644</v>
      </c>
      <c r="M300" s="22">
        <v>1</v>
      </c>
      <c r="N300" s="46">
        <v>26786</v>
      </c>
      <c r="O300" s="49">
        <f t="shared" si="6"/>
        <v>26786</v>
      </c>
      <c r="P300" s="5" t="s">
        <v>612</v>
      </c>
      <c r="Q300" s="5" t="s">
        <v>1051</v>
      </c>
      <c r="R300" s="11" t="s">
        <v>633</v>
      </c>
      <c r="S300" s="22">
        <v>30</v>
      </c>
    </row>
    <row r="301" spans="1:19" ht="63.75">
      <c r="A301" s="5">
        <v>286</v>
      </c>
      <c r="B301" s="29" t="s">
        <v>710</v>
      </c>
      <c r="C301" s="30" t="s">
        <v>711</v>
      </c>
      <c r="D301" s="5" t="s">
        <v>412</v>
      </c>
      <c r="E301" s="57" t="s">
        <v>835</v>
      </c>
      <c r="F301" s="57" t="s">
        <v>377</v>
      </c>
      <c r="G301" s="57" t="s">
        <v>836</v>
      </c>
      <c r="H301" s="57" t="s">
        <v>413</v>
      </c>
      <c r="I301" s="57" t="s">
        <v>2292</v>
      </c>
      <c r="J301" s="57" t="s">
        <v>378</v>
      </c>
      <c r="K301" s="57" t="s">
        <v>591</v>
      </c>
      <c r="L301" s="31" t="s">
        <v>644</v>
      </c>
      <c r="M301" s="22">
        <v>1</v>
      </c>
      <c r="N301" s="46">
        <v>16071</v>
      </c>
      <c r="O301" s="49">
        <f t="shared" si="6"/>
        <v>16071</v>
      </c>
      <c r="P301" s="5" t="s">
        <v>612</v>
      </c>
      <c r="Q301" s="5" t="s">
        <v>1051</v>
      </c>
      <c r="R301" s="11" t="s">
        <v>633</v>
      </c>
      <c r="S301" s="22">
        <v>30</v>
      </c>
    </row>
    <row r="302" spans="1:19" ht="63.75">
      <c r="A302" s="5">
        <v>287</v>
      </c>
      <c r="B302" s="29" t="s">
        <v>710</v>
      </c>
      <c r="C302" s="30" t="s">
        <v>711</v>
      </c>
      <c r="D302" s="5" t="s">
        <v>667</v>
      </c>
      <c r="E302" s="57" t="s">
        <v>2184</v>
      </c>
      <c r="F302" s="57" t="s">
        <v>13</v>
      </c>
      <c r="G302" s="57" t="s">
        <v>2185</v>
      </c>
      <c r="H302" s="57" t="s">
        <v>668</v>
      </c>
      <c r="I302" s="57" t="s">
        <v>2184</v>
      </c>
      <c r="J302" s="57" t="s">
        <v>13</v>
      </c>
      <c r="K302" s="57" t="s">
        <v>591</v>
      </c>
      <c r="L302" s="31" t="s">
        <v>644</v>
      </c>
      <c r="M302" s="22">
        <v>3</v>
      </c>
      <c r="N302" s="46">
        <v>2679</v>
      </c>
      <c r="O302" s="49">
        <f t="shared" si="6"/>
        <v>8037</v>
      </c>
      <c r="P302" s="5" t="s">
        <v>612</v>
      </c>
      <c r="Q302" s="5" t="s">
        <v>1051</v>
      </c>
      <c r="R302" s="11" t="s">
        <v>633</v>
      </c>
      <c r="S302" s="22">
        <v>30</v>
      </c>
    </row>
    <row r="303" spans="1:19" ht="63.75">
      <c r="A303" s="5">
        <v>288</v>
      </c>
      <c r="B303" s="29" t="s">
        <v>710</v>
      </c>
      <c r="C303" s="30" t="s">
        <v>711</v>
      </c>
      <c r="D303" s="5" t="s">
        <v>416</v>
      </c>
      <c r="E303" s="57" t="s">
        <v>2223</v>
      </c>
      <c r="F303" s="57" t="s">
        <v>417</v>
      </c>
      <c r="G303" s="57" t="s">
        <v>2224</v>
      </c>
      <c r="H303" s="57" t="s">
        <v>418</v>
      </c>
      <c r="I303" s="57" t="s">
        <v>2223</v>
      </c>
      <c r="J303" s="57" t="s">
        <v>379</v>
      </c>
      <c r="K303" s="57" t="s">
        <v>591</v>
      </c>
      <c r="L303" s="31" t="s">
        <v>644</v>
      </c>
      <c r="M303" s="22">
        <v>1</v>
      </c>
      <c r="N303" s="46">
        <v>16071</v>
      </c>
      <c r="O303" s="49">
        <f t="shared" si="6"/>
        <v>16071</v>
      </c>
      <c r="P303" s="5" t="s">
        <v>612</v>
      </c>
      <c r="Q303" s="5" t="s">
        <v>1051</v>
      </c>
      <c r="R303" s="11" t="s">
        <v>633</v>
      </c>
      <c r="S303" s="22">
        <v>30</v>
      </c>
    </row>
    <row r="304" spans="1:19" ht="63.75">
      <c r="A304" s="5">
        <v>289</v>
      </c>
      <c r="B304" s="15" t="s">
        <v>710</v>
      </c>
      <c r="C304" s="30" t="s">
        <v>711</v>
      </c>
      <c r="D304" s="5" t="s">
        <v>1006</v>
      </c>
      <c r="E304" s="57" t="s">
        <v>2078</v>
      </c>
      <c r="F304" s="57" t="s">
        <v>1007</v>
      </c>
      <c r="G304" s="57" t="s">
        <v>2079</v>
      </c>
      <c r="H304" s="57" t="s">
        <v>1008</v>
      </c>
      <c r="I304" s="57" t="s">
        <v>2078</v>
      </c>
      <c r="J304" s="57" t="s">
        <v>380</v>
      </c>
      <c r="K304" s="57" t="s">
        <v>591</v>
      </c>
      <c r="L304" s="31" t="s">
        <v>644</v>
      </c>
      <c r="M304" s="22">
        <v>1</v>
      </c>
      <c r="N304" s="46">
        <v>1786</v>
      </c>
      <c r="O304" s="49">
        <f t="shared" si="6"/>
        <v>1786</v>
      </c>
      <c r="P304" s="5" t="s">
        <v>612</v>
      </c>
      <c r="Q304" s="5" t="s">
        <v>1051</v>
      </c>
      <c r="R304" s="11" t="s">
        <v>633</v>
      </c>
      <c r="S304" s="22">
        <v>30</v>
      </c>
    </row>
    <row r="305" spans="1:19" ht="63.75">
      <c r="A305" s="5">
        <v>290</v>
      </c>
      <c r="B305" s="29" t="s">
        <v>710</v>
      </c>
      <c r="C305" s="30" t="s">
        <v>711</v>
      </c>
      <c r="D305" s="5" t="s">
        <v>803</v>
      </c>
      <c r="E305" s="57" t="s">
        <v>804</v>
      </c>
      <c r="F305" s="57" t="s">
        <v>364</v>
      </c>
      <c r="G305" s="57" t="s">
        <v>805</v>
      </c>
      <c r="H305" s="57" t="s">
        <v>806</v>
      </c>
      <c r="I305" s="57" t="s">
        <v>804</v>
      </c>
      <c r="J305" s="57" t="s">
        <v>364</v>
      </c>
      <c r="K305" s="57" t="s">
        <v>591</v>
      </c>
      <c r="L305" s="31" t="s">
        <v>644</v>
      </c>
      <c r="M305" s="22">
        <v>5</v>
      </c>
      <c r="N305" s="46">
        <v>313</v>
      </c>
      <c r="O305" s="49">
        <f t="shared" si="6"/>
        <v>1565</v>
      </c>
      <c r="P305" s="5" t="s">
        <v>501</v>
      </c>
      <c r="Q305" s="5" t="s">
        <v>766</v>
      </c>
      <c r="R305" s="11" t="s">
        <v>2514</v>
      </c>
      <c r="S305" s="22">
        <v>30</v>
      </c>
    </row>
    <row r="306" spans="1:19" ht="51">
      <c r="A306" s="5">
        <v>291</v>
      </c>
      <c r="B306" s="15" t="s">
        <v>710</v>
      </c>
      <c r="C306" s="30" t="s">
        <v>711</v>
      </c>
      <c r="D306" s="11" t="s">
        <v>807</v>
      </c>
      <c r="E306" s="57" t="s">
        <v>1596</v>
      </c>
      <c r="F306" s="57" t="s">
        <v>2377</v>
      </c>
      <c r="G306" s="57" t="s">
        <v>1597</v>
      </c>
      <c r="H306" s="57" t="s">
        <v>808</v>
      </c>
      <c r="I306" s="57" t="s">
        <v>1598</v>
      </c>
      <c r="J306" s="57" t="s">
        <v>5</v>
      </c>
      <c r="K306" s="57" t="s">
        <v>591</v>
      </c>
      <c r="L306" s="31" t="s">
        <v>644</v>
      </c>
      <c r="M306" s="22">
        <v>2</v>
      </c>
      <c r="N306" s="46">
        <v>714</v>
      </c>
      <c r="O306" s="49">
        <f t="shared" si="6"/>
        <v>1428</v>
      </c>
      <c r="P306" s="5" t="s">
        <v>501</v>
      </c>
      <c r="Q306" s="5" t="s">
        <v>766</v>
      </c>
      <c r="R306" s="11" t="s">
        <v>2514</v>
      </c>
      <c r="S306" s="22">
        <v>30</v>
      </c>
    </row>
    <row r="307" spans="1:19" ht="51">
      <c r="A307" s="5">
        <v>292</v>
      </c>
      <c r="B307" s="29" t="s">
        <v>710</v>
      </c>
      <c r="C307" s="30" t="s">
        <v>711</v>
      </c>
      <c r="D307" s="11" t="s">
        <v>952</v>
      </c>
      <c r="E307" s="57" t="s">
        <v>2170</v>
      </c>
      <c r="F307" s="57" t="s">
        <v>953</v>
      </c>
      <c r="G307" s="57" t="s">
        <v>2170</v>
      </c>
      <c r="H307" s="57" t="s">
        <v>953</v>
      </c>
      <c r="I307" s="57" t="s">
        <v>6</v>
      </c>
      <c r="J307" s="57" t="s">
        <v>6</v>
      </c>
      <c r="K307" s="57" t="s">
        <v>591</v>
      </c>
      <c r="L307" s="31" t="s">
        <v>644</v>
      </c>
      <c r="M307" s="22">
        <v>4</v>
      </c>
      <c r="N307" s="46">
        <v>3125</v>
      </c>
      <c r="O307" s="49">
        <f t="shared" si="6"/>
        <v>12500</v>
      </c>
      <c r="P307" s="5" t="s">
        <v>501</v>
      </c>
      <c r="Q307" s="5" t="s">
        <v>766</v>
      </c>
      <c r="R307" s="11" t="s">
        <v>2514</v>
      </c>
      <c r="S307" s="22">
        <v>30</v>
      </c>
    </row>
    <row r="308" spans="1:19" ht="51">
      <c r="A308" s="5">
        <v>293</v>
      </c>
      <c r="B308" s="29" t="s">
        <v>710</v>
      </c>
      <c r="C308" s="30" t="s">
        <v>711</v>
      </c>
      <c r="D308" s="5" t="s">
        <v>634</v>
      </c>
      <c r="E308" s="57" t="s">
        <v>813</v>
      </c>
      <c r="F308" s="57" t="s">
        <v>365</v>
      </c>
      <c r="G308" s="57" t="s">
        <v>814</v>
      </c>
      <c r="H308" s="57" t="s">
        <v>635</v>
      </c>
      <c r="I308" s="57" t="s">
        <v>813</v>
      </c>
      <c r="J308" s="57" t="s">
        <v>365</v>
      </c>
      <c r="K308" s="57" t="s">
        <v>591</v>
      </c>
      <c r="L308" s="31" t="s">
        <v>644</v>
      </c>
      <c r="M308" s="22">
        <v>2</v>
      </c>
      <c r="N308" s="46">
        <v>223</v>
      </c>
      <c r="O308" s="49">
        <f t="shared" si="6"/>
        <v>446</v>
      </c>
      <c r="P308" s="5" t="s">
        <v>501</v>
      </c>
      <c r="Q308" s="5" t="s">
        <v>766</v>
      </c>
      <c r="R308" s="11" t="s">
        <v>2514</v>
      </c>
      <c r="S308" s="22">
        <v>30</v>
      </c>
    </row>
    <row r="309" spans="1:19" ht="76.5">
      <c r="A309" s="5">
        <v>294</v>
      </c>
      <c r="B309" s="15" t="s">
        <v>710</v>
      </c>
      <c r="C309" s="30" t="s">
        <v>711</v>
      </c>
      <c r="D309" s="5" t="s">
        <v>954</v>
      </c>
      <c r="E309" s="57" t="s">
        <v>1003</v>
      </c>
      <c r="F309" s="57" t="s">
        <v>366</v>
      </c>
      <c r="G309" s="57" t="s">
        <v>2171</v>
      </c>
      <c r="H309" s="57" t="s">
        <v>955</v>
      </c>
      <c r="I309" s="57" t="s">
        <v>1003</v>
      </c>
      <c r="J309" s="57" t="s">
        <v>366</v>
      </c>
      <c r="K309" s="57" t="s">
        <v>591</v>
      </c>
      <c r="L309" s="31" t="s">
        <v>644</v>
      </c>
      <c r="M309" s="22">
        <v>2</v>
      </c>
      <c r="N309" s="46">
        <v>313</v>
      </c>
      <c r="O309" s="49">
        <f t="shared" si="6"/>
        <v>626</v>
      </c>
      <c r="P309" s="5" t="s">
        <v>501</v>
      </c>
      <c r="Q309" s="5" t="s">
        <v>766</v>
      </c>
      <c r="R309" s="11" t="s">
        <v>2514</v>
      </c>
      <c r="S309" s="22">
        <v>30</v>
      </c>
    </row>
    <row r="310" spans="1:19" ht="102">
      <c r="A310" s="5">
        <v>295</v>
      </c>
      <c r="B310" s="29" t="s">
        <v>710</v>
      </c>
      <c r="C310" s="30" t="s">
        <v>711</v>
      </c>
      <c r="D310" s="5" t="s">
        <v>636</v>
      </c>
      <c r="E310" s="57" t="s">
        <v>815</v>
      </c>
      <c r="F310" s="57" t="s">
        <v>367</v>
      </c>
      <c r="G310" s="57" t="s">
        <v>816</v>
      </c>
      <c r="H310" s="57" t="s">
        <v>637</v>
      </c>
      <c r="I310" s="57" t="s">
        <v>815</v>
      </c>
      <c r="J310" s="57" t="s">
        <v>367</v>
      </c>
      <c r="K310" s="57" t="s">
        <v>591</v>
      </c>
      <c r="L310" s="31" t="s">
        <v>644</v>
      </c>
      <c r="M310" s="22">
        <v>1</v>
      </c>
      <c r="N310" s="46">
        <v>14286</v>
      </c>
      <c r="O310" s="49">
        <f t="shared" si="6"/>
        <v>14286</v>
      </c>
      <c r="P310" s="5" t="s">
        <v>391</v>
      </c>
      <c r="Q310" s="5" t="s">
        <v>766</v>
      </c>
      <c r="R310" s="11" t="s">
        <v>2514</v>
      </c>
      <c r="S310" s="22">
        <v>30</v>
      </c>
    </row>
    <row r="311" spans="1:19" ht="51">
      <c r="A311" s="5">
        <v>296</v>
      </c>
      <c r="B311" s="29" t="s">
        <v>710</v>
      </c>
      <c r="C311" s="30" t="s">
        <v>711</v>
      </c>
      <c r="D311" s="5" t="s">
        <v>639</v>
      </c>
      <c r="E311" s="57" t="s">
        <v>2172</v>
      </c>
      <c r="F311" s="57" t="s">
        <v>368</v>
      </c>
      <c r="G311" s="57" t="s">
        <v>817</v>
      </c>
      <c r="H311" s="57" t="s">
        <v>640</v>
      </c>
      <c r="I311" s="57" t="s">
        <v>2172</v>
      </c>
      <c r="J311" s="57" t="s">
        <v>368</v>
      </c>
      <c r="K311" s="57" t="s">
        <v>591</v>
      </c>
      <c r="L311" s="31" t="s">
        <v>644</v>
      </c>
      <c r="M311" s="22">
        <v>1</v>
      </c>
      <c r="N311" s="46">
        <v>1786</v>
      </c>
      <c r="O311" s="49">
        <f t="shared" si="6"/>
        <v>1786</v>
      </c>
      <c r="P311" s="5" t="s">
        <v>391</v>
      </c>
      <c r="Q311" s="5" t="s">
        <v>766</v>
      </c>
      <c r="R311" s="11" t="s">
        <v>2514</v>
      </c>
      <c r="S311" s="22">
        <v>30</v>
      </c>
    </row>
    <row r="312" spans="1:19" ht="51">
      <c r="A312" s="5">
        <v>297</v>
      </c>
      <c r="B312" s="29" t="s">
        <v>710</v>
      </c>
      <c r="C312" s="30" t="s">
        <v>711</v>
      </c>
      <c r="D312" s="5" t="s">
        <v>395</v>
      </c>
      <c r="E312" s="57" t="s">
        <v>818</v>
      </c>
      <c r="F312" s="57" t="s">
        <v>369</v>
      </c>
      <c r="G312" s="57" t="s">
        <v>819</v>
      </c>
      <c r="H312" s="57" t="s">
        <v>396</v>
      </c>
      <c r="I312" s="57" t="s">
        <v>818</v>
      </c>
      <c r="J312" s="57" t="s">
        <v>369</v>
      </c>
      <c r="K312" s="57" t="s">
        <v>591</v>
      </c>
      <c r="L312" s="5" t="s">
        <v>669</v>
      </c>
      <c r="M312" s="22">
        <v>5</v>
      </c>
      <c r="N312" s="46">
        <v>156</v>
      </c>
      <c r="O312" s="49">
        <f t="shared" si="6"/>
        <v>780</v>
      </c>
      <c r="P312" s="5" t="s">
        <v>612</v>
      </c>
      <c r="Q312" s="5" t="s">
        <v>766</v>
      </c>
      <c r="R312" s="11" t="s">
        <v>2514</v>
      </c>
      <c r="S312" s="22">
        <v>30</v>
      </c>
    </row>
    <row r="313" spans="1:19" ht="114.75">
      <c r="A313" s="5">
        <v>298</v>
      </c>
      <c r="B313" s="15" t="s">
        <v>710</v>
      </c>
      <c r="C313" s="30" t="s">
        <v>711</v>
      </c>
      <c r="D313" s="5" t="s">
        <v>1079</v>
      </c>
      <c r="E313" s="57" t="s">
        <v>370</v>
      </c>
      <c r="F313" s="57" t="s">
        <v>370</v>
      </c>
      <c r="G313" s="57" t="s">
        <v>1623</v>
      </c>
      <c r="H313" s="57" t="s">
        <v>1080</v>
      </c>
      <c r="I313" s="57" t="s">
        <v>192</v>
      </c>
      <c r="J313" s="57" t="s">
        <v>370</v>
      </c>
      <c r="K313" s="57" t="s">
        <v>591</v>
      </c>
      <c r="L313" s="5" t="s">
        <v>651</v>
      </c>
      <c r="M313" s="22">
        <v>50</v>
      </c>
      <c r="N313" s="46">
        <v>179</v>
      </c>
      <c r="O313" s="49">
        <f t="shared" si="6"/>
        <v>8950</v>
      </c>
      <c r="P313" s="5" t="s">
        <v>502</v>
      </c>
      <c r="Q313" s="5" t="s">
        <v>766</v>
      </c>
      <c r="R313" s="11" t="s">
        <v>2514</v>
      </c>
      <c r="S313" s="22">
        <v>30</v>
      </c>
    </row>
    <row r="314" spans="1:19" ht="89.25">
      <c r="A314" s="5">
        <v>299</v>
      </c>
      <c r="B314" s="29" t="s">
        <v>710</v>
      </c>
      <c r="C314" s="30" t="s">
        <v>711</v>
      </c>
      <c r="D314" s="5" t="s">
        <v>645</v>
      </c>
      <c r="E314" s="57" t="s">
        <v>820</v>
      </c>
      <c r="F314" s="57" t="s">
        <v>10</v>
      </c>
      <c r="G314" s="57" t="s">
        <v>821</v>
      </c>
      <c r="H314" s="57" t="s">
        <v>646</v>
      </c>
      <c r="I314" s="57" t="s">
        <v>820</v>
      </c>
      <c r="J314" s="57" t="s">
        <v>10</v>
      </c>
      <c r="K314" s="57" t="s">
        <v>591</v>
      </c>
      <c r="L314" s="31" t="s">
        <v>644</v>
      </c>
      <c r="M314" s="22">
        <v>2</v>
      </c>
      <c r="N314" s="46">
        <v>1339</v>
      </c>
      <c r="O314" s="49">
        <f t="shared" si="6"/>
        <v>2678</v>
      </c>
      <c r="P314" s="5" t="s">
        <v>612</v>
      </c>
      <c r="Q314" s="5" t="s">
        <v>766</v>
      </c>
      <c r="R314" s="11" t="s">
        <v>2514</v>
      </c>
      <c r="S314" s="22">
        <v>30</v>
      </c>
    </row>
    <row r="315" spans="1:19" ht="51">
      <c r="A315" s="5">
        <v>300</v>
      </c>
      <c r="B315" s="15" t="s">
        <v>710</v>
      </c>
      <c r="C315" s="30" t="s">
        <v>711</v>
      </c>
      <c r="D315" s="5" t="s">
        <v>956</v>
      </c>
      <c r="E315" s="57" t="s">
        <v>2177</v>
      </c>
      <c r="F315" s="57" t="s">
        <v>198</v>
      </c>
      <c r="G315" s="57" t="s">
        <v>2227</v>
      </c>
      <c r="H315" s="57" t="s">
        <v>957</v>
      </c>
      <c r="I315" s="57" t="s">
        <v>2177</v>
      </c>
      <c r="J315" s="57" t="s">
        <v>198</v>
      </c>
      <c r="K315" s="57" t="s">
        <v>591</v>
      </c>
      <c r="L315" s="31" t="s">
        <v>644</v>
      </c>
      <c r="M315" s="22">
        <v>4</v>
      </c>
      <c r="N315" s="46">
        <v>2232</v>
      </c>
      <c r="O315" s="49">
        <f t="shared" si="6"/>
        <v>8928</v>
      </c>
      <c r="P315" s="5" t="s">
        <v>612</v>
      </c>
      <c r="Q315" s="5" t="s">
        <v>766</v>
      </c>
      <c r="R315" s="11" t="s">
        <v>2514</v>
      </c>
      <c r="S315" s="22">
        <v>30</v>
      </c>
    </row>
    <row r="316" spans="1:19" ht="51">
      <c r="A316" s="5">
        <v>301</v>
      </c>
      <c r="B316" s="15" t="s">
        <v>710</v>
      </c>
      <c r="C316" s="30" t="s">
        <v>711</v>
      </c>
      <c r="D316" s="5" t="s">
        <v>649</v>
      </c>
      <c r="E316" s="57" t="s">
        <v>1627</v>
      </c>
      <c r="F316" s="57" t="s">
        <v>371</v>
      </c>
      <c r="G316" s="57" t="s">
        <v>1629</v>
      </c>
      <c r="H316" s="57" t="s">
        <v>650</v>
      </c>
      <c r="I316" s="57" t="s">
        <v>1627</v>
      </c>
      <c r="J316" s="57" t="s">
        <v>371</v>
      </c>
      <c r="K316" s="57" t="s">
        <v>591</v>
      </c>
      <c r="L316" s="5" t="s">
        <v>651</v>
      </c>
      <c r="M316" s="22">
        <v>2</v>
      </c>
      <c r="N316" s="46">
        <v>446</v>
      </c>
      <c r="O316" s="49">
        <f t="shared" si="6"/>
        <v>892</v>
      </c>
      <c r="P316" s="5" t="s">
        <v>501</v>
      </c>
      <c r="Q316" s="5" t="s">
        <v>766</v>
      </c>
      <c r="R316" s="11" t="s">
        <v>2514</v>
      </c>
      <c r="S316" s="22">
        <v>30</v>
      </c>
    </row>
    <row r="317" spans="1:19" ht="51">
      <c r="A317" s="5">
        <v>302</v>
      </c>
      <c r="B317" s="29" t="s">
        <v>710</v>
      </c>
      <c r="C317" s="30" t="s">
        <v>711</v>
      </c>
      <c r="D317" s="5" t="s">
        <v>958</v>
      </c>
      <c r="E317" s="57" t="s">
        <v>1631</v>
      </c>
      <c r="F317" s="57" t="s">
        <v>372</v>
      </c>
      <c r="G317" s="57" t="s">
        <v>2218</v>
      </c>
      <c r="H317" s="57" t="s">
        <v>959</v>
      </c>
      <c r="I317" s="57" t="s">
        <v>1631</v>
      </c>
      <c r="J317" s="57" t="s">
        <v>372</v>
      </c>
      <c r="K317" s="57" t="s">
        <v>591</v>
      </c>
      <c r="L317" s="31" t="s">
        <v>644</v>
      </c>
      <c r="M317" s="22">
        <v>50</v>
      </c>
      <c r="N317" s="46">
        <v>179</v>
      </c>
      <c r="O317" s="49">
        <f t="shared" si="6"/>
        <v>8950</v>
      </c>
      <c r="P317" s="5" t="s">
        <v>391</v>
      </c>
      <c r="Q317" s="5" t="s">
        <v>766</v>
      </c>
      <c r="R317" s="11" t="s">
        <v>2514</v>
      </c>
      <c r="S317" s="22">
        <v>30</v>
      </c>
    </row>
    <row r="318" spans="1:19" ht="51">
      <c r="A318" s="5">
        <v>303</v>
      </c>
      <c r="B318" s="15" t="s">
        <v>710</v>
      </c>
      <c r="C318" s="30" t="s">
        <v>711</v>
      </c>
      <c r="D318" s="5" t="s">
        <v>960</v>
      </c>
      <c r="E318" s="57" t="s">
        <v>11</v>
      </c>
      <c r="F318" s="57" t="s">
        <v>11</v>
      </c>
      <c r="G318" s="57" t="s">
        <v>2190</v>
      </c>
      <c r="H318" s="57" t="s">
        <v>961</v>
      </c>
      <c r="I318" s="57" t="s">
        <v>11</v>
      </c>
      <c r="J318" s="57" t="s">
        <v>11</v>
      </c>
      <c r="K318" s="57" t="s">
        <v>591</v>
      </c>
      <c r="L318" s="5" t="s">
        <v>1481</v>
      </c>
      <c r="M318" s="22">
        <v>25</v>
      </c>
      <c r="N318" s="46">
        <v>313</v>
      </c>
      <c r="O318" s="49">
        <f t="shared" si="6"/>
        <v>7825</v>
      </c>
      <c r="P318" s="5" t="s">
        <v>502</v>
      </c>
      <c r="Q318" s="5" t="s">
        <v>766</v>
      </c>
      <c r="R318" s="11" t="s">
        <v>2514</v>
      </c>
      <c r="S318" s="22">
        <v>30</v>
      </c>
    </row>
    <row r="319" spans="1:19" ht="102">
      <c r="A319" s="5">
        <v>304</v>
      </c>
      <c r="B319" s="29" t="s">
        <v>710</v>
      </c>
      <c r="C319" s="30" t="s">
        <v>711</v>
      </c>
      <c r="D319" s="5" t="s">
        <v>656</v>
      </c>
      <c r="E319" s="57" t="s">
        <v>767</v>
      </c>
      <c r="F319" s="57" t="s">
        <v>18</v>
      </c>
      <c r="G319" s="57" t="s">
        <v>2192</v>
      </c>
      <c r="H319" s="57" t="s">
        <v>1029</v>
      </c>
      <c r="I319" s="57" t="s">
        <v>767</v>
      </c>
      <c r="J319" s="57" t="s">
        <v>373</v>
      </c>
      <c r="K319" s="57" t="s">
        <v>591</v>
      </c>
      <c r="L319" s="5" t="s">
        <v>480</v>
      </c>
      <c r="M319" s="22">
        <v>2</v>
      </c>
      <c r="N319" s="46">
        <v>714</v>
      </c>
      <c r="O319" s="49">
        <f t="shared" si="6"/>
        <v>1428</v>
      </c>
      <c r="P319" s="5" t="s">
        <v>502</v>
      </c>
      <c r="Q319" s="5" t="s">
        <v>766</v>
      </c>
      <c r="R319" s="11" t="s">
        <v>2514</v>
      </c>
      <c r="S319" s="22">
        <v>30</v>
      </c>
    </row>
    <row r="320" spans="1:19" ht="51">
      <c r="A320" s="5">
        <v>305</v>
      </c>
      <c r="B320" s="29" t="s">
        <v>710</v>
      </c>
      <c r="C320" s="30" t="s">
        <v>711</v>
      </c>
      <c r="D320" s="5" t="s">
        <v>962</v>
      </c>
      <c r="E320" s="57" t="s">
        <v>374</v>
      </c>
      <c r="F320" s="57" t="s">
        <v>374</v>
      </c>
      <c r="G320" s="57" t="s">
        <v>2286</v>
      </c>
      <c r="H320" s="57" t="s">
        <v>963</v>
      </c>
      <c r="I320" s="57" t="s">
        <v>374</v>
      </c>
      <c r="J320" s="57" t="s">
        <v>197</v>
      </c>
      <c r="K320" s="57" t="s">
        <v>591</v>
      </c>
      <c r="L320" s="31" t="s">
        <v>644</v>
      </c>
      <c r="M320" s="22">
        <v>25</v>
      </c>
      <c r="N320" s="46">
        <v>67</v>
      </c>
      <c r="O320" s="49">
        <f t="shared" si="6"/>
        <v>1675</v>
      </c>
      <c r="P320" s="5" t="s">
        <v>391</v>
      </c>
      <c r="Q320" s="5" t="s">
        <v>766</v>
      </c>
      <c r="R320" s="11" t="s">
        <v>2514</v>
      </c>
      <c r="S320" s="22">
        <v>30</v>
      </c>
    </row>
    <row r="321" spans="1:19" ht="51">
      <c r="A321" s="5">
        <v>306</v>
      </c>
      <c r="B321" s="29" t="s">
        <v>710</v>
      </c>
      <c r="C321" s="30" t="s">
        <v>711</v>
      </c>
      <c r="D321" s="5" t="s">
        <v>660</v>
      </c>
      <c r="E321" s="57" t="s">
        <v>832</v>
      </c>
      <c r="F321" s="57" t="s">
        <v>12</v>
      </c>
      <c r="G321" s="57" t="s">
        <v>1639</v>
      </c>
      <c r="H321" s="57" t="s">
        <v>661</v>
      </c>
      <c r="I321" s="57" t="s">
        <v>832</v>
      </c>
      <c r="J321" s="57" t="s">
        <v>12</v>
      </c>
      <c r="K321" s="57" t="s">
        <v>591</v>
      </c>
      <c r="L321" s="31" t="s">
        <v>644</v>
      </c>
      <c r="M321" s="22">
        <v>5</v>
      </c>
      <c r="N321" s="46">
        <v>1339</v>
      </c>
      <c r="O321" s="49">
        <f t="shared" si="6"/>
        <v>6695</v>
      </c>
      <c r="P321" s="5" t="s">
        <v>391</v>
      </c>
      <c r="Q321" s="5" t="s">
        <v>766</v>
      </c>
      <c r="R321" s="11" t="s">
        <v>2514</v>
      </c>
      <c r="S321" s="22">
        <v>30</v>
      </c>
    </row>
    <row r="322" spans="1:19" ht="51">
      <c r="A322" s="5">
        <v>307</v>
      </c>
      <c r="B322" s="29" t="s">
        <v>710</v>
      </c>
      <c r="C322" s="30" t="s">
        <v>711</v>
      </c>
      <c r="D322" s="5" t="s">
        <v>410</v>
      </c>
      <c r="E322" s="57" t="s">
        <v>833</v>
      </c>
      <c r="F322" s="57" t="s">
        <v>375</v>
      </c>
      <c r="G322" s="57" t="s">
        <v>2272</v>
      </c>
      <c r="H322" s="57" t="s">
        <v>411</v>
      </c>
      <c r="I322" s="57" t="s">
        <v>2272</v>
      </c>
      <c r="J322" s="57" t="s">
        <v>375</v>
      </c>
      <c r="K322" s="57" t="s">
        <v>591</v>
      </c>
      <c r="L322" s="31" t="s">
        <v>644</v>
      </c>
      <c r="M322" s="22">
        <v>5</v>
      </c>
      <c r="N322" s="46">
        <v>1071</v>
      </c>
      <c r="O322" s="49">
        <f t="shared" si="6"/>
        <v>5355</v>
      </c>
      <c r="P322" s="5" t="s">
        <v>391</v>
      </c>
      <c r="Q322" s="5" t="s">
        <v>766</v>
      </c>
      <c r="R322" s="11" t="s">
        <v>2514</v>
      </c>
      <c r="S322" s="22">
        <v>30</v>
      </c>
    </row>
    <row r="323" spans="1:19" ht="51">
      <c r="A323" s="5">
        <v>308</v>
      </c>
      <c r="B323" s="29" t="s">
        <v>710</v>
      </c>
      <c r="C323" s="30" t="s">
        <v>711</v>
      </c>
      <c r="D323" s="5" t="s">
        <v>662</v>
      </c>
      <c r="E323" s="57" t="s">
        <v>2236</v>
      </c>
      <c r="F323" s="57" t="s">
        <v>663</v>
      </c>
      <c r="G323" s="57" t="s">
        <v>2237</v>
      </c>
      <c r="H323" s="57" t="s">
        <v>2239</v>
      </c>
      <c r="I323" s="57" t="s">
        <v>2238</v>
      </c>
      <c r="J323" s="57" t="s">
        <v>376</v>
      </c>
      <c r="K323" s="57" t="s">
        <v>591</v>
      </c>
      <c r="L323" s="5" t="s">
        <v>1482</v>
      </c>
      <c r="M323" s="22">
        <v>1</v>
      </c>
      <c r="N323" s="46">
        <v>26786</v>
      </c>
      <c r="O323" s="49">
        <f t="shared" si="6"/>
        <v>26786</v>
      </c>
      <c r="P323" s="5" t="s">
        <v>391</v>
      </c>
      <c r="Q323" s="5" t="s">
        <v>766</v>
      </c>
      <c r="R323" s="11" t="s">
        <v>2514</v>
      </c>
      <c r="S323" s="22">
        <v>30</v>
      </c>
    </row>
    <row r="324" spans="1:19" ht="51">
      <c r="A324" s="5">
        <v>309</v>
      </c>
      <c r="B324" s="29" t="s">
        <v>710</v>
      </c>
      <c r="C324" s="30" t="s">
        <v>711</v>
      </c>
      <c r="D324" s="5" t="s">
        <v>412</v>
      </c>
      <c r="E324" s="57" t="s">
        <v>835</v>
      </c>
      <c r="F324" s="57" t="s">
        <v>377</v>
      </c>
      <c r="G324" s="57" t="s">
        <v>836</v>
      </c>
      <c r="H324" s="57" t="s">
        <v>413</v>
      </c>
      <c r="I324" s="57" t="s">
        <v>2296</v>
      </c>
      <c r="J324" s="57" t="s">
        <v>377</v>
      </c>
      <c r="K324" s="57" t="s">
        <v>591</v>
      </c>
      <c r="L324" s="31" t="s">
        <v>644</v>
      </c>
      <c r="M324" s="22">
        <v>1</v>
      </c>
      <c r="N324" s="46">
        <v>26786</v>
      </c>
      <c r="O324" s="49">
        <f t="shared" si="6"/>
        <v>26786</v>
      </c>
      <c r="P324" s="5" t="s">
        <v>391</v>
      </c>
      <c r="Q324" s="5" t="s">
        <v>766</v>
      </c>
      <c r="R324" s="11" t="s">
        <v>2514</v>
      </c>
      <c r="S324" s="22">
        <v>30</v>
      </c>
    </row>
    <row r="325" spans="1:19" ht="51">
      <c r="A325" s="5">
        <v>310</v>
      </c>
      <c r="B325" s="29" t="s">
        <v>710</v>
      </c>
      <c r="C325" s="30" t="s">
        <v>711</v>
      </c>
      <c r="D325" s="5" t="s">
        <v>412</v>
      </c>
      <c r="E325" s="57" t="s">
        <v>835</v>
      </c>
      <c r="F325" s="57" t="s">
        <v>377</v>
      </c>
      <c r="G325" s="57" t="s">
        <v>836</v>
      </c>
      <c r="H325" s="57" t="s">
        <v>413</v>
      </c>
      <c r="I325" s="57" t="s">
        <v>2292</v>
      </c>
      <c r="J325" s="57" t="s">
        <v>378</v>
      </c>
      <c r="K325" s="57" t="s">
        <v>591</v>
      </c>
      <c r="L325" s="31" t="s">
        <v>644</v>
      </c>
      <c r="M325" s="22">
        <v>1</v>
      </c>
      <c r="N325" s="46">
        <v>16071</v>
      </c>
      <c r="O325" s="49">
        <f t="shared" si="6"/>
        <v>16071</v>
      </c>
      <c r="P325" s="5" t="s">
        <v>391</v>
      </c>
      <c r="Q325" s="5" t="s">
        <v>766</v>
      </c>
      <c r="R325" s="11" t="s">
        <v>2514</v>
      </c>
      <c r="S325" s="22">
        <v>30</v>
      </c>
    </row>
    <row r="326" spans="1:19" ht="51">
      <c r="A326" s="5">
        <v>311</v>
      </c>
      <c r="B326" s="29" t="s">
        <v>710</v>
      </c>
      <c r="C326" s="30" t="s">
        <v>711</v>
      </c>
      <c r="D326" s="5" t="s">
        <v>964</v>
      </c>
      <c r="E326" s="57" t="s">
        <v>2184</v>
      </c>
      <c r="F326" s="57" t="s">
        <v>13</v>
      </c>
      <c r="G326" s="57" t="s">
        <v>2187</v>
      </c>
      <c r="H326" s="57" t="s">
        <v>965</v>
      </c>
      <c r="I326" s="57" t="s">
        <v>2184</v>
      </c>
      <c r="J326" s="57" t="s">
        <v>13</v>
      </c>
      <c r="K326" s="57" t="s">
        <v>591</v>
      </c>
      <c r="L326" s="31" t="s">
        <v>644</v>
      </c>
      <c r="M326" s="22">
        <v>3</v>
      </c>
      <c r="N326" s="46">
        <v>2679</v>
      </c>
      <c r="O326" s="49">
        <f t="shared" si="6"/>
        <v>8037</v>
      </c>
      <c r="P326" s="5" t="s">
        <v>391</v>
      </c>
      <c r="Q326" s="5" t="s">
        <v>766</v>
      </c>
      <c r="R326" s="11" t="s">
        <v>2514</v>
      </c>
      <c r="S326" s="22">
        <v>30</v>
      </c>
    </row>
    <row r="327" spans="1:19" ht="51">
      <c r="A327" s="5">
        <v>312</v>
      </c>
      <c r="B327" s="29" t="s">
        <v>710</v>
      </c>
      <c r="C327" s="30" t="s">
        <v>711</v>
      </c>
      <c r="D327" s="5" t="s">
        <v>416</v>
      </c>
      <c r="E327" s="57" t="s">
        <v>2223</v>
      </c>
      <c r="F327" s="57" t="s">
        <v>417</v>
      </c>
      <c r="G327" s="57" t="s">
        <v>2224</v>
      </c>
      <c r="H327" s="57" t="s">
        <v>418</v>
      </c>
      <c r="I327" s="57" t="s">
        <v>2223</v>
      </c>
      <c r="J327" s="57" t="s">
        <v>379</v>
      </c>
      <c r="K327" s="57" t="s">
        <v>591</v>
      </c>
      <c r="L327" s="31" t="s">
        <v>644</v>
      </c>
      <c r="M327" s="22">
        <v>1</v>
      </c>
      <c r="N327" s="46">
        <v>16071</v>
      </c>
      <c r="O327" s="49">
        <f t="shared" si="6"/>
        <v>16071</v>
      </c>
      <c r="P327" s="5" t="s">
        <v>391</v>
      </c>
      <c r="Q327" s="5" t="s">
        <v>766</v>
      </c>
      <c r="R327" s="11" t="s">
        <v>2514</v>
      </c>
      <c r="S327" s="22">
        <v>30</v>
      </c>
    </row>
    <row r="328" spans="1:19" ht="51">
      <c r="A328" s="5">
        <v>313</v>
      </c>
      <c r="B328" s="15" t="s">
        <v>710</v>
      </c>
      <c r="C328" s="30" t="s">
        <v>711</v>
      </c>
      <c r="D328" s="5" t="s">
        <v>1006</v>
      </c>
      <c r="E328" s="57" t="s">
        <v>2078</v>
      </c>
      <c r="F328" s="57" t="s">
        <v>1007</v>
      </c>
      <c r="G328" s="57" t="s">
        <v>2079</v>
      </c>
      <c r="H328" s="57" t="s">
        <v>1008</v>
      </c>
      <c r="I328" s="57" t="s">
        <v>2078</v>
      </c>
      <c r="J328" s="57" t="s">
        <v>380</v>
      </c>
      <c r="K328" s="57" t="s">
        <v>591</v>
      </c>
      <c r="L328" s="31" t="s">
        <v>644</v>
      </c>
      <c r="M328" s="22">
        <v>1</v>
      </c>
      <c r="N328" s="46">
        <v>1786</v>
      </c>
      <c r="O328" s="49">
        <f t="shared" si="6"/>
        <v>1786</v>
      </c>
      <c r="P328" s="5" t="s">
        <v>391</v>
      </c>
      <c r="Q328" s="5" t="s">
        <v>766</v>
      </c>
      <c r="R328" s="11" t="s">
        <v>2514</v>
      </c>
      <c r="S328" s="22">
        <v>30</v>
      </c>
    </row>
    <row r="329" spans="1:19" ht="63.75">
      <c r="A329" s="5">
        <v>314</v>
      </c>
      <c r="B329" s="29" t="s">
        <v>710</v>
      </c>
      <c r="C329" s="30" t="s">
        <v>711</v>
      </c>
      <c r="D329" s="5" t="s">
        <v>803</v>
      </c>
      <c r="E329" s="57" t="s">
        <v>804</v>
      </c>
      <c r="F329" s="57" t="s">
        <v>364</v>
      </c>
      <c r="G329" s="57" t="s">
        <v>805</v>
      </c>
      <c r="H329" s="57" t="s">
        <v>806</v>
      </c>
      <c r="I329" s="57" t="s">
        <v>804</v>
      </c>
      <c r="J329" s="57" t="s">
        <v>364</v>
      </c>
      <c r="K329" s="57" t="s">
        <v>591</v>
      </c>
      <c r="L329" s="31" t="s">
        <v>644</v>
      </c>
      <c r="M329" s="22">
        <v>5</v>
      </c>
      <c r="N329" s="46">
        <v>1200</v>
      </c>
      <c r="O329" s="49">
        <f t="shared" si="6"/>
        <v>6000</v>
      </c>
      <c r="P329" s="5" t="s">
        <v>393</v>
      </c>
      <c r="Q329" s="5" t="s">
        <v>394</v>
      </c>
      <c r="R329" s="11" t="s">
        <v>2507</v>
      </c>
      <c r="S329" s="22">
        <v>100</v>
      </c>
    </row>
    <row r="330" spans="1:19" ht="25.5">
      <c r="A330" s="5">
        <v>315</v>
      </c>
      <c r="B330" s="15" t="s">
        <v>710</v>
      </c>
      <c r="C330" s="30" t="s">
        <v>711</v>
      </c>
      <c r="D330" s="11" t="s">
        <v>807</v>
      </c>
      <c r="E330" s="57" t="s">
        <v>1596</v>
      </c>
      <c r="F330" s="57" t="s">
        <v>2377</v>
      </c>
      <c r="G330" s="57" t="s">
        <v>1597</v>
      </c>
      <c r="H330" s="57" t="s">
        <v>808</v>
      </c>
      <c r="I330" s="57" t="s">
        <v>1598</v>
      </c>
      <c r="J330" s="57" t="s">
        <v>5</v>
      </c>
      <c r="K330" s="57" t="s">
        <v>591</v>
      </c>
      <c r="L330" s="31" t="s">
        <v>644</v>
      </c>
      <c r="M330" s="22">
        <v>2</v>
      </c>
      <c r="N330" s="46">
        <v>3000</v>
      </c>
      <c r="O330" s="49">
        <f t="shared" si="6"/>
        <v>6000</v>
      </c>
      <c r="P330" s="5" t="s">
        <v>393</v>
      </c>
      <c r="Q330" s="5" t="s">
        <v>394</v>
      </c>
      <c r="R330" s="11" t="s">
        <v>2507</v>
      </c>
      <c r="S330" s="22">
        <v>100</v>
      </c>
    </row>
    <row r="331" spans="1:19" ht="51">
      <c r="A331" s="5">
        <v>316</v>
      </c>
      <c r="B331" s="29" t="s">
        <v>710</v>
      </c>
      <c r="C331" s="30" t="s">
        <v>711</v>
      </c>
      <c r="D331" s="11" t="s">
        <v>952</v>
      </c>
      <c r="E331" s="57" t="s">
        <v>2170</v>
      </c>
      <c r="F331" s="57" t="s">
        <v>953</v>
      </c>
      <c r="G331" s="57" t="s">
        <v>2170</v>
      </c>
      <c r="H331" s="57" t="s">
        <v>953</v>
      </c>
      <c r="I331" s="57" t="s">
        <v>6</v>
      </c>
      <c r="J331" s="57" t="s">
        <v>6</v>
      </c>
      <c r="K331" s="57" t="s">
        <v>591</v>
      </c>
      <c r="L331" s="31" t="s">
        <v>644</v>
      </c>
      <c r="M331" s="22">
        <v>4</v>
      </c>
      <c r="N331" s="46">
        <v>3125</v>
      </c>
      <c r="O331" s="49">
        <f t="shared" si="6"/>
        <v>12500</v>
      </c>
      <c r="P331" s="5" t="s">
        <v>393</v>
      </c>
      <c r="Q331" s="5" t="s">
        <v>766</v>
      </c>
      <c r="R331" s="11" t="s">
        <v>2507</v>
      </c>
      <c r="S331" s="22">
        <v>100</v>
      </c>
    </row>
    <row r="332" spans="1:19" ht="25.5">
      <c r="A332" s="5">
        <v>317</v>
      </c>
      <c r="B332" s="29" t="s">
        <v>710</v>
      </c>
      <c r="C332" s="30" t="s">
        <v>711</v>
      </c>
      <c r="D332" s="5" t="s">
        <v>634</v>
      </c>
      <c r="E332" s="57" t="s">
        <v>813</v>
      </c>
      <c r="F332" s="57" t="s">
        <v>365</v>
      </c>
      <c r="G332" s="57" t="s">
        <v>814</v>
      </c>
      <c r="H332" s="57" t="s">
        <v>635</v>
      </c>
      <c r="I332" s="57" t="s">
        <v>813</v>
      </c>
      <c r="J332" s="57" t="s">
        <v>365</v>
      </c>
      <c r="K332" s="57" t="s">
        <v>591</v>
      </c>
      <c r="L332" s="31" t="s">
        <v>644</v>
      </c>
      <c r="M332" s="22">
        <v>2</v>
      </c>
      <c r="N332" s="46">
        <v>223</v>
      </c>
      <c r="O332" s="49">
        <f t="shared" si="6"/>
        <v>446</v>
      </c>
      <c r="P332" s="5" t="s">
        <v>393</v>
      </c>
      <c r="Q332" s="5" t="s">
        <v>394</v>
      </c>
      <c r="R332" s="11" t="s">
        <v>2507</v>
      </c>
      <c r="S332" s="22">
        <v>100</v>
      </c>
    </row>
    <row r="333" spans="1:19" ht="76.5">
      <c r="A333" s="5">
        <v>318</v>
      </c>
      <c r="B333" s="15" t="s">
        <v>710</v>
      </c>
      <c r="C333" s="30" t="s">
        <v>711</v>
      </c>
      <c r="D333" s="5" t="s">
        <v>954</v>
      </c>
      <c r="E333" s="57" t="s">
        <v>1003</v>
      </c>
      <c r="F333" s="57" t="s">
        <v>366</v>
      </c>
      <c r="G333" s="57" t="s">
        <v>2171</v>
      </c>
      <c r="H333" s="57" t="s">
        <v>955</v>
      </c>
      <c r="I333" s="57" t="s">
        <v>1003</v>
      </c>
      <c r="J333" s="57" t="s">
        <v>366</v>
      </c>
      <c r="K333" s="57" t="s">
        <v>591</v>
      </c>
      <c r="L333" s="31" t="s">
        <v>644</v>
      </c>
      <c r="M333" s="22">
        <v>2</v>
      </c>
      <c r="N333" s="46">
        <v>313</v>
      </c>
      <c r="O333" s="49">
        <f t="shared" si="6"/>
        <v>626</v>
      </c>
      <c r="P333" s="5" t="s">
        <v>393</v>
      </c>
      <c r="Q333" s="5" t="s">
        <v>394</v>
      </c>
      <c r="R333" s="11" t="s">
        <v>2507</v>
      </c>
      <c r="S333" s="22">
        <v>100</v>
      </c>
    </row>
    <row r="334" spans="1:19" ht="102">
      <c r="A334" s="5">
        <v>319</v>
      </c>
      <c r="B334" s="29" t="s">
        <v>710</v>
      </c>
      <c r="C334" s="30" t="s">
        <v>711</v>
      </c>
      <c r="D334" s="5" t="s">
        <v>636</v>
      </c>
      <c r="E334" s="57" t="s">
        <v>815</v>
      </c>
      <c r="F334" s="57" t="s">
        <v>367</v>
      </c>
      <c r="G334" s="57" t="s">
        <v>816</v>
      </c>
      <c r="H334" s="57" t="s">
        <v>637</v>
      </c>
      <c r="I334" s="57" t="s">
        <v>815</v>
      </c>
      <c r="J334" s="57" t="s">
        <v>367</v>
      </c>
      <c r="K334" s="57" t="s">
        <v>591</v>
      </c>
      <c r="L334" s="31" t="s">
        <v>644</v>
      </c>
      <c r="M334" s="22">
        <v>1</v>
      </c>
      <c r="N334" s="46">
        <v>14286</v>
      </c>
      <c r="O334" s="49">
        <f t="shared" si="6"/>
        <v>14286</v>
      </c>
      <c r="P334" s="5" t="s">
        <v>393</v>
      </c>
      <c r="Q334" s="5" t="s">
        <v>394</v>
      </c>
      <c r="R334" s="11" t="s">
        <v>2507</v>
      </c>
      <c r="S334" s="22">
        <v>100</v>
      </c>
    </row>
    <row r="335" spans="1:19" ht="25.5">
      <c r="A335" s="5">
        <v>320</v>
      </c>
      <c r="B335" s="29" t="s">
        <v>710</v>
      </c>
      <c r="C335" s="30" t="s">
        <v>711</v>
      </c>
      <c r="D335" s="5" t="s">
        <v>639</v>
      </c>
      <c r="E335" s="57" t="s">
        <v>2172</v>
      </c>
      <c r="F335" s="57" t="s">
        <v>368</v>
      </c>
      <c r="G335" s="57" t="s">
        <v>817</v>
      </c>
      <c r="H335" s="57" t="s">
        <v>640</v>
      </c>
      <c r="I335" s="57" t="s">
        <v>2172</v>
      </c>
      <c r="J335" s="57" t="s">
        <v>368</v>
      </c>
      <c r="K335" s="57" t="s">
        <v>591</v>
      </c>
      <c r="L335" s="31" t="s">
        <v>644</v>
      </c>
      <c r="M335" s="22">
        <v>1</v>
      </c>
      <c r="N335" s="46">
        <v>1786</v>
      </c>
      <c r="O335" s="49">
        <f t="shared" si="6"/>
        <v>1786</v>
      </c>
      <c r="P335" s="5" t="s">
        <v>393</v>
      </c>
      <c r="Q335" s="5" t="s">
        <v>394</v>
      </c>
      <c r="R335" s="11" t="s">
        <v>2507</v>
      </c>
      <c r="S335" s="22">
        <v>100</v>
      </c>
    </row>
    <row r="336" spans="1:19" ht="25.5">
      <c r="A336" s="5">
        <v>321</v>
      </c>
      <c r="B336" s="29" t="s">
        <v>710</v>
      </c>
      <c r="C336" s="30" t="s">
        <v>711</v>
      </c>
      <c r="D336" s="5" t="s">
        <v>395</v>
      </c>
      <c r="E336" s="57" t="s">
        <v>818</v>
      </c>
      <c r="F336" s="57" t="s">
        <v>369</v>
      </c>
      <c r="G336" s="57" t="s">
        <v>819</v>
      </c>
      <c r="H336" s="57" t="s">
        <v>396</v>
      </c>
      <c r="I336" s="57" t="s">
        <v>818</v>
      </c>
      <c r="J336" s="57" t="s">
        <v>369</v>
      </c>
      <c r="K336" s="57" t="s">
        <v>591</v>
      </c>
      <c r="L336" s="5" t="s">
        <v>669</v>
      </c>
      <c r="M336" s="22">
        <v>5</v>
      </c>
      <c r="N336" s="46">
        <v>156</v>
      </c>
      <c r="O336" s="49">
        <f t="shared" si="6"/>
        <v>780</v>
      </c>
      <c r="P336" s="5" t="s">
        <v>393</v>
      </c>
      <c r="Q336" s="5" t="s">
        <v>394</v>
      </c>
      <c r="R336" s="11" t="s">
        <v>2507</v>
      </c>
      <c r="S336" s="22">
        <v>100</v>
      </c>
    </row>
    <row r="337" spans="1:19" ht="114.75">
      <c r="A337" s="5">
        <v>322</v>
      </c>
      <c r="B337" s="15" t="s">
        <v>710</v>
      </c>
      <c r="C337" s="30" t="s">
        <v>711</v>
      </c>
      <c r="D337" s="5" t="s">
        <v>1079</v>
      </c>
      <c r="E337" s="57" t="s">
        <v>370</v>
      </c>
      <c r="F337" s="57" t="s">
        <v>370</v>
      </c>
      <c r="G337" s="57" t="s">
        <v>1623</v>
      </c>
      <c r="H337" s="57" t="s">
        <v>1080</v>
      </c>
      <c r="I337" s="57" t="s">
        <v>192</v>
      </c>
      <c r="J337" s="57" t="s">
        <v>370</v>
      </c>
      <c r="K337" s="57" t="s">
        <v>591</v>
      </c>
      <c r="L337" s="5" t="s">
        <v>651</v>
      </c>
      <c r="M337" s="22">
        <v>50</v>
      </c>
      <c r="N337" s="46">
        <v>179</v>
      </c>
      <c r="O337" s="49">
        <f t="shared" si="6"/>
        <v>8950</v>
      </c>
      <c r="P337" s="5" t="s">
        <v>393</v>
      </c>
      <c r="Q337" s="5" t="s">
        <v>394</v>
      </c>
      <c r="R337" s="11" t="s">
        <v>2507</v>
      </c>
      <c r="S337" s="22">
        <v>100</v>
      </c>
    </row>
    <row r="338" spans="1:19" ht="89.25">
      <c r="A338" s="5">
        <v>323</v>
      </c>
      <c r="B338" s="29" t="s">
        <v>710</v>
      </c>
      <c r="C338" s="30" t="s">
        <v>711</v>
      </c>
      <c r="D338" s="5" t="s">
        <v>645</v>
      </c>
      <c r="E338" s="57" t="s">
        <v>820</v>
      </c>
      <c r="F338" s="57" t="s">
        <v>10</v>
      </c>
      <c r="G338" s="57" t="s">
        <v>821</v>
      </c>
      <c r="H338" s="57" t="s">
        <v>646</v>
      </c>
      <c r="I338" s="57" t="s">
        <v>820</v>
      </c>
      <c r="J338" s="57" t="s">
        <v>10</v>
      </c>
      <c r="K338" s="57" t="s">
        <v>591</v>
      </c>
      <c r="L338" s="31" t="s">
        <v>644</v>
      </c>
      <c r="M338" s="22">
        <v>2</v>
      </c>
      <c r="N338" s="46">
        <v>1339</v>
      </c>
      <c r="O338" s="49">
        <f t="shared" si="6"/>
        <v>2678</v>
      </c>
      <c r="P338" s="5" t="s">
        <v>393</v>
      </c>
      <c r="Q338" s="5" t="s">
        <v>394</v>
      </c>
      <c r="R338" s="11" t="s">
        <v>2507</v>
      </c>
      <c r="S338" s="22">
        <v>100</v>
      </c>
    </row>
    <row r="339" spans="1:19" ht="25.5">
      <c r="A339" s="5">
        <v>324</v>
      </c>
      <c r="B339" s="15" t="s">
        <v>710</v>
      </c>
      <c r="C339" s="30" t="s">
        <v>711</v>
      </c>
      <c r="D339" s="5" t="s">
        <v>397</v>
      </c>
      <c r="E339" s="57" t="s">
        <v>2177</v>
      </c>
      <c r="F339" s="57" t="s">
        <v>198</v>
      </c>
      <c r="G339" s="57" t="s">
        <v>2226</v>
      </c>
      <c r="H339" s="57" t="s">
        <v>398</v>
      </c>
      <c r="I339" s="57" t="s">
        <v>2177</v>
      </c>
      <c r="J339" s="57" t="s">
        <v>198</v>
      </c>
      <c r="K339" s="57" t="s">
        <v>591</v>
      </c>
      <c r="L339" s="31" t="s">
        <v>644</v>
      </c>
      <c r="M339" s="22">
        <v>4</v>
      </c>
      <c r="N339" s="46">
        <v>2232</v>
      </c>
      <c r="O339" s="49">
        <f t="shared" si="6"/>
        <v>8928</v>
      </c>
      <c r="P339" s="5" t="s">
        <v>393</v>
      </c>
      <c r="Q339" s="5" t="s">
        <v>394</v>
      </c>
      <c r="R339" s="11" t="s">
        <v>2507</v>
      </c>
      <c r="S339" s="22">
        <v>100</v>
      </c>
    </row>
    <row r="340" spans="1:19" ht="38.25">
      <c r="A340" s="5">
        <v>325</v>
      </c>
      <c r="B340" s="15" t="s">
        <v>710</v>
      </c>
      <c r="C340" s="30" t="s">
        <v>711</v>
      </c>
      <c r="D340" s="5" t="s">
        <v>649</v>
      </c>
      <c r="E340" s="57" t="s">
        <v>1627</v>
      </c>
      <c r="F340" s="57" t="s">
        <v>371</v>
      </c>
      <c r="G340" s="57" t="s">
        <v>1629</v>
      </c>
      <c r="H340" s="57" t="s">
        <v>650</v>
      </c>
      <c r="I340" s="57" t="s">
        <v>1627</v>
      </c>
      <c r="J340" s="57" t="s">
        <v>371</v>
      </c>
      <c r="K340" s="57" t="s">
        <v>591</v>
      </c>
      <c r="L340" s="5" t="s">
        <v>651</v>
      </c>
      <c r="M340" s="22">
        <v>2</v>
      </c>
      <c r="N340" s="46">
        <v>446</v>
      </c>
      <c r="O340" s="49">
        <f t="shared" si="6"/>
        <v>892</v>
      </c>
      <c r="P340" s="5" t="s">
        <v>393</v>
      </c>
      <c r="Q340" s="5" t="s">
        <v>394</v>
      </c>
      <c r="R340" s="11" t="s">
        <v>2507</v>
      </c>
      <c r="S340" s="22">
        <v>100</v>
      </c>
    </row>
    <row r="341" spans="1:19" ht="51">
      <c r="A341" s="5">
        <v>326</v>
      </c>
      <c r="B341" s="29" t="s">
        <v>710</v>
      </c>
      <c r="C341" s="30" t="s">
        <v>711</v>
      </c>
      <c r="D341" s="5" t="s">
        <v>400</v>
      </c>
      <c r="E341" s="57" t="s">
        <v>2217</v>
      </c>
      <c r="F341" s="57" t="s">
        <v>401</v>
      </c>
      <c r="G341" s="57" t="s">
        <v>2219</v>
      </c>
      <c r="H341" s="57" t="s">
        <v>402</v>
      </c>
      <c r="I341" s="57" t="s">
        <v>1631</v>
      </c>
      <c r="J341" s="57" t="s">
        <v>372</v>
      </c>
      <c r="K341" s="57" t="s">
        <v>591</v>
      </c>
      <c r="L341" s="31" t="s">
        <v>644</v>
      </c>
      <c r="M341" s="22">
        <v>50</v>
      </c>
      <c r="N341" s="46">
        <v>1000</v>
      </c>
      <c r="O341" s="49">
        <f t="shared" si="6"/>
        <v>50000</v>
      </c>
      <c r="P341" s="5" t="s">
        <v>393</v>
      </c>
      <c r="Q341" s="5" t="s">
        <v>394</v>
      </c>
      <c r="R341" s="11" t="s">
        <v>2507</v>
      </c>
      <c r="S341" s="22">
        <v>100</v>
      </c>
    </row>
    <row r="342" spans="1:19" ht="25.5">
      <c r="A342" s="5">
        <v>327</v>
      </c>
      <c r="B342" s="15" t="s">
        <v>710</v>
      </c>
      <c r="C342" s="30" t="s">
        <v>711</v>
      </c>
      <c r="D342" s="5" t="s">
        <v>403</v>
      </c>
      <c r="E342" s="57" t="s">
        <v>11</v>
      </c>
      <c r="F342" s="57" t="s">
        <v>11</v>
      </c>
      <c r="G342" s="57" t="s">
        <v>404</v>
      </c>
      <c r="H342" s="57" t="s">
        <v>404</v>
      </c>
      <c r="I342" s="57" t="s">
        <v>11</v>
      </c>
      <c r="J342" s="57" t="s">
        <v>11</v>
      </c>
      <c r="K342" s="57" t="s">
        <v>591</v>
      </c>
      <c r="L342" s="5" t="s">
        <v>1481</v>
      </c>
      <c r="M342" s="22">
        <v>25</v>
      </c>
      <c r="N342" s="46">
        <v>800</v>
      </c>
      <c r="O342" s="49">
        <f t="shared" si="6"/>
        <v>20000</v>
      </c>
      <c r="P342" s="5" t="s">
        <v>393</v>
      </c>
      <c r="Q342" s="5" t="s">
        <v>394</v>
      </c>
      <c r="R342" s="11" t="s">
        <v>2507</v>
      </c>
      <c r="S342" s="22">
        <v>100</v>
      </c>
    </row>
    <row r="343" spans="1:19" ht="25.5">
      <c r="A343" s="5">
        <v>328</v>
      </c>
      <c r="B343" s="29" t="s">
        <v>710</v>
      </c>
      <c r="C343" s="30" t="s">
        <v>711</v>
      </c>
      <c r="D343" s="5" t="s">
        <v>405</v>
      </c>
      <c r="E343" s="57" t="s">
        <v>2193</v>
      </c>
      <c r="F343" s="57" t="s">
        <v>406</v>
      </c>
      <c r="G343" s="57" t="s">
        <v>2194</v>
      </c>
      <c r="H343" s="57" t="s">
        <v>407</v>
      </c>
      <c r="I343" s="57" t="s">
        <v>767</v>
      </c>
      <c r="J343" s="57" t="s">
        <v>373</v>
      </c>
      <c r="K343" s="57" t="s">
        <v>591</v>
      </c>
      <c r="L343" s="5" t="s">
        <v>651</v>
      </c>
      <c r="M343" s="22">
        <v>2</v>
      </c>
      <c r="N343" s="46">
        <v>714</v>
      </c>
      <c r="O343" s="49">
        <f t="shared" si="6"/>
        <v>1428</v>
      </c>
      <c r="P343" s="5" t="s">
        <v>393</v>
      </c>
      <c r="Q343" s="5" t="s">
        <v>394</v>
      </c>
      <c r="R343" s="11" t="s">
        <v>2507</v>
      </c>
      <c r="S343" s="22">
        <v>100</v>
      </c>
    </row>
    <row r="344" spans="1:19" ht="51">
      <c r="A344" s="5">
        <v>329</v>
      </c>
      <c r="B344" s="29" t="s">
        <v>710</v>
      </c>
      <c r="C344" s="30" t="s">
        <v>711</v>
      </c>
      <c r="D344" s="5" t="s">
        <v>408</v>
      </c>
      <c r="E344" s="57" t="s">
        <v>374</v>
      </c>
      <c r="F344" s="57" t="s">
        <v>374</v>
      </c>
      <c r="G344" s="57" t="s">
        <v>2288</v>
      </c>
      <c r="H344" s="57" t="s">
        <v>409</v>
      </c>
      <c r="I344" s="57" t="s">
        <v>374</v>
      </c>
      <c r="J344" s="57" t="s">
        <v>197</v>
      </c>
      <c r="K344" s="57" t="s">
        <v>591</v>
      </c>
      <c r="L344" s="31" t="s">
        <v>644</v>
      </c>
      <c r="M344" s="22">
        <v>25</v>
      </c>
      <c r="N344" s="46">
        <v>67</v>
      </c>
      <c r="O344" s="49">
        <f t="shared" ref="O344:O407" si="7">M344*N344</f>
        <v>1675</v>
      </c>
      <c r="P344" s="5" t="s">
        <v>393</v>
      </c>
      <c r="Q344" s="5" t="s">
        <v>766</v>
      </c>
      <c r="R344" s="11" t="s">
        <v>2507</v>
      </c>
      <c r="S344" s="22">
        <v>100</v>
      </c>
    </row>
    <row r="345" spans="1:19" ht="38.25">
      <c r="A345" s="5">
        <v>330</v>
      </c>
      <c r="B345" s="29" t="s">
        <v>710</v>
      </c>
      <c r="C345" s="30" t="s">
        <v>711</v>
      </c>
      <c r="D345" s="5" t="s">
        <v>660</v>
      </c>
      <c r="E345" s="57" t="s">
        <v>832</v>
      </c>
      <c r="F345" s="57" t="s">
        <v>12</v>
      </c>
      <c r="G345" s="57" t="s">
        <v>1639</v>
      </c>
      <c r="H345" s="57" t="s">
        <v>661</v>
      </c>
      <c r="I345" s="57" t="s">
        <v>832</v>
      </c>
      <c r="J345" s="57" t="s">
        <v>12</v>
      </c>
      <c r="K345" s="57" t="s">
        <v>591</v>
      </c>
      <c r="L345" s="31" t="s">
        <v>644</v>
      </c>
      <c r="M345" s="22">
        <v>5</v>
      </c>
      <c r="N345" s="46">
        <v>1339</v>
      </c>
      <c r="O345" s="49">
        <f t="shared" si="7"/>
        <v>6695</v>
      </c>
      <c r="P345" s="5" t="s">
        <v>393</v>
      </c>
      <c r="Q345" s="5" t="s">
        <v>394</v>
      </c>
      <c r="R345" s="11" t="s">
        <v>2507</v>
      </c>
      <c r="S345" s="22">
        <v>100</v>
      </c>
    </row>
    <row r="346" spans="1:19" ht="51">
      <c r="A346" s="5">
        <v>331</v>
      </c>
      <c r="B346" s="29" t="s">
        <v>710</v>
      </c>
      <c r="C346" s="30" t="s">
        <v>711</v>
      </c>
      <c r="D346" s="5" t="s">
        <v>410</v>
      </c>
      <c r="E346" s="57" t="s">
        <v>833</v>
      </c>
      <c r="F346" s="57" t="s">
        <v>375</v>
      </c>
      <c r="G346" s="57" t="s">
        <v>2272</v>
      </c>
      <c r="H346" s="57" t="s">
        <v>411</v>
      </c>
      <c r="I346" s="57" t="s">
        <v>2272</v>
      </c>
      <c r="J346" s="57" t="s">
        <v>375</v>
      </c>
      <c r="K346" s="57" t="s">
        <v>591</v>
      </c>
      <c r="L346" s="31" t="s">
        <v>644</v>
      </c>
      <c r="M346" s="22">
        <v>5</v>
      </c>
      <c r="N346" s="46">
        <v>2000</v>
      </c>
      <c r="O346" s="49">
        <f t="shared" si="7"/>
        <v>10000</v>
      </c>
      <c r="P346" s="5" t="s">
        <v>393</v>
      </c>
      <c r="Q346" s="5" t="s">
        <v>766</v>
      </c>
      <c r="R346" s="11" t="s">
        <v>2507</v>
      </c>
      <c r="S346" s="22">
        <v>100</v>
      </c>
    </row>
    <row r="347" spans="1:19" ht="25.5">
      <c r="A347" s="5">
        <v>332</v>
      </c>
      <c r="B347" s="29" t="s">
        <v>710</v>
      </c>
      <c r="C347" s="30" t="s">
        <v>711</v>
      </c>
      <c r="D347" s="5" t="s">
        <v>662</v>
      </c>
      <c r="E347" s="57" t="s">
        <v>2236</v>
      </c>
      <c r="F347" s="57" t="s">
        <v>663</v>
      </c>
      <c r="G347" s="57" t="s">
        <v>2237</v>
      </c>
      <c r="H347" s="57" t="s">
        <v>2239</v>
      </c>
      <c r="I347" s="57" t="s">
        <v>2238</v>
      </c>
      <c r="J347" s="57" t="s">
        <v>376</v>
      </c>
      <c r="K347" s="57" t="s">
        <v>591</v>
      </c>
      <c r="L347" s="5" t="s">
        <v>1482</v>
      </c>
      <c r="M347" s="22">
        <v>1</v>
      </c>
      <c r="N347" s="46">
        <v>26786</v>
      </c>
      <c r="O347" s="49">
        <f t="shared" si="7"/>
        <v>26786</v>
      </c>
      <c r="P347" s="5" t="s">
        <v>393</v>
      </c>
      <c r="Q347" s="5" t="s">
        <v>394</v>
      </c>
      <c r="R347" s="11">
        <v>431000000</v>
      </c>
      <c r="S347" s="22">
        <v>100</v>
      </c>
    </row>
    <row r="348" spans="1:19" ht="51">
      <c r="A348" s="5">
        <v>333</v>
      </c>
      <c r="B348" s="29" t="s">
        <v>710</v>
      </c>
      <c r="C348" s="30" t="s">
        <v>711</v>
      </c>
      <c r="D348" s="5" t="s">
        <v>412</v>
      </c>
      <c r="E348" s="57" t="s">
        <v>835</v>
      </c>
      <c r="F348" s="57" t="s">
        <v>377</v>
      </c>
      <c r="G348" s="57" t="s">
        <v>836</v>
      </c>
      <c r="H348" s="57" t="s">
        <v>413</v>
      </c>
      <c r="I348" s="57" t="s">
        <v>2296</v>
      </c>
      <c r="J348" s="57" t="s">
        <v>377</v>
      </c>
      <c r="K348" s="57" t="s">
        <v>591</v>
      </c>
      <c r="L348" s="31" t="s">
        <v>644</v>
      </c>
      <c r="M348" s="22">
        <v>1</v>
      </c>
      <c r="N348" s="46">
        <v>26786</v>
      </c>
      <c r="O348" s="49">
        <f t="shared" si="7"/>
        <v>26786</v>
      </c>
      <c r="P348" s="5" t="s">
        <v>393</v>
      </c>
      <c r="Q348" s="5" t="s">
        <v>766</v>
      </c>
      <c r="R348" s="11">
        <v>431000000</v>
      </c>
      <c r="S348" s="22">
        <v>100</v>
      </c>
    </row>
    <row r="349" spans="1:19" ht="140.25">
      <c r="A349" s="5">
        <v>334</v>
      </c>
      <c r="B349" s="29" t="s">
        <v>710</v>
      </c>
      <c r="C349" s="30" t="s">
        <v>711</v>
      </c>
      <c r="D349" s="5" t="s">
        <v>414</v>
      </c>
      <c r="E349" s="57" t="s">
        <v>2184</v>
      </c>
      <c r="F349" s="57" t="s">
        <v>13</v>
      </c>
      <c r="G349" s="57" t="s">
        <v>2186</v>
      </c>
      <c r="H349" s="57" t="s">
        <v>415</v>
      </c>
      <c r="I349" s="57" t="s">
        <v>2184</v>
      </c>
      <c r="J349" s="57" t="s">
        <v>13</v>
      </c>
      <c r="K349" s="57" t="s">
        <v>591</v>
      </c>
      <c r="L349" s="31" t="s">
        <v>644</v>
      </c>
      <c r="M349" s="22">
        <v>3</v>
      </c>
      <c r="N349" s="46">
        <v>6667</v>
      </c>
      <c r="O349" s="49">
        <f t="shared" si="7"/>
        <v>20001</v>
      </c>
      <c r="P349" s="5" t="s">
        <v>393</v>
      </c>
      <c r="Q349" s="5" t="s">
        <v>394</v>
      </c>
      <c r="R349" s="11">
        <v>431000000</v>
      </c>
      <c r="S349" s="22">
        <v>100</v>
      </c>
    </row>
    <row r="350" spans="1:19" ht="25.5">
      <c r="A350" s="5">
        <v>335</v>
      </c>
      <c r="B350" s="29" t="s">
        <v>710</v>
      </c>
      <c r="C350" s="30" t="s">
        <v>711</v>
      </c>
      <c r="D350" s="5" t="s">
        <v>416</v>
      </c>
      <c r="E350" s="57" t="s">
        <v>2223</v>
      </c>
      <c r="F350" s="57" t="s">
        <v>417</v>
      </c>
      <c r="G350" s="57" t="s">
        <v>2224</v>
      </c>
      <c r="H350" s="57" t="s">
        <v>418</v>
      </c>
      <c r="I350" s="57" t="s">
        <v>2223</v>
      </c>
      <c r="J350" s="57" t="s">
        <v>379</v>
      </c>
      <c r="K350" s="57" t="s">
        <v>591</v>
      </c>
      <c r="L350" s="31" t="s">
        <v>644</v>
      </c>
      <c r="M350" s="22">
        <v>1</v>
      </c>
      <c r="N350" s="46">
        <v>16071</v>
      </c>
      <c r="O350" s="49">
        <f t="shared" si="7"/>
        <v>16071</v>
      </c>
      <c r="P350" s="5" t="s">
        <v>393</v>
      </c>
      <c r="Q350" s="5" t="s">
        <v>394</v>
      </c>
      <c r="R350" s="11">
        <v>431000000</v>
      </c>
      <c r="S350" s="22">
        <v>100</v>
      </c>
    </row>
    <row r="351" spans="1:19" ht="51">
      <c r="A351" s="5">
        <v>336</v>
      </c>
      <c r="B351" s="15" t="s">
        <v>710</v>
      </c>
      <c r="C351" s="30" t="s">
        <v>711</v>
      </c>
      <c r="D351" s="5" t="s">
        <v>1006</v>
      </c>
      <c r="E351" s="57" t="s">
        <v>2078</v>
      </c>
      <c r="F351" s="57" t="s">
        <v>1007</v>
      </c>
      <c r="G351" s="57" t="s">
        <v>2079</v>
      </c>
      <c r="H351" s="57" t="s">
        <v>1008</v>
      </c>
      <c r="I351" s="57" t="s">
        <v>2078</v>
      </c>
      <c r="J351" s="57" t="s">
        <v>380</v>
      </c>
      <c r="K351" s="57" t="s">
        <v>591</v>
      </c>
      <c r="L351" s="31" t="s">
        <v>644</v>
      </c>
      <c r="M351" s="22">
        <v>1</v>
      </c>
      <c r="N351" s="46">
        <v>1786</v>
      </c>
      <c r="O351" s="49">
        <f t="shared" si="7"/>
        <v>1786</v>
      </c>
      <c r="P351" s="5" t="s">
        <v>393</v>
      </c>
      <c r="Q351" s="5" t="s">
        <v>394</v>
      </c>
      <c r="R351" s="11">
        <v>431000000</v>
      </c>
      <c r="S351" s="22">
        <v>100</v>
      </c>
    </row>
    <row r="352" spans="1:19" s="32" customFormat="1" ht="56.25" customHeight="1">
      <c r="A352" s="5">
        <v>337</v>
      </c>
      <c r="B352" s="29" t="s">
        <v>710</v>
      </c>
      <c r="C352" s="30" t="s">
        <v>711</v>
      </c>
      <c r="D352" s="5" t="s">
        <v>803</v>
      </c>
      <c r="E352" s="57" t="s">
        <v>804</v>
      </c>
      <c r="F352" s="57" t="s">
        <v>364</v>
      </c>
      <c r="G352" s="57" t="s">
        <v>805</v>
      </c>
      <c r="H352" s="57" t="s">
        <v>806</v>
      </c>
      <c r="I352" s="57" t="s">
        <v>804</v>
      </c>
      <c r="J352" s="57" t="s">
        <v>364</v>
      </c>
      <c r="K352" s="57" t="s">
        <v>591</v>
      </c>
      <c r="L352" s="31" t="s">
        <v>644</v>
      </c>
      <c r="M352" s="22">
        <v>5</v>
      </c>
      <c r="N352" s="46">
        <v>313</v>
      </c>
      <c r="O352" s="49">
        <f t="shared" si="7"/>
        <v>1565</v>
      </c>
      <c r="P352" s="5" t="s">
        <v>391</v>
      </c>
      <c r="Q352" s="5" t="s">
        <v>391</v>
      </c>
      <c r="R352" s="11">
        <v>551000000</v>
      </c>
      <c r="S352" s="22">
        <v>100</v>
      </c>
    </row>
    <row r="353" spans="1:19" s="32" customFormat="1" ht="25.5">
      <c r="A353" s="5">
        <v>338</v>
      </c>
      <c r="B353" s="15" t="s">
        <v>710</v>
      </c>
      <c r="C353" s="30" t="s">
        <v>711</v>
      </c>
      <c r="D353" s="11" t="s">
        <v>807</v>
      </c>
      <c r="E353" s="57" t="s">
        <v>1596</v>
      </c>
      <c r="F353" s="57" t="s">
        <v>2377</v>
      </c>
      <c r="G353" s="57" t="s">
        <v>1597</v>
      </c>
      <c r="H353" s="57" t="s">
        <v>808</v>
      </c>
      <c r="I353" s="57" t="s">
        <v>1598</v>
      </c>
      <c r="J353" s="57" t="s">
        <v>5</v>
      </c>
      <c r="K353" s="57" t="s">
        <v>591</v>
      </c>
      <c r="L353" s="31" t="s">
        <v>644</v>
      </c>
      <c r="M353" s="22">
        <v>2</v>
      </c>
      <c r="N353" s="46">
        <v>714</v>
      </c>
      <c r="O353" s="49">
        <f t="shared" si="7"/>
        <v>1428</v>
      </c>
      <c r="P353" s="5" t="s">
        <v>391</v>
      </c>
      <c r="Q353" s="5" t="s">
        <v>391</v>
      </c>
      <c r="R353" s="11">
        <v>551000000</v>
      </c>
      <c r="S353" s="22">
        <v>100</v>
      </c>
    </row>
    <row r="354" spans="1:19" s="32" customFormat="1" ht="25.5">
      <c r="A354" s="5">
        <v>339</v>
      </c>
      <c r="B354" s="29" t="s">
        <v>710</v>
      </c>
      <c r="C354" s="30" t="s">
        <v>711</v>
      </c>
      <c r="D354" s="11" t="s">
        <v>952</v>
      </c>
      <c r="E354" s="57" t="s">
        <v>2170</v>
      </c>
      <c r="F354" s="57" t="s">
        <v>953</v>
      </c>
      <c r="G354" s="57" t="s">
        <v>2170</v>
      </c>
      <c r="H354" s="57" t="s">
        <v>953</v>
      </c>
      <c r="I354" s="57" t="s">
        <v>6</v>
      </c>
      <c r="J354" s="57" t="s">
        <v>6</v>
      </c>
      <c r="K354" s="57" t="s">
        <v>591</v>
      </c>
      <c r="L354" s="31" t="s">
        <v>644</v>
      </c>
      <c r="M354" s="22">
        <v>4</v>
      </c>
      <c r="N354" s="46">
        <v>3125</v>
      </c>
      <c r="O354" s="49">
        <f t="shared" si="7"/>
        <v>12500</v>
      </c>
      <c r="P354" s="5" t="s">
        <v>391</v>
      </c>
      <c r="Q354" s="5" t="s">
        <v>391</v>
      </c>
      <c r="R354" s="11">
        <v>551000000</v>
      </c>
      <c r="S354" s="22">
        <v>100</v>
      </c>
    </row>
    <row r="355" spans="1:19" s="32" customFormat="1" ht="25.5">
      <c r="A355" s="5">
        <v>340</v>
      </c>
      <c r="B355" s="29" t="s">
        <v>710</v>
      </c>
      <c r="C355" s="30" t="s">
        <v>711</v>
      </c>
      <c r="D355" s="5" t="s">
        <v>634</v>
      </c>
      <c r="E355" s="57" t="s">
        <v>813</v>
      </c>
      <c r="F355" s="57" t="s">
        <v>365</v>
      </c>
      <c r="G355" s="57" t="s">
        <v>814</v>
      </c>
      <c r="H355" s="57" t="s">
        <v>635</v>
      </c>
      <c r="I355" s="57" t="s">
        <v>813</v>
      </c>
      <c r="J355" s="57" t="s">
        <v>365</v>
      </c>
      <c r="K355" s="57" t="s">
        <v>591</v>
      </c>
      <c r="L355" s="31" t="s">
        <v>644</v>
      </c>
      <c r="M355" s="22">
        <v>2</v>
      </c>
      <c r="N355" s="46">
        <v>223</v>
      </c>
      <c r="O355" s="49">
        <f t="shared" si="7"/>
        <v>446</v>
      </c>
      <c r="P355" s="5" t="s">
        <v>391</v>
      </c>
      <c r="Q355" s="5" t="s">
        <v>391</v>
      </c>
      <c r="R355" s="11">
        <v>551000000</v>
      </c>
      <c r="S355" s="22">
        <v>100</v>
      </c>
    </row>
    <row r="356" spans="1:19" s="32" customFormat="1" ht="76.5">
      <c r="A356" s="5">
        <v>341</v>
      </c>
      <c r="B356" s="15" t="s">
        <v>710</v>
      </c>
      <c r="C356" s="30" t="s">
        <v>711</v>
      </c>
      <c r="D356" s="5" t="s">
        <v>954</v>
      </c>
      <c r="E356" s="57" t="s">
        <v>1003</v>
      </c>
      <c r="F356" s="57" t="s">
        <v>366</v>
      </c>
      <c r="G356" s="57" t="s">
        <v>2171</v>
      </c>
      <c r="H356" s="57" t="s">
        <v>955</v>
      </c>
      <c r="I356" s="57" t="s">
        <v>1003</v>
      </c>
      <c r="J356" s="57" t="s">
        <v>366</v>
      </c>
      <c r="K356" s="57" t="s">
        <v>591</v>
      </c>
      <c r="L356" s="31" t="s">
        <v>644</v>
      </c>
      <c r="M356" s="22">
        <v>2</v>
      </c>
      <c r="N356" s="46">
        <v>313</v>
      </c>
      <c r="O356" s="49">
        <f t="shared" si="7"/>
        <v>626</v>
      </c>
      <c r="P356" s="5" t="s">
        <v>391</v>
      </c>
      <c r="Q356" s="5" t="s">
        <v>391</v>
      </c>
      <c r="R356" s="11">
        <v>551000000</v>
      </c>
      <c r="S356" s="22">
        <v>100</v>
      </c>
    </row>
    <row r="357" spans="1:19" s="32" customFormat="1" ht="102">
      <c r="A357" s="5">
        <v>342</v>
      </c>
      <c r="B357" s="29" t="s">
        <v>710</v>
      </c>
      <c r="C357" s="30" t="s">
        <v>711</v>
      </c>
      <c r="D357" s="5" t="s">
        <v>636</v>
      </c>
      <c r="E357" s="57" t="s">
        <v>815</v>
      </c>
      <c r="F357" s="57" t="s">
        <v>367</v>
      </c>
      <c r="G357" s="57" t="s">
        <v>816</v>
      </c>
      <c r="H357" s="57" t="s">
        <v>637</v>
      </c>
      <c r="I357" s="57" t="s">
        <v>815</v>
      </c>
      <c r="J357" s="57" t="s">
        <v>367</v>
      </c>
      <c r="K357" s="57" t="s">
        <v>591</v>
      </c>
      <c r="L357" s="31" t="s">
        <v>644</v>
      </c>
      <c r="M357" s="22">
        <v>1</v>
      </c>
      <c r="N357" s="46">
        <v>14286</v>
      </c>
      <c r="O357" s="49">
        <f t="shared" si="7"/>
        <v>14286</v>
      </c>
      <c r="P357" s="5" t="s">
        <v>391</v>
      </c>
      <c r="Q357" s="5" t="s">
        <v>391</v>
      </c>
      <c r="R357" s="11">
        <v>551000000</v>
      </c>
      <c r="S357" s="22">
        <v>100</v>
      </c>
    </row>
    <row r="358" spans="1:19" s="32" customFormat="1" ht="25.5">
      <c r="A358" s="5">
        <v>343</v>
      </c>
      <c r="B358" s="29" t="s">
        <v>710</v>
      </c>
      <c r="C358" s="30" t="s">
        <v>711</v>
      </c>
      <c r="D358" s="5" t="s">
        <v>639</v>
      </c>
      <c r="E358" s="57" t="s">
        <v>2172</v>
      </c>
      <c r="F358" s="57" t="s">
        <v>368</v>
      </c>
      <c r="G358" s="57" t="s">
        <v>817</v>
      </c>
      <c r="H358" s="57" t="s">
        <v>640</v>
      </c>
      <c r="I358" s="57" t="s">
        <v>2172</v>
      </c>
      <c r="J358" s="57" t="s">
        <v>368</v>
      </c>
      <c r="K358" s="57" t="s">
        <v>591</v>
      </c>
      <c r="L358" s="31" t="s">
        <v>644</v>
      </c>
      <c r="M358" s="22">
        <v>1</v>
      </c>
      <c r="N358" s="46">
        <v>1786</v>
      </c>
      <c r="O358" s="49">
        <f t="shared" si="7"/>
        <v>1786</v>
      </c>
      <c r="P358" s="5" t="s">
        <v>391</v>
      </c>
      <c r="Q358" s="5" t="s">
        <v>391</v>
      </c>
      <c r="R358" s="11">
        <v>551000000</v>
      </c>
      <c r="S358" s="22">
        <v>100</v>
      </c>
    </row>
    <row r="359" spans="1:19" s="32" customFormat="1" ht="25.5">
      <c r="A359" s="5">
        <v>344</v>
      </c>
      <c r="B359" s="29" t="s">
        <v>710</v>
      </c>
      <c r="C359" s="30" t="s">
        <v>711</v>
      </c>
      <c r="D359" s="5" t="s">
        <v>887</v>
      </c>
      <c r="E359" s="57" t="s">
        <v>818</v>
      </c>
      <c r="F359" s="57" t="s">
        <v>369</v>
      </c>
      <c r="G359" s="57" t="s">
        <v>888</v>
      </c>
      <c r="H359" s="57" t="s">
        <v>888</v>
      </c>
      <c r="I359" s="57" t="s">
        <v>818</v>
      </c>
      <c r="J359" s="57" t="s">
        <v>369</v>
      </c>
      <c r="K359" s="57" t="s">
        <v>591</v>
      </c>
      <c r="L359" s="5" t="s">
        <v>669</v>
      </c>
      <c r="M359" s="22">
        <v>5</v>
      </c>
      <c r="N359" s="46">
        <v>156</v>
      </c>
      <c r="O359" s="49">
        <f t="shared" si="7"/>
        <v>780</v>
      </c>
      <c r="P359" s="5" t="s">
        <v>391</v>
      </c>
      <c r="Q359" s="5" t="s">
        <v>391</v>
      </c>
      <c r="R359" s="11">
        <v>551000000</v>
      </c>
      <c r="S359" s="22">
        <v>100</v>
      </c>
    </row>
    <row r="360" spans="1:19" s="32" customFormat="1" ht="114.75">
      <c r="A360" s="5">
        <v>345</v>
      </c>
      <c r="B360" s="15" t="s">
        <v>710</v>
      </c>
      <c r="C360" s="30" t="s">
        <v>711</v>
      </c>
      <c r="D360" s="5" t="s">
        <v>1079</v>
      </c>
      <c r="E360" s="57" t="s">
        <v>370</v>
      </c>
      <c r="F360" s="57" t="s">
        <v>370</v>
      </c>
      <c r="G360" s="57" t="s">
        <v>1623</v>
      </c>
      <c r="H360" s="57" t="s">
        <v>1080</v>
      </c>
      <c r="I360" s="57" t="s">
        <v>192</v>
      </c>
      <c r="J360" s="57" t="s">
        <v>370</v>
      </c>
      <c r="K360" s="57" t="s">
        <v>591</v>
      </c>
      <c r="L360" s="5" t="s">
        <v>651</v>
      </c>
      <c r="M360" s="22">
        <v>50</v>
      </c>
      <c r="N360" s="46">
        <v>179</v>
      </c>
      <c r="O360" s="49">
        <f t="shared" si="7"/>
        <v>8950</v>
      </c>
      <c r="P360" s="5" t="s">
        <v>391</v>
      </c>
      <c r="Q360" s="5" t="s">
        <v>391</v>
      </c>
      <c r="R360" s="11">
        <v>551000000</v>
      </c>
      <c r="S360" s="22">
        <v>100</v>
      </c>
    </row>
    <row r="361" spans="1:19" s="32" customFormat="1" ht="89.25">
      <c r="A361" s="5">
        <v>346</v>
      </c>
      <c r="B361" s="29" t="s">
        <v>710</v>
      </c>
      <c r="C361" s="30" t="s">
        <v>711</v>
      </c>
      <c r="D361" s="5" t="s">
        <v>645</v>
      </c>
      <c r="E361" s="57" t="s">
        <v>820</v>
      </c>
      <c r="F361" s="57" t="s">
        <v>10</v>
      </c>
      <c r="G361" s="57" t="s">
        <v>821</v>
      </c>
      <c r="H361" s="57" t="s">
        <v>646</v>
      </c>
      <c r="I361" s="57" t="s">
        <v>820</v>
      </c>
      <c r="J361" s="57" t="s">
        <v>10</v>
      </c>
      <c r="K361" s="57" t="s">
        <v>591</v>
      </c>
      <c r="L361" s="31" t="s">
        <v>644</v>
      </c>
      <c r="M361" s="22">
        <v>2</v>
      </c>
      <c r="N361" s="46">
        <v>1339</v>
      </c>
      <c r="O361" s="49">
        <f t="shared" si="7"/>
        <v>2678</v>
      </c>
      <c r="P361" s="5" t="s">
        <v>391</v>
      </c>
      <c r="Q361" s="5" t="s">
        <v>391</v>
      </c>
      <c r="R361" s="11">
        <v>551000000</v>
      </c>
      <c r="S361" s="22">
        <v>100</v>
      </c>
    </row>
    <row r="362" spans="1:19" s="32" customFormat="1" ht="38.25">
      <c r="A362" s="5">
        <v>347</v>
      </c>
      <c r="B362" s="15" t="s">
        <v>710</v>
      </c>
      <c r="C362" s="30" t="s">
        <v>711</v>
      </c>
      <c r="D362" s="5" t="s">
        <v>889</v>
      </c>
      <c r="E362" s="57" t="s">
        <v>2177</v>
      </c>
      <c r="F362" s="57" t="s">
        <v>198</v>
      </c>
      <c r="G362" s="57" t="s">
        <v>2178</v>
      </c>
      <c r="H362" s="57" t="s">
        <v>1376</v>
      </c>
      <c r="I362" s="57" t="s">
        <v>2177</v>
      </c>
      <c r="J362" s="57" t="s">
        <v>198</v>
      </c>
      <c r="K362" s="57" t="s">
        <v>591</v>
      </c>
      <c r="L362" s="31" t="s">
        <v>644</v>
      </c>
      <c r="M362" s="22">
        <v>4</v>
      </c>
      <c r="N362" s="46">
        <v>2232</v>
      </c>
      <c r="O362" s="49">
        <f t="shared" si="7"/>
        <v>8928</v>
      </c>
      <c r="P362" s="5" t="s">
        <v>391</v>
      </c>
      <c r="Q362" s="5" t="s">
        <v>391</v>
      </c>
      <c r="R362" s="11">
        <v>551000000</v>
      </c>
      <c r="S362" s="22">
        <v>100</v>
      </c>
    </row>
    <row r="363" spans="1:19" s="32" customFormat="1" ht="38.25">
      <c r="A363" s="5">
        <v>348</v>
      </c>
      <c r="B363" s="15" t="s">
        <v>710</v>
      </c>
      <c r="C363" s="30" t="s">
        <v>711</v>
      </c>
      <c r="D363" s="5" t="s">
        <v>649</v>
      </c>
      <c r="E363" s="57" t="s">
        <v>1627</v>
      </c>
      <c r="F363" s="57" t="s">
        <v>371</v>
      </c>
      <c r="G363" s="57" t="s">
        <v>1629</v>
      </c>
      <c r="H363" s="57" t="s">
        <v>650</v>
      </c>
      <c r="I363" s="57" t="s">
        <v>1627</v>
      </c>
      <c r="J363" s="57" t="s">
        <v>371</v>
      </c>
      <c r="K363" s="57" t="s">
        <v>591</v>
      </c>
      <c r="L363" s="5" t="s">
        <v>651</v>
      </c>
      <c r="M363" s="22">
        <v>2</v>
      </c>
      <c r="N363" s="46">
        <v>446</v>
      </c>
      <c r="O363" s="49">
        <f t="shared" si="7"/>
        <v>892</v>
      </c>
      <c r="P363" s="5" t="s">
        <v>391</v>
      </c>
      <c r="Q363" s="5" t="s">
        <v>391</v>
      </c>
      <c r="R363" s="11">
        <v>551000000</v>
      </c>
      <c r="S363" s="22">
        <v>100</v>
      </c>
    </row>
    <row r="364" spans="1:19" s="32" customFormat="1" ht="38.25">
      <c r="A364" s="5">
        <v>349</v>
      </c>
      <c r="B364" s="29" t="s">
        <v>710</v>
      </c>
      <c r="C364" s="30" t="s">
        <v>711</v>
      </c>
      <c r="D364" s="5" t="s">
        <v>652</v>
      </c>
      <c r="E364" s="57" t="s">
        <v>1631</v>
      </c>
      <c r="F364" s="57" t="s">
        <v>653</v>
      </c>
      <c r="G364" s="57" t="s">
        <v>1632</v>
      </c>
      <c r="H364" s="57" t="s">
        <v>654</v>
      </c>
      <c r="I364" s="57" t="s">
        <v>1631</v>
      </c>
      <c r="J364" s="57" t="s">
        <v>372</v>
      </c>
      <c r="K364" s="57" t="s">
        <v>591</v>
      </c>
      <c r="L364" s="31" t="s">
        <v>644</v>
      </c>
      <c r="M364" s="22">
        <v>120</v>
      </c>
      <c r="N364" s="46">
        <v>179</v>
      </c>
      <c r="O364" s="49">
        <f t="shared" si="7"/>
        <v>21480</v>
      </c>
      <c r="P364" s="5" t="s">
        <v>391</v>
      </c>
      <c r="Q364" s="5" t="s">
        <v>391</v>
      </c>
      <c r="R364" s="11">
        <v>551000000</v>
      </c>
      <c r="S364" s="22">
        <v>100</v>
      </c>
    </row>
    <row r="365" spans="1:19" s="32" customFormat="1" ht="25.5">
      <c r="A365" s="5">
        <v>350</v>
      </c>
      <c r="B365" s="15" t="s">
        <v>710</v>
      </c>
      <c r="C365" s="30" t="s">
        <v>711</v>
      </c>
      <c r="D365" s="5" t="s">
        <v>890</v>
      </c>
      <c r="E365" s="57" t="s">
        <v>11</v>
      </c>
      <c r="F365" s="57" t="s">
        <v>11</v>
      </c>
      <c r="G365" s="57" t="s">
        <v>891</v>
      </c>
      <c r="H365" s="57" t="s">
        <v>891</v>
      </c>
      <c r="I365" s="57" t="s">
        <v>11</v>
      </c>
      <c r="J365" s="57" t="s">
        <v>11</v>
      </c>
      <c r="K365" s="57" t="s">
        <v>591</v>
      </c>
      <c r="L365" s="5" t="s">
        <v>1481</v>
      </c>
      <c r="M365" s="22">
        <v>25</v>
      </c>
      <c r="N365" s="46">
        <v>313</v>
      </c>
      <c r="O365" s="49">
        <f t="shared" si="7"/>
        <v>7825</v>
      </c>
      <c r="P365" s="5" t="s">
        <v>391</v>
      </c>
      <c r="Q365" s="5" t="s">
        <v>391</v>
      </c>
      <c r="R365" s="11">
        <v>551000000</v>
      </c>
      <c r="S365" s="22">
        <v>100</v>
      </c>
    </row>
    <row r="366" spans="1:19" s="32" customFormat="1" ht="102">
      <c r="A366" s="5">
        <v>351</v>
      </c>
      <c r="B366" s="29" t="s">
        <v>710</v>
      </c>
      <c r="C366" s="30" t="s">
        <v>711</v>
      </c>
      <c r="D366" s="5" t="s">
        <v>656</v>
      </c>
      <c r="E366" s="57" t="s">
        <v>767</v>
      </c>
      <c r="F366" s="57" t="s">
        <v>18</v>
      </c>
      <c r="G366" s="57" t="s">
        <v>2192</v>
      </c>
      <c r="H366" s="57" t="s">
        <v>1029</v>
      </c>
      <c r="I366" s="57" t="s">
        <v>767</v>
      </c>
      <c r="J366" s="57" t="s">
        <v>373</v>
      </c>
      <c r="K366" s="57" t="s">
        <v>591</v>
      </c>
      <c r="L366" s="5" t="s">
        <v>480</v>
      </c>
      <c r="M366" s="22">
        <v>2</v>
      </c>
      <c r="N366" s="46">
        <v>714</v>
      </c>
      <c r="O366" s="49">
        <f t="shared" si="7"/>
        <v>1428</v>
      </c>
      <c r="P366" s="5" t="s">
        <v>391</v>
      </c>
      <c r="Q366" s="5" t="s">
        <v>391</v>
      </c>
      <c r="R366" s="11">
        <v>551000000</v>
      </c>
      <c r="S366" s="22">
        <v>100</v>
      </c>
    </row>
    <row r="367" spans="1:19" s="32" customFormat="1" ht="38.25">
      <c r="A367" s="5">
        <v>352</v>
      </c>
      <c r="B367" s="29" t="s">
        <v>710</v>
      </c>
      <c r="C367" s="30" t="s">
        <v>711</v>
      </c>
      <c r="D367" s="5" t="s">
        <v>658</v>
      </c>
      <c r="E367" s="57" t="s">
        <v>374</v>
      </c>
      <c r="F367" s="57" t="s">
        <v>374</v>
      </c>
      <c r="G367" s="57" t="s">
        <v>2287</v>
      </c>
      <c r="H367" s="57" t="s">
        <v>892</v>
      </c>
      <c r="I367" s="57" t="s">
        <v>374</v>
      </c>
      <c r="J367" s="57" t="s">
        <v>197</v>
      </c>
      <c r="K367" s="57" t="s">
        <v>591</v>
      </c>
      <c r="L367" s="31" t="s">
        <v>644</v>
      </c>
      <c r="M367" s="22">
        <v>25</v>
      </c>
      <c r="N367" s="46">
        <v>67</v>
      </c>
      <c r="O367" s="49">
        <f t="shared" si="7"/>
        <v>1675</v>
      </c>
      <c r="P367" s="5" t="s">
        <v>391</v>
      </c>
      <c r="Q367" s="5" t="s">
        <v>391</v>
      </c>
      <c r="R367" s="11">
        <v>551000000</v>
      </c>
      <c r="S367" s="22">
        <v>100</v>
      </c>
    </row>
    <row r="368" spans="1:19" s="32" customFormat="1" ht="38.25">
      <c r="A368" s="5">
        <v>353</v>
      </c>
      <c r="B368" s="29" t="s">
        <v>710</v>
      </c>
      <c r="C368" s="30" t="s">
        <v>711</v>
      </c>
      <c r="D368" s="5" t="s">
        <v>660</v>
      </c>
      <c r="E368" s="57" t="s">
        <v>832</v>
      </c>
      <c r="F368" s="57" t="s">
        <v>12</v>
      </c>
      <c r="G368" s="57" t="s">
        <v>1639</v>
      </c>
      <c r="H368" s="57" t="s">
        <v>661</v>
      </c>
      <c r="I368" s="57" t="s">
        <v>832</v>
      </c>
      <c r="J368" s="57" t="s">
        <v>12</v>
      </c>
      <c r="K368" s="57" t="s">
        <v>591</v>
      </c>
      <c r="L368" s="31" t="s">
        <v>644</v>
      </c>
      <c r="M368" s="22">
        <v>5</v>
      </c>
      <c r="N368" s="46">
        <v>1339</v>
      </c>
      <c r="O368" s="49">
        <f t="shared" si="7"/>
        <v>6695</v>
      </c>
      <c r="P368" s="5" t="s">
        <v>391</v>
      </c>
      <c r="Q368" s="5" t="s">
        <v>391</v>
      </c>
      <c r="R368" s="11">
        <v>551000000</v>
      </c>
      <c r="S368" s="22">
        <v>100</v>
      </c>
    </row>
    <row r="369" spans="1:19" s="32" customFormat="1" ht="25.5">
      <c r="A369" s="5">
        <v>354</v>
      </c>
      <c r="B369" s="29" t="s">
        <v>710</v>
      </c>
      <c r="C369" s="30" t="s">
        <v>711</v>
      </c>
      <c r="D369" s="5" t="s">
        <v>410</v>
      </c>
      <c r="E369" s="57" t="s">
        <v>833</v>
      </c>
      <c r="F369" s="57" t="s">
        <v>375</v>
      </c>
      <c r="G369" s="57" t="s">
        <v>2272</v>
      </c>
      <c r="H369" s="57" t="s">
        <v>411</v>
      </c>
      <c r="I369" s="57" t="s">
        <v>2272</v>
      </c>
      <c r="J369" s="57" t="s">
        <v>375</v>
      </c>
      <c r="K369" s="57" t="s">
        <v>591</v>
      </c>
      <c r="L369" s="31" t="s">
        <v>644</v>
      </c>
      <c r="M369" s="22">
        <v>5</v>
      </c>
      <c r="N369" s="46">
        <v>1071</v>
      </c>
      <c r="O369" s="49">
        <f t="shared" si="7"/>
        <v>5355</v>
      </c>
      <c r="P369" s="5" t="s">
        <v>391</v>
      </c>
      <c r="Q369" s="5" t="s">
        <v>391</v>
      </c>
      <c r="R369" s="11">
        <v>551000000</v>
      </c>
      <c r="S369" s="22">
        <v>100</v>
      </c>
    </row>
    <row r="370" spans="1:19" s="32" customFormat="1" ht="25.5">
      <c r="A370" s="5">
        <v>355</v>
      </c>
      <c r="B370" s="29" t="s">
        <v>710</v>
      </c>
      <c r="C370" s="30" t="s">
        <v>711</v>
      </c>
      <c r="D370" s="5" t="s">
        <v>662</v>
      </c>
      <c r="E370" s="57" t="s">
        <v>2236</v>
      </c>
      <c r="F370" s="57" t="s">
        <v>663</v>
      </c>
      <c r="G370" s="57" t="s">
        <v>2237</v>
      </c>
      <c r="H370" s="57" t="s">
        <v>2239</v>
      </c>
      <c r="I370" s="57" t="s">
        <v>2238</v>
      </c>
      <c r="J370" s="57" t="s">
        <v>376</v>
      </c>
      <c r="K370" s="57" t="s">
        <v>591</v>
      </c>
      <c r="L370" s="5" t="s">
        <v>1482</v>
      </c>
      <c r="M370" s="22">
        <v>1</v>
      </c>
      <c r="N370" s="46">
        <v>26786</v>
      </c>
      <c r="O370" s="49">
        <f t="shared" si="7"/>
        <v>26786</v>
      </c>
      <c r="P370" s="5" t="s">
        <v>391</v>
      </c>
      <c r="Q370" s="5" t="s">
        <v>391</v>
      </c>
      <c r="R370" s="11">
        <v>551000000</v>
      </c>
      <c r="S370" s="22">
        <v>100</v>
      </c>
    </row>
    <row r="371" spans="1:19" s="32" customFormat="1" ht="25.5">
      <c r="A371" s="5">
        <v>356</v>
      </c>
      <c r="B371" s="29" t="s">
        <v>710</v>
      </c>
      <c r="C371" s="30" t="s">
        <v>711</v>
      </c>
      <c r="D371" s="5" t="s">
        <v>666</v>
      </c>
      <c r="E371" s="57" t="s">
        <v>2293</v>
      </c>
      <c r="F371" s="57" t="s">
        <v>665</v>
      </c>
      <c r="G371" s="57" t="s">
        <v>2342</v>
      </c>
      <c r="H371" s="57" t="s">
        <v>893</v>
      </c>
      <c r="I371" s="57" t="s">
        <v>2292</v>
      </c>
      <c r="J371" s="57" t="s">
        <v>378</v>
      </c>
      <c r="K371" s="57" t="s">
        <v>591</v>
      </c>
      <c r="L371" s="31" t="s">
        <v>644</v>
      </c>
      <c r="M371" s="22">
        <v>1</v>
      </c>
      <c r="N371" s="46">
        <v>16071</v>
      </c>
      <c r="O371" s="49">
        <f t="shared" si="7"/>
        <v>16071</v>
      </c>
      <c r="P371" s="5" t="s">
        <v>515</v>
      </c>
      <c r="Q371" s="5" t="s">
        <v>612</v>
      </c>
      <c r="R371" s="11">
        <v>551000000</v>
      </c>
      <c r="S371" s="22">
        <v>100</v>
      </c>
    </row>
    <row r="372" spans="1:19" s="32" customFormat="1" ht="25.5">
      <c r="A372" s="5">
        <v>357</v>
      </c>
      <c r="B372" s="29" t="s">
        <v>710</v>
      </c>
      <c r="C372" s="30" t="s">
        <v>711</v>
      </c>
      <c r="D372" s="5" t="s">
        <v>667</v>
      </c>
      <c r="E372" s="57" t="s">
        <v>2184</v>
      </c>
      <c r="F372" s="57" t="s">
        <v>13</v>
      </c>
      <c r="G372" s="57" t="s">
        <v>2185</v>
      </c>
      <c r="H372" s="57" t="s">
        <v>668</v>
      </c>
      <c r="I372" s="57" t="s">
        <v>2184</v>
      </c>
      <c r="J372" s="57" t="s">
        <v>13</v>
      </c>
      <c r="K372" s="57" t="s">
        <v>591</v>
      </c>
      <c r="L372" s="31" t="s">
        <v>644</v>
      </c>
      <c r="M372" s="22">
        <v>3</v>
      </c>
      <c r="N372" s="46">
        <v>2679</v>
      </c>
      <c r="O372" s="49">
        <f t="shared" si="7"/>
        <v>8037</v>
      </c>
      <c r="P372" s="5" t="s">
        <v>391</v>
      </c>
      <c r="Q372" s="5" t="s">
        <v>391</v>
      </c>
      <c r="R372" s="11">
        <v>551000000</v>
      </c>
      <c r="S372" s="22">
        <v>100</v>
      </c>
    </row>
    <row r="373" spans="1:19" s="32" customFormat="1" ht="25.5">
      <c r="A373" s="5">
        <v>358</v>
      </c>
      <c r="B373" s="29" t="s">
        <v>710</v>
      </c>
      <c r="C373" s="30" t="s">
        <v>711</v>
      </c>
      <c r="D373" s="5" t="s">
        <v>416</v>
      </c>
      <c r="E373" s="57" t="s">
        <v>2223</v>
      </c>
      <c r="F373" s="57" t="s">
        <v>417</v>
      </c>
      <c r="G373" s="57" t="s">
        <v>2224</v>
      </c>
      <c r="H373" s="57" t="s">
        <v>418</v>
      </c>
      <c r="I373" s="57" t="s">
        <v>2223</v>
      </c>
      <c r="J373" s="57" t="s">
        <v>379</v>
      </c>
      <c r="K373" s="57" t="s">
        <v>591</v>
      </c>
      <c r="L373" s="31" t="s">
        <v>644</v>
      </c>
      <c r="M373" s="22">
        <v>1</v>
      </c>
      <c r="N373" s="46">
        <v>16071</v>
      </c>
      <c r="O373" s="49">
        <f t="shared" si="7"/>
        <v>16071</v>
      </c>
      <c r="P373" s="5" t="s">
        <v>391</v>
      </c>
      <c r="Q373" s="5" t="s">
        <v>391</v>
      </c>
      <c r="R373" s="11">
        <v>551000000</v>
      </c>
      <c r="S373" s="22">
        <v>100</v>
      </c>
    </row>
    <row r="374" spans="1:19" s="32" customFormat="1" ht="51">
      <c r="A374" s="5">
        <v>359</v>
      </c>
      <c r="B374" s="15" t="s">
        <v>710</v>
      </c>
      <c r="C374" s="30" t="s">
        <v>711</v>
      </c>
      <c r="D374" s="5" t="s">
        <v>1006</v>
      </c>
      <c r="E374" s="57" t="s">
        <v>2078</v>
      </c>
      <c r="F374" s="57" t="s">
        <v>1007</v>
      </c>
      <c r="G374" s="57" t="s">
        <v>2079</v>
      </c>
      <c r="H374" s="57" t="s">
        <v>1008</v>
      </c>
      <c r="I374" s="57" t="s">
        <v>2078</v>
      </c>
      <c r="J374" s="57" t="s">
        <v>380</v>
      </c>
      <c r="K374" s="57" t="s">
        <v>591</v>
      </c>
      <c r="L374" s="31" t="s">
        <v>644</v>
      </c>
      <c r="M374" s="22">
        <v>1</v>
      </c>
      <c r="N374" s="46">
        <v>1786</v>
      </c>
      <c r="O374" s="49">
        <f t="shared" si="7"/>
        <v>1786</v>
      </c>
      <c r="P374" s="5" t="s">
        <v>391</v>
      </c>
      <c r="Q374" s="5" t="s">
        <v>391</v>
      </c>
      <c r="R374" s="11">
        <v>551000000</v>
      </c>
      <c r="S374" s="22">
        <v>100</v>
      </c>
    </row>
    <row r="375" spans="1:19" ht="63.75">
      <c r="A375" s="5">
        <v>360</v>
      </c>
      <c r="B375" s="29" t="s">
        <v>710</v>
      </c>
      <c r="C375" s="30" t="s">
        <v>711</v>
      </c>
      <c r="D375" s="5" t="s">
        <v>803</v>
      </c>
      <c r="E375" s="57" t="s">
        <v>804</v>
      </c>
      <c r="F375" s="57" t="s">
        <v>364</v>
      </c>
      <c r="G375" s="57" t="s">
        <v>805</v>
      </c>
      <c r="H375" s="57" t="s">
        <v>806</v>
      </c>
      <c r="I375" s="57" t="s">
        <v>804</v>
      </c>
      <c r="J375" s="57" t="s">
        <v>364</v>
      </c>
      <c r="K375" s="57" t="s">
        <v>591</v>
      </c>
      <c r="L375" s="31" t="s">
        <v>644</v>
      </c>
      <c r="M375" s="22">
        <v>5</v>
      </c>
      <c r="N375" s="46">
        <f t="shared" ref="N375:N398" si="8">O375/M375</f>
        <v>0</v>
      </c>
      <c r="O375" s="49">
        <f>1565-1565</f>
        <v>0</v>
      </c>
      <c r="P375" s="5" t="s">
        <v>515</v>
      </c>
      <c r="Q375" s="5" t="s">
        <v>515</v>
      </c>
      <c r="R375" s="11" t="s">
        <v>2029</v>
      </c>
      <c r="S375" s="5">
        <v>30</v>
      </c>
    </row>
    <row r="376" spans="1:19" ht="25.5">
      <c r="A376" s="5">
        <v>361</v>
      </c>
      <c r="B376" s="15" t="s">
        <v>710</v>
      </c>
      <c r="C376" s="30" t="s">
        <v>711</v>
      </c>
      <c r="D376" s="11" t="s">
        <v>807</v>
      </c>
      <c r="E376" s="57" t="s">
        <v>1596</v>
      </c>
      <c r="F376" s="57" t="s">
        <v>2377</v>
      </c>
      <c r="G376" s="57" t="s">
        <v>1597</v>
      </c>
      <c r="H376" s="57" t="s">
        <v>808</v>
      </c>
      <c r="I376" s="57" t="s">
        <v>1598</v>
      </c>
      <c r="J376" s="57" t="s">
        <v>5</v>
      </c>
      <c r="K376" s="57" t="s">
        <v>591</v>
      </c>
      <c r="L376" s="31" t="s">
        <v>644</v>
      </c>
      <c r="M376" s="22">
        <v>2</v>
      </c>
      <c r="N376" s="46">
        <f t="shared" si="8"/>
        <v>0</v>
      </c>
      <c r="O376" s="49">
        <f>1428-1428</f>
        <v>0</v>
      </c>
      <c r="P376" s="5" t="s">
        <v>515</v>
      </c>
      <c r="Q376" s="5" t="s">
        <v>515</v>
      </c>
      <c r="R376" s="11" t="s">
        <v>2029</v>
      </c>
      <c r="S376" s="5">
        <v>30</v>
      </c>
    </row>
    <row r="377" spans="1:19" ht="76.5">
      <c r="A377" s="5">
        <v>362</v>
      </c>
      <c r="B377" s="29" t="s">
        <v>710</v>
      </c>
      <c r="C377" s="30" t="s">
        <v>711</v>
      </c>
      <c r="D377" s="5" t="s">
        <v>809</v>
      </c>
      <c r="E377" s="57" t="s">
        <v>810</v>
      </c>
      <c r="F377" s="57" t="s">
        <v>6</v>
      </c>
      <c r="G377" s="57" t="s">
        <v>811</v>
      </c>
      <c r="H377" s="57" t="s">
        <v>812</v>
      </c>
      <c r="I377" s="57" t="s">
        <v>6</v>
      </c>
      <c r="J377" s="57" t="s">
        <v>6</v>
      </c>
      <c r="K377" s="57" t="s">
        <v>591</v>
      </c>
      <c r="L377" s="31" t="s">
        <v>644</v>
      </c>
      <c r="M377" s="22">
        <v>4</v>
      </c>
      <c r="N377" s="46">
        <f t="shared" si="8"/>
        <v>0</v>
      </c>
      <c r="O377" s="49">
        <f>12500-12500</f>
        <v>0</v>
      </c>
      <c r="P377" s="5" t="s">
        <v>515</v>
      </c>
      <c r="Q377" s="5" t="s">
        <v>515</v>
      </c>
      <c r="R377" s="11" t="s">
        <v>2029</v>
      </c>
      <c r="S377" s="5">
        <v>30</v>
      </c>
    </row>
    <row r="378" spans="1:19" ht="25.5">
      <c r="A378" s="5">
        <v>363</v>
      </c>
      <c r="B378" s="29" t="s">
        <v>710</v>
      </c>
      <c r="C378" s="30" t="s">
        <v>711</v>
      </c>
      <c r="D378" s="5" t="s">
        <v>634</v>
      </c>
      <c r="E378" s="57" t="s">
        <v>813</v>
      </c>
      <c r="F378" s="57" t="s">
        <v>365</v>
      </c>
      <c r="G378" s="57" t="s">
        <v>814</v>
      </c>
      <c r="H378" s="57" t="s">
        <v>635</v>
      </c>
      <c r="I378" s="57" t="s">
        <v>813</v>
      </c>
      <c r="J378" s="57" t="s">
        <v>365</v>
      </c>
      <c r="K378" s="57" t="s">
        <v>591</v>
      </c>
      <c r="L378" s="31" t="s">
        <v>644</v>
      </c>
      <c r="M378" s="22">
        <v>2</v>
      </c>
      <c r="N378" s="46">
        <f t="shared" si="8"/>
        <v>0</v>
      </c>
      <c r="O378" s="49">
        <f>446-446</f>
        <v>0</v>
      </c>
      <c r="P378" s="5" t="s">
        <v>515</v>
      </c>
      <c r="Q378" s="5" t="s">
        <v>515</v>
      </c>
      <c r="R378" s="11" t="s">
        <v>2029</v>
      </c>
      <c r="S378" s="5">
        <v>30</v>
      </c>
    </row>
    <row r="379" spans="1:19" ht="76.5">
      <c r="A379" s="5">
        <v>364</v>
      </c>
      <c r="B379" s="15" t="s">
        <v>710</v>
      </c>
      <c r="C379" s="30" t="s">
        <v>711</v>
      </c>
      <c r="D379" s="5" t="s">
        <v>954</v>
      </c>
      <c r="E379" s="57" t="s">
        <v>1003</v>
      </c>
      <c r="F379" s="57" t="s">
        <v>366</v>
      </c>
      <c r="G379" s="57" t="s">
        <v>2171</v>
      </c>
      <c r="H379" s="57" t="s">
        <v>955</v>
      </c>
      <c r="I379" s="57" t="s">
        <v>1003</v>
      </c>
      <c r="J379" s="57" t="s">
        <v>366</v>
      </c>
      <c r="K379" s="57" t="s">
        <v>591</v>
      </c>
      <c r="L379" s="31" t="s">
        <v>644</v>
      </c>
      <c r="M379" s="22">
        <v>2</v>
      </c>
      <c r="N379" s="46">
        <f t="shared" si="8"/>
        <v>0</v>
      </c>
      <c r="O379" s="49">
        <f>626-626</f>
        <v>0</v>
      </c>
      <c r="P379" s="5" t="s">
        <v>515</v>
      </c>
      <c r="Q379" s="5" t="s">
        <v>515</v>
      </c>
      <c r="R379" s="11" t="s">
        <v>2029</v>
      </c>
      <c r="S379" s="5">
        <v>30</v>
      </c>
    </row>
    <row r="380" spans="1:19" ht="102">
      <c r="A380" s="5">
        <v>365</v>
      </c>
      <c r="B380" s="29" t="s">
        <v>710</v>
      </c>
      <c r="C380" s="30" t="s">
        <v>711</v>
      </c>
      <c r="D380" s="5" t="s">
        <v>636</v>
      </c>
      <c r="E380" s="57" t="s">
        <v>815</v>
      </c>
      <c r="F380" s="57" t="s">
        <v>367</v>
      </c>
      <c r="G380" s="57" t="s">
        <v>816</v>
      </c>
      <c r="H380" s="57" t="s">
        <v>637</v>
      </c>
      <c r="I380" s="57" t="s">
        <v>815</v>
      </c>
      <c r="J380" s="57" t="s">
        <v>367</v>
      </c>
      <c r="K380" s="57" t="s">
        <v>591</v>
      </c>
      <c r="L380" s="31" t="s">
        <v>644</v>
      </c>
      <c r="M380" s="22">
        <v>1</v>
      </c>
      <c r="N380" s="46">
        <f t="shared" si="8"/>
        <v>0</v>
      </c>
      <c r="O380" s="49">
        <f>14286-14286</f>
        <v>0</v>
      </c>
      <c r="P380" s="5" t="s">
        <v>515</v>
      </c>
      <c r="Q380" s="5" t="s">
        <v>515</v>
      </c>
      <c r="R380" s="11" t="s">
        <v>2029</v>
      </c>
      <c r="S380" s="5">
        <v>30</v>
      </c>
    </row>
    <row r="381" spans="1:19" ht="25.5">
      <c r="A381" s="5">
        <v>366</v>
      </c>
      <c r="B381" s="29" t="s">
        <v>710</v>
      </c>
      <c r="C381" s="30" t="s">
        <v>711</v>
      </c>
      <c r="D381" s="5" t="s">
        <v>639</v>
      </c>
      <c r="E381" s="57" t="s">
        <v>2172</v>
      </c>
      <c r="F381" s="57" t="s">
        <v>368</v>
      </c>
      <c r="G381" s="57" t="s">
        <v>817</v>
      </c>
      <c r="H381" s="57" t="s">
        <v>640</v>
      </c>
      <c r="I381" s="57" t="s">
        <v>2172</v>
      </c>
      <c r="J381" s="57" t="s">
        <v>368</v>
      </c>
      <c r="K381" s="57" t="s">
        <v>591</v>
      </c>
      <c r="L381" s="31" t="s">
        <v>644</v>
      </c>
      <c r="M381" s="22">
        <v>1</v>
      </c>
      <c r="N381" s="46">
        <f t="shared" si="8"/>
        <v>0</v>
      </c>
      <c r="O381" s="49">
        <f>1786-1786</f>
        <v>0</v>
      </c>
      <c r="P381" s="5" t="s">
        <v>515</v>
      </c>
      <c r="Q381" s="5" t="s">
        <v>515</v>
      </c>
      <c r="R381" s="11" t="s">
        <v>2029</v>
      </c>
      <c r="S381" s="5">
        <v>30</v>
      </c>
    </row>
    <row r="382" spans="1:19" ht="25.5">
      <c r="A382" s="5">
        <v>367</v>
      </c>
      <c r="B382" s="29" t="s">
        <v>710</v>
      </c>
      <c r="C382" s="30" t="s">
        <v>711</v>
      </c>
      <c r="D382" s="5" t="s">
        <v>395</v>
      </c>
      <c r="E382" s="57" t="s">
        <v>818</v>
      </c>
      <c r="F382" s="57" t="s">
        <v>369</v>
      </c>
      <c r="G382" s="57" t="s">
        <v>819</v>
      </c>
      <c r="H382" s="57" t="s">
        <v>396</v>
      </c>
      <c r="I382" s="57" t="s">
        <v>818</v>
      </c>
      <c r="J382" s="57" t="s">
        <v>369</v>
      </c>
      <c r="K382" s="57" t="s">
        <v>591</v>
      </c>
      <c r="L382" s="5" t="s">
        <v>669</v>
      </c>
      <c r="M382" s="22">
        <v>5</v>
      </c>
      <c r="N382" s="46">
        <f t="shared" si="8"/>
        <v>0</v>
      </c>
      <c r="O382" s="49">
        <f>780-780</f>
        <v>0</v>
      </c>
      <c r="P382" s="5" t="s">
        <v>612</v>
      </c>
      <c r="Q382" s="5" t="s">
        <v>612</v>
      </c>
      <c r="R382" s="11" t="s">
        <v>2029</v>
      </c>
      <c r="S382" s="5">
        <v>30</v>
      </c>
    </row>
    <row r="383" spans="1:19" ht="114.75">
      <c r="A383" s="5">
        <v>368</v>
      </c>
      <c r="B383" s="15" t="s">
        <v>710</v>
      </c>
      <c r="C383" s="30" t="s">
        <v>711</v>
      </c>
      <c r="D383" s="5" t="s">
        <v>1079</v>
      </c>
      <c r="E383" s="57" t="s">
        <v>370</v>
      </c>
      <c r="F383" s="57" t="s">
        <v>370</v>
      </c>
      <c r="G383" s="57" t="s">
        <v>1623</v>
      </c>
      <c r="H383" s="57" t="s">
        <v>1080</v>
      </c>
      <c r="I383" s="57" t="s">
        <v>192</v>
      </c>
      <c r="J383" s="57" t="s">
        <v>370</v>
      </c>
      <c r="K383" s="57" t="s">
        <v>591</v>
      </c>
      <c r="L383" s="5" t="s">
        <v>651</v>
      </c>
      <c r="M383" s="22">
        <v>50</v>
      </c>
      <c r="N383" s="46">
        <f t="shared" si="8"/>
        <v>0</v>
      </c>
      <c r="O383" s="49">
        <f>8950-8950</f>
        <v>0</v>
      </c>
      <c r="P383" s="5" t="s">
        <v>612</v>
      </c>
      <c r="Q383" s="5" t="s">
        <v>612</v>
      </c>
      <c r="R383" s="11" t="s">
        <v>2029</v>
      </c>
      <c r="S383" s="5">
        <v>30</v>
      </c>
    </row>
    <row r="384" spans="1:19" ht="89.25">
      <c r="A384" s="5">
        <v>369</v>
      </c>
      <c r="B384" s="29" t="s">
        <v>710</v>
      </c>
      <c r="C384" s="30" t="s">
        <v>711</v>
      </c>
      <c r="D384" s="5" t="s">
        <v>645</v>
      </c>
      <c r="E384" s="57" t="s">
        <v>820</v>
      </c>
      <c r="F384" s="57" t="s">
        <v>10</v>
      </c>
      <c r="G384" s="57" t="s">
        <v>821</v>
      </c>
      <c r="H384" s="57" t="s">
        <v>646</v>
      </c>
      <c r="I384" s="57" t="s">
        <v>820</v>
      </c>
      <c r="J384" s="57" t="s">
        <v>10</v>
      </c>
      <c r="K384" s="57" t="s">
        <v>591</v>
      </c>
      <c r="L384" s="31" t="s">
        <v>644</v>
      </c>
      <c r="M384" s="22">
        <v>2</v>
      </c>
      <c r="N384" s="46">
        <f t="shared" si="8"/>
        <v>0</v>
      </c>
      <c r="O384" s="49">
        <f>2678-2678</f>
        <v>0</v>
      </c>
      <c r="P384" s="5" t="s">
        <v>612</v>
      </c>
      <c r="Q384" s="5" t="s">
        <v>612</v>
      </c>
      <c r="R384" s="11" t="s">
        <v>2029</v>
      </c>
      <c r="S384" s="5">
        <v>30</v>
      </c>
    </row>
    <row r="385" spans="1:19" ht="38.25">
      <c r="A385" s="5">
        <v>370</v>
      </c>
      <c r="B385" s="15" t="s">
        <v>710</v>
      </c>
      <c r="C385" s="30" t="s">
        <v>711</v>
      </c>
      <c r="D385" s="5" t="s">
        <v>889</v>
      </c>
      <c r="E385" s="57" t="s">
        <v>2177</v>
      </c>
      <c r="F385" s="57" t="s">
        <v>198</v>
      </c>
      <c r="G385" s="57" t="s">
        <v>2178</v>
      </c>
      <c r="H385" s="57" t="s">
        <v>1376</v>
      </c>
      <c r="I385" s="57" t="s">
        <v>2177</v>
      </c>
      <c r="J385" s="57" t="s">
        <v>198</v>
      </c>
      <c r="K385" s="57" t="s">
        <v>591</v>
      </c>
      <c r="L385" s="31" t="s">
        <v>644</v>
      </c>
      <c r="M385" s="22">
        <v>4</v>
      </c>
      <c r="N385" s="46">
        <f t="shared" si="8"/>
        <v>0</v>
      </c>
      <c r="O385" s="49">
        <f>8928-8928</f>
        <v>0</v>
      </c>
      <c r="P385" s="5" t="s">
        <v>612</v>
      </c>
      <c r="Q385" s="5" t="s">
        <v>612</v>
      </c>
      <c r="R385" s="11" t="s">
        <v>2029</v>
      </c>
      <c r="S385" s="5">
        <v>30</v>
      </c>
    </row>
    <row r="386" spans="1:19" ht="38.25">
      <c r="A386" s="5">
        <v>371</v>
      </c>
      <c r="B386" s="15" t="s">
        <v>710</v>
      </c>
      <c r="C386" s="30" t="s">
        <v>711</v>
      </c>
      <c r="D386" s="5" t="s">
        <v>649</v>
      </c>
      <c r="E386" s="57" t="s">
        <v>1627</v>
      </c>
      <c r="F386" s="57" t="s">
        <v>371</v>
      </c>
      <c r="G386" s="57" t="s">
        <v>1629</v>
      </c>
      <c r="H386" s="57" t="s">
        <v>650</v>
      </c>
      <c r="I386" s="57" t="s">
        <v>1627</v>
      </c>
      <c r="J386" s="57" t="s">
        <v>371</v>
      </c>
      <c r="K386" s="57" t="s">
        <v>591</v>
      </c>
      <c r="L386" s="5" t="s">
        <v>651</v>
      </c>
      <c r="M386" s="22">
        <v>2</v>
      </c>
      <c r="N386" s="46">
        <f t="shared" si="8"/>
        <v>0</v>
      </c>
      <c r="O386" s="49">
        <f>892-892</f>
        <v>0</v>
      </c>
      <c r="P386" s="5" t="s">
        <v>612</v>
      </c>
      <c r="Q386" s="5" t="s">
        <v>612</v>
      </c>
      <c r="R386" s="11" t="s">
        <v>2029</v>
      </c>
      <c r="S386" s="5">
        <v>30</v>
      </c>
    </row>
    <row r="387" spans="1:19" ht="38.25">
      <c r="A387" s="5">
        <v>372</v>
      </c>
      <c r="B387" s="29" t="s">
        <v>710</v>
      </c>
      <c r="C387" s="30" t="s">
        <v>711</v>
      </c>
      <c r="D387" s="5" t="s">
        <v>825</v>
      </c>
      <c r="E387" s="57" t="s">
        <v>826</v>
      </c>
      <c r="F387" s="57" t="s">
        <v>372</v>
      </c>
      <c r="G387" s="57" t="s">
        <v>827</v>
      </c>
      <c r="H387" s="57" t="s">
        <v>828</v>
      </c>
      <c r="I387" s="57" t="s">
        <v>1631</v>
      </c>
      <c r="J387" s="57" t="s">
        <v>372</v>
      </c>
      <c r="K387" s="57" t="s">
        <v>591</v>
      </c>
      <c r="L387" s="31" t="s">
        <v>644</v>
      </c>
      <c r="M387" s="22">
        <f>50+200</f>
        <v>250</v>
      </c>
      <c r="N387" s="46">
        <f t="shared" si="8"/>
        <v>163.80000000000001</v>
      </c>
      <c r="O387" s="49">
        <f>8950+32000</f>
        <v>40950</v>
      </c>
      <c r="P387" s="5" t="s">
        <v>612</v>
      </c>
      <c r="Q387" s="5" t="s">
        <v>612</v>
      </c>
      <c r="R387" s="11" t="s">
        <v>2029</v>
      </c>
      <c r="S387" s="5">
        <v>30</v>
      </c>
    </row>
    <row r="388" spans="1:19" ht="25.5">
      <c r="A388" s="5">
        <v>373</v>
      </c>
      <c r="B388" s="15" t="s">
        <v>710</v>
      </c>
      <c r="C388" s="30" t="s">
        <v>711</v>
      </c>
      <c r="D388" s="31" t="s">
        <v>829</v>
      </c>
      <c r="E388" s="57" t="s">
        <v>11</v>
      </c>
      <c r="F388" s="57" t="s">
        <v>11</v>
      </c>
      <c r="G388" s="57" t="s">
        <v>830</v>
      </c>
      <c r="H388" s="57" t="s">
        <v>830</v>
      </c>
      <c r="I388" s="57" t="s">
        <v>11</v>
      </c>
      <c r="J388" s="57" t="s">
        <v>11</v>
      </c>
      <c r="K388" s="57" t="s">
        <v>591</v>
      </c>
      <c r="L388" s="5" t="s">
        <v>1481</v>
      </c>
      <c r="M388" s="22">
        <v>25</v>
      </c>
      <c r="N388" s="46">
        <f t="shared" si="8"/>
        <v>0</v>
      </c>
      <c r="O388" s="49">
        <f>7825-1108-6717</f>
        <v>0</v>
      </c>
      <c r="P388" s="5" t="s">
        <v>612</v>
      </c>
      <c r="Q388" s="5" t="s">
        <v>612</v>
      </c>
      <c r="R388" s="11" t="s">
        <v>2029</v>
      </c>
      <c r="S388" s="5">
        <v>30</v>
      </c>
    </row>
    <row r="389" spans="1:19" ht="93" customHeight="1">
      <c r="A389" s="5">
        <v>374</v>
      </c>
      <c r="B389" s="29" t="s">
        <v>710</v>
      </c>
      <c r="C389" s="30" t="s">
        <v>711</v>
      </c>
      <c r="D389" s="10" t="s">
        <v>842</v>
      </c>
      <c r="E389" s="57" t="s">
        <v>767</v>
      </c>
      <c r="F389" s="57" t="s">
        <v>18</v>
      </c>
      <c r="G389" s="57" t="s">
        <v>2192</v>
      </c>
      <c r="H389" s="57" t="s">
        <v>1029</v>
      </c>
      <c r="I389" s="57" t="s">
        <v>767</v>
      </c>
      <c r="J389" s="57" t="s">
        <v>373</v>
      </c>
      <c r="K389" s="57" t="s">
        <v>591</v>
      </c>
      <c r="L389" s="5" t="s">
        <v>644</v>
      </c>
      <c r="M389" s="22">
        <v>2</v>
      </c>
      <c r="N389" s="46">
        <f t="shared" si="8"/>
        <v>0</v>
      </c>
      <c r="O389" s="49">
        <f>1428-1428</f>
        <v>0</v>
      </c>
      <c r="P389" s="5" t="s">
        <v>515</v>
      </c>
      <c r="Q389" s="5" t="s">
        <v>939</v>
      </c>
      <c r="R389" s="11" t="s">
        <v>2029</v>
      </c>
      <c r="S389" s="5">
        <v>30</v>
      </c>
    </row>
    <row r="390" spans="1:19" ht="25.5">
      <c r="A390" s="5">
        <v>375</v>
      </c>
      <c r="B390" s="29" t="s">
        <v>710</v>
      </c>
      <c r="C390" s="30" t="s">
        <v>711</v>
      </c>
      <c r="D390" s="5" t="s">
        <v>2388</v>
      </c>
      <c r="E390" s="57" t="s">
        <v>374</v>
      </c>
      <c r="F390" s="57" t="s">
        <v>374</v>
      </c>
      <c r="G390" s="57" t="s">
        <v>2286</v>
      </c>
      <c r="H390" s="57" t="s">
        <v>831</v>
      </c>
      <c r="I390" s="57" t="s">
        <v>374</v>
      </c>
      <c r="J390" s="57" t="s">
        <v>197</v>
      </c>
      <c r="K390" s="57" t="s">
        <v>591</v>
      </c>
      <c r="L390" s="31" t="s">
        <v>644</v>
      </c>
      <c r="M390" s="22">
        <f>25+225</f>
        <v>250</v>
      </c>
      <c r="N390" s="46">
        <f t="shared" si="8"/>
        <v>36.700000000000003</v>
      </c>
      <c r="O390" s="49">
        <f>1675+7500</f>
        <v>9175</v>
      </c>
      <c r="P390" s="5" t="s">
        <v>612</v>
      </c>
      <c r="Q390" s="5" t="s">
        <v>612</v>
      </c>
      <c r="R390" s="11" t="s">
        <v>2029</v>
      </c>
      <c r="S390" s="5">
        <v>30</v>
      </c>
    </row>
    <row r="391" spans="1:19" ht="38.25">
      <c r="A391" s="5">
        <v>376</v>
      </c>
      <c r="B391" s="29" t="s">
        <v>710</v>
      </c>
      <c r="C391" s="30" t="s">
        <v>711</v>
      </c>
      <c r="D391" s="31" t="s">
        <v>660</v>
      </c>
      <c r="E391" s="57" t="s">
        <v>832</v>
      </c>
      <c r="F391" s="57" t="s">
        <v>12</v>
      </c>
      <c r="G391" s="57" t="s">
        <v>1639</v>
      </c>
      <c r="H391" s="57" t="s">
        <v>661</v>
      </c>
      <c r="I391" s="57" t="s">
        <v>832</v>
      </c>
      <c r="J391" s="57" t="s">
        <v>12</v>
      </c>
      <c r="K391" s="57" t="s">
        <v>591</v>
      </c>
      <c r="L391" s="31" t="s">
        <v>644</v>
      </c>
      <c r="M391" s="22">
        <v>5</v>
      </c>
      <c r="N391" s="46">
        <f t="shared" si="8"/>
        <v>0</v>
      </c>
      <c r="O391" s="49">
        <f>6695-6695</f>
        <v>0</v>
      </c>
      <c r="P391" s="5" t="s">
        <v>612</v>
      </c>
      <c r="Q391" s="5" t="s">
        <v>612</v>
      </c>
      <c r="R391" s="11" t="s">
        <v>2029</v>
      </c>
      <c r="S391" s="5">
        <v>30</v>
      </c>
    </row>
    <row r="392" spans="1:19" ht="25.5">
      <c r="A392" s="5">
        <v>377</v>
      </c>
      <c r="B392" s="29" t="s">
        <v>710</v>
      </c>
      <c r="C392" s="30" t="s">
        <v>711</v>
      </c>
      <c r="D392" s="5" t="s">
        <v>410</v>
      </c>
      <c r="E392" s="57" t="s">
        <v>833</v>
      </c>
      <c r="F392" s="57" t="s">
        <v>375</v>
      </c>
      <c r="G392" s="57" t="s">
        <v>2272</v>
      </c>
      <c r="H392" s="57" t="s">
        <v>411</v>
      </c>
      <c r="I392" s="57" t="s">
        <v>2272</v>
      </c>
      <c r="J392" s="57" t="s">
        <v>375</v>
      </c>
      <c r="K392" s="57" t="s">
        <v>591</v>
      </c>
      <c r="L392" s="31" t="s">
        <v>644</v>
      </c>
      <c r="M392" s="22">
        <v>5</v>
      </c>
      <c r="N392" s="46">
        <f t="shared" si="8"/>
        <v>0</v>
      </c>
      <c r="O392" s="49">
        <f>5355-5355</f>
        <v>0</v>
      </c>
      <c r="P392" s="5" t="s">
        <v>612</v>
      </c>
      <c r="Q392" s="5" t="s">
        <v>612</v>
      </c>
      <c r="R392" s="11" t="s">
        <v>2029</v>
      </c>
      <c r="S392" s="5">
        <v>30</v>
      </c>
    </row>
    <row r="393" spans="1:19" ht="25.5">
      <c r="A393" s="5">
        <v>378</v>
      </c>
      <c r="B393" s="29" t="s">
        <v>710</v>
      </c>
      <c r="C393" s="30" t="s">
        <v>711</v>
      </c>
      <c r="D393" s="5" t="s">
        <v>662</v>
      </c>
      <c r="E393" s="57" t="s">
        <v>2236</v>
      </c>
      <c r="F393" s="57" t="s">
        <v>663</v>
      </c>
      <c r="G393" s="57" t="s">
        <v>2237</v>
      </c>
      <c r="H393" s="57" t="s">
        <v>2239</v>
      </c>
      <c r="I393" s="57" t="s">
        <v>2238</v>
      </c>
      <c r="J393" s="57" t="s">
        <v>376</v>
      </c>
      <c r="K393" s="57" t="s">
        <v>591</v>
      </c>
      <c r="L393" s="5" t="s">
        <v>1482</v>
      </c>
      <c r="M393" s="22">
        <v>1</v>
      </c>
      <c r="N393" s="46">
        <f t="shared" si="8"/>
        <v>0</v>
      </c>
      <c r="O393" s="49">
        <f>26786-19129-7657</f>
        <v>0</v>
      </c>
      <c r="P393" s="5" t="s">
        <v>612</v>
      </c>
      <c r="Q393" s="5" t="s">
        <v>612</v>
      </c>
      <c r="R393" s="11" t="s">
        <v>2029</v>
      </c>
      <c r="S393" s="5">
        <v>30</v>
      </c>
    </row>
    <row r="394" spans="1:19" ht="38.25">
      <c r="A394" s="5">
        <v>379</v>
      </c>
      <c r="B394" s="29" t="s">
        <v>710</v>
      </c>
      <c r="C394" s="30" t="s">
        <v>711</v>
      </c>
      <c r="D394" s="5" t="s">
        <v>412</v>
      </c>
      <c r="E394" s="57" t="s">
        <v>835</v>
      </c>
      <c r="F394" s="57" t="s">
        <v>377</v>
      </c>
      <c r="G394" s="57" t="s">
        <v>836</v>
      </c>
      <c r="H394" s="57" t="s">
        <v>413</v>
      </c>
      <c r="I394" s="57" t="s">
        <v>2296</v>
      </c>
      <c r="J394" s="57" t="s">
        <v>377</v>
      </c>
      <c r="K394" s="57" t="s">
        <v>591</v>
      </c>
      <c r="L394" s="31" t="s">
        <v>644</v>
      </c>
      <c r="M394" s="22">
        <v>1</v>
      </c>
      <c r="N394" s="46">
        <f t="shared" si="8"/>
        <v>0</v>
      </c>
      <c r="O394" s="49">
        <f>26786-26786</f>
        <v>0</v>
      </c>
      <c r="P394" s="5" t="s">
        <v>612</v>
      </c>
      <c r="Q394" s="5" t="s">
        <v>612</v>
      </c>
      <c r="R394" s="11" t="s">
        <v>2029</v>
      </c>
      <c r="S394" s="5">
        <v>30</v>
      </c>
    </row>
    <row r="395" spans="1:19" ht="38.25">
      <c r="A395" s="5">
        <v>380</v>
      </c>
      <c r="B395" s="29" t="s">
        <v>710</v>
      </c>
      <c r="C395" s="30" t="s">
        <v>711</v>
      </c>
      <c r="D395" s="5" t="s">
        <v>412</v>
      </c>
      <c r="E395" s="57" t="s">
        <v>835</v>
      </c>
      <c r="F395" s="57" t="s">
        <v>377</v>
      </c>
      <c r="G395" s="57" t="s">
        <v>836</v>
      </c>
      <c r="H395" s="57" t="s">
        <v>413</v>
      </c>
      <c r="I395" s="57" t="s">
        <v>2292</v>
      </c>
      <c r="J395" s="57" t="s">
        <v>378</v>
      </c>
      <c r="K395" s="57" t="s">
        <v>591</v>
      </c>
      <c r="L395" s="31" t="s">
        <v>644</v>
      </c>
      <c r="M395" s="22">
        <v>1</v>
      </c>
      <c r="N395" s="46">
        <f t="shared" si="8"/>
        <v>0</v>
      </c>
      <c r="O395" s="49">
        <f>16071-16071</f>
        <v>0</v>
      </c>
      <c r="P395" s="5" t="s">
        <v>391</v>
      </c>
      <c r="Q395" s="5" t="s">
        <v>391</v>
      </c>
      <c r="R395" s="11" t="s">
        <v>2029</v>
      </c>
      <c r="S395" s="5">
        <v>100</v>
      </c>
    </row>
    <row r="396" spans="1:19" ht="25.5">
      <c r="A396" s="5">
        <v>381</v>
      </c>
      <c r="B396" s="29" t="s">
        <v>710</v>
      </c>
      <c r="C396" s="30" t="s">
        <v>711</v>
      </c>
      <c r="D396" s="11" t="s">
        <v>667</v>
      </c>
      <c r="E396" s="57" t="s">
        <v>2184</v>
      </c>
      <c r="F396" s="57" t="s">
        <v>13</v>
      </c>
      <c r="G396" s="57" t="s">
        <v>2185</v>
      </c>
      <c r="H396" s="57" t="s">
        <v>668</v>
      </c>
      <c r="I396" s="57" t="s">
        <v>2184</v>
      </c>
      <c r="J396" s="57" t="s">
        <v>13</v>
      </c>
      <c r="K396" s="57" t="s">
        <v>591</v>
      </c>
      <c r="L396" s="31" t="s">
        <v>644</v>
      </c>
      <c r="M396" s="22">
        <v>3</v>
      </c>
      <c r="N396" s="46">
        <f t="shared" si="8"/>
        <v>0</v>
      </c>
      <c r="O396" s="49">
        <f>8037-8037</f>
        <v>0</v>
      </c>
      <c r="P396" s="5" t="s">
        <v>515</v>
      </c>
      <c r="Q396" s="5" t="s">
        <v>515</v>
      </c>
      <c r="R396" s="11" t="s">
        <v>2029</v>
      </c>
      <c r="S396" s="5">
        <v>30</v>
      </c>
    </row>
    <row r="397" spans="1:19" ht="25.5">
      <c r="A397" s="5">
        <v>382</v>
      </c>
      <c r="B397" s="29" t="s">
        <v>710</v>
      </c>
      <c r="C397" s="30" t="s">
        <v>711</v>
      </c>
      <c r="D397" s="11" t="s">
        <v>416</v>
      </c>
      <c r="E397" s="57" t="s">
        <v>2223</v>
      </c>
      <c r="F397" s="57" t="s">
        <v>417</v>
      </c>
      <c r="G397" s="57" t="s">
        <v>2224</v>
      </c>
      <c r="H397" s="57" t="s">
        <v>418</v>
      </c>
      <c r="I397" s="57" t="s">
        <v>2223</v>
      </c>
      <c r="J397" s="57" t="s">
        <v>379</v>
      </c>
      <c r="K397" s="57" t="s">
        <v>591</v>
      </c>
      <c r="L397" s="31" t="s">
        <v>644</v>
      </c>
      <c r="M397" s="22">
        <v>1</v>
      </c>
      <c r="N397" s="46">
        <f t="shared" si="8"/>
        <v>0</v>
      </c>
      <c r="O397" s="49">
        <f>16071-16071</f>
        <v>0</v>
      </c>
      <c r="P397" s="5" t="s">
        <v>612</v>
      </c>
      <c r="Q397" s="5" t="s">
        <v>612</v>
      </c>
      <c r="R397" s="11" t="s">
        <v>2029</v>
      </c>
      <c r="S397" s="5">
        <v>30</v>
      </c>
    </row>
    <row r="398" spans="1:19" ht="51">
      <c r="A398" s="5">
        <v>383</v>
      </c>
      <c r="B398" s="15" t="s">
        <v>710</v>
      </c>
      <c r="C398" s="30" t="s">
        <v>711</v>
      </c>
      <c r="D398" s="5" t="s">
        <v>1006</v>
      </c>
      <c r="E398" s="57" t="s">
        <v>2078</v>
      </c>
      <c r="F398" s="57" t="s">
        <v>1007</v>
      </c>
      <c r="G398" s="57" t="s">
        <v>2079</v>
      </c>
      <c r="H398" s="57" t="s">
        <v>1008</v>
      </c>
      <c r="I398" s="57" t="s">
        <v>2078</v>
      </c>
      <c r="J398" s="57" t="s">
        <v>380</v>
      </c>
      <c r="K398" s="57" t="s">
        <v>591</v>
      </c>
      <c r="L398" s="31" t="s">
        <v>644</v>
      </c>
      <c r="M398" s="22">
        <v>1</v>
      </c>
      <c r="N398" s="46">
        <f t="shared" si="8"/>
        <v>0</v>
      </c>
      <c r="O398" s="49">
        <f>1786-1786</f>
        <v>0</v>
      </c>
      <c r="P398" s="5" t="s">
        <v>612</v>
      </c>
      <c r="Q398" s="5" t="s">
        <v>612</v>
      </c>
      <c r="R398" s="11" t="s">
        <v>2029</v>
      </c>
      <c r="S398" s="5">
        <v>30</v>
      </c>
    </row>
    <row r="399" spans="1:19" ht="51">
      <c r="A399" s="5">
        <v>384</v>
      </c>
      <c r="B399" s="29" t="s">
        <v>710</v>
      </c>
      <c r="C399" s="30" t="s">
        <v>711</v>
      </c>
      <c r="D399" s="11" t="s">
        <v>765</v>
      </c>
      <c r="E399" s="57" t="s">
        <v>2166</v>
      </c>
      <c r="F399" s="57" t="s">
        <v>392</v>
      </c>
      <c r="G399" s="57" t="s">
        <v>1673</v>
      </c>
      <c r="H399" s="57" t="s">
        <v>1674</v>
      </c>
      <c r="I399" s="57" t="s">
        <v>1672</v>
      </c>
      <c r="J399" s="57" t="s">
        <v>99</v>
      </c>
      <c r="K399" s="57" t="s">
        <v>591</v>
      </c>
      <c r="L399" s="5" t="s">
        <v>1480</v>
      </c>
      <c r="M399" s="22">
        <v>7906</v>
      </c>
      <c r="N399" s="46">
        <v>104</v>
      </c>
      <c r="O399" s="49">
        <f t="shared" si="7"/>
        <v>822224</v>
      </c>
      <c r="P399" s="5" t="s">
        <v>393</v>
      </c>
      <c r="Q399" s="5" t="s">
        <v>766</v>
      </c>
      <c r="R399" s="11" t="s">
        <v>1175</v>
      </c>
      <c r="S399" s="22">
        <v>100</v>
      </c>
    </row>
    <row r="400" spans="1:19" ht="63.75">
      <c r="A400" s="5">
        <v>385</v>
      </c>
      <c r="B400" s="29" t="s">
        <v>710</v>
      </c>
      <c r="C400" s="30" t="s">
        <v>711</v>
      </c>
      <c r="D400" s="11" t="s">
        <v>1099</v>
      </c>
      <c r="E400" s="57" t="s">
        <v>420</v>
      </c>
      <c r="F400" s="57" t="s">
        <v>420</v>
      </c>
      <c r="G400" s="57" t="s">
        <v>1675</v>
      </c>
      <c r="H400" s="57" t="s">
        <v>1100</v>
      </c>
      <c r="I400" s="57" t="s">
        <v>16</v>
      </c>
      <c r="J400" s="57" t="s">
        <v>16</v>
      </c>
      <c r="K400" s="57" t="s">
        <v>591</v>
      </c>
      <c r="L400" s="5" t="s">
        <v>1480</v>
      </c>
      <c r="M400" s="22">
        <v>13807</v>
      </c>
      <c r="N400" s="46">
        <v>129</v>
      </c>
      <c r="O400" s="49">
        <f t="shared" si="7"/>
        <v>1781103</v>
      </c>
      <c r="P400" s="5" t="s">
        <v>393</v>
      </c>
      <c r="Q400" s="5" t="s">
        <v>766</v>
      </c>
      <c r="R400" s="11" t="s">
        <v>1175</v>
      </c>
      <c r="S400" s="22">
        <v>100</v>
      </c>
    </row>
    <row r="401" spans="1:19" ht="63.75">
      <c r="A401" s="5">
        <v>386</v>
      </c>
      <c r="B401" s="29" t="s">
        <v>710</v>
      </c>
      <c r="C401" s="30" t="s">
        <v>711</v>
      </c>
      <c r="D401" s="11" t="s">
        <v>419</v>
      </c>
      <c r="E401" s="57" t="s">
        <v>420</v>
      </c>
      <c r="F401" s="57" t="s">
        <v>420</v>
      </c>
      <c r="G401" s="57" t="s">
        <v>2301</v>
      </c>
      <c r="H401" s="57" t="s">
        <v>421</v>
      </c>
      <c r="I401" s="57" t="s">
        <v>16</v>
      </c>
      <c r="J401" s="57" t="s">
        <v>16</v>
      </c>
      <c r="K401" s="57" t="s">
        <v>591</v>
      </c>
      <c r="L401" s="5" t="s">
        <v>1480</v>
      </c>
      <c r="M401" s="22">
        <v>7656</v>
      </c>
      <c r="N401" s="46">
        <v>111</v>
      </c>
      <c r="O401" s="49">
        <f t="shared" si="7"/>
        <v>849816</v>
      </c>
      <c r="P401" s="5" t="s">
        <v>393</v>
      </c>
      <c r="Q401" s="5" t="s">
        <v>766</v>
      </c>
      <c r="R401" s="11" t="s">
        <v>2027</v>
      </c>
      <c r="S401" s="22">
        <v>100</v>
      </c>
    </row>
    <row r="402" spans="1:19" ht="63.75">
      <c r="A402" s="5">
        <v>387</v>
      </c>
      <c r="B402" s="29" t="s">
        <v>710</v>
      </c>
      <c r="C402" s="30" t="s">
        <v>711</v>
      </c>
      <c r="D402" s="11" t="s">
        <v>419</v>
      </c>
      <c r="E402" s="57" t="s">
        <v>420</v>
      </c>
      <c r="F402" s="57" t="s">
        <v>420</v>
      </c>
      <c r="G402" s="57" t="s">
        <v>2301</v>
      </c>
      <c r="H402" s="57" t="s">
        <v>421</v>
      </c>
      <c r="I402" s="57" t="s">
        <v>16</v>
      </c>
      <c r="J402" s="57" t="s">
        <v>16</v>
      </c>
      <c r="K402" s="57" t="s">
        <v>591</v>
      </c>
      <c r="L402" s="5" t="s">
        <v>1480</v>
      </c>
      <c r="M402" s="22">
        <v>21050</v>
      </c>
      <c r="N402" s="46">
        <v>111</v>
      </c>
      <c r="O402" s="49">
        <f t="shared" si="7"/>
        <v>2336550</v>
      </c>
      <c r="P402" s="5" t="s">
        <v>391</v>
      </c>
      <c r="Q402" s="5" t="s">
        <v>766</v>
      </c>
      <c r="R402" s="11" t="s">
        <v>2022</v>
      </c>
      <c r="S402" s="22">
        <v>100</v>
      </c>
    </row>
    <row r="403" spans="1:19" ht="63.75">
      <c r="A403" s="5">
        <v>388</v>
      </c>
      <c r="B403" s="29" t="s">
        <v>710</v>
      </c>
      <c r="C403" s="30" t="s">
        <v>711</v>
      </c>
      <c r="D403" s="11" t="s">
        <v>419</v>
      </c>
      <c r="E403" s="57" t="s">
        <v>420</v>
      </c>
      <c r="F403" s="57" t="s">
        <v>420</v>
      </c>
      <c r="G403" s="57" t="s">
        <v>2301</v>
      </c>
      <c r="H403" s="57" t="s">
        <v>421</v>
      </c>
      <c r="I403" s="57" t="s">
        <v>16</v>
      </c>
      <c r="J403" s="57" t="s">
        <v>16</v>
      </c>
      <c r="K403" s="57" t="s">
        <v>591</v>
      </c>
      <c r="L403" s="5" t="s">
        <v>1480</v>
      </c>
      <c r="M403" s="22">
        <v>7552</v>
      </c>
      <c r="N403" s="46">
        <v>111</v>
      </c>
      <c r="O403" s="49">
        <f t="shared" si="7"/>
        <v>838272</v>
      </c>
      <c r="P403" s="5" t="s">
        <v>393</v>
      </c>
      <c r="Q403" s="5" t="s">
        <v>766</v>
      </c>
      <c r="R403" s="11" t="s">
        <v>789</v>
      </c>
      <c r="S403" s="5">
        <v>100</v>
      </c>
    </row>
    <row r="404" spans="1:19" ht="63.75">
      <c r="A404" s="5">
        <v>389</v>
      </c>
      <c r="B404" s="29" t="s">
        <v>710</v>
      </c>
      <c r="C404" s="30" t="s">
        <v>711</v>
      </c>
      <c r="D404" s="11" t="s">
        <v>419</v>
      </c>
      <c r="E404" s="57" t="s">
        <v>420</v>
      </c>
      <c r="F404" s="57" t="s">
        <v>420</v>
      </c>
      <c r="G404" s="57" t="s">
        <v>2301</v>
      </c>
      <c r="H404" s="57" t="s">
        <v>421</v>
      </c>
      <c r="I404" s="57" t="s">
        <v>16</v>
      </c>
      <c r="J404" s="57" t="s">
        <v>16</v>
      </c>
      <c r="K404" s="57" t="s">
        <v>591</v>
      </c>
      <c r="L404" s="5" t="s">
        <v>1480</v>
      </c>
      <c r="M404" s="22">
        <v>7569</v>
      </c>
      <c r="N404" s="46">
        <v>111</v>
      </c>
      <c r="O404" s="49">
        <f t="shared" si="7"/>
        <v>840159</v>
      </c>
      <c r="P404" s="5" t="s">
        <v>393</v>
      </c>
      <c r="Q404" s="5" t="s">
        <v>766</v>
      </c>
      <c r="R404" s="11" t="s">
        <v>2030</v>
      </c>
      <c r="S404" s="22">
        <v>100</v>
      </c>
    </row>
    <row r="405" spans="1:19" ht="63.75">
      <c r="A405" s="5">
        <v>390</v>
      </c>
      <c r="B405" s="29" t="s">
        <v>710</v>
      </c>
      <c r="C405" s="30" t="s">
        <v>711</v>
      </c>
      <c r="D405" s="11" t="s">
        <v>419</v>
      </c>
      <c r="E405" s="57" t="s">
        <v>420</v>
      </c>
      <c r="F405" s="57" t="s">
        <v>420</v>
      </c>
      <c r="G405" s="57" t="s">
        <v>2301</v>
      </c>
      <c r="H405" s="57" t="s">
        <v>421</v>
      </c>
      <c r="I405" s="57" t="s">
        <v>16</v>
      </c>
      <c r="J405" s="57" t="s">
        <v>16</v>
      </c>
      <c r="K405" s="57" t="s">
        <v>591</v>
      </c>
      <c r="L405" s="5" t="s">
        <v>1480</v>
      </c>
      <c r="M405" s="22">
        <v>7569</v>
      </c>
      <c r="N405" s="46">
        <v>111</v>
      </c>
      <c r="O405" s="49">
        <f t="shared" si="7"/>
        <v>840159</v>
      </c>
      <c r="P405" s="5" t="s">
        <v>393</v>
      </c>
      <c r="Q405" s="5" t="s">
        <v>766</v>
      </c>
      <c r="R405" s="11" t="s">
        <v>1021</v>
      </c>
      <c r="S405" s="5">
        <v>100</v>
      </c>
    </row>
    <row r="406" spans="1:19" s="13" customFormat="1" ht="63.75">
      <c r="A406" s="5">
        <v>391</v>
      </c>
      <c r="B406" s="29" t="s">
        <v>710</v>
      </c>
      <c r="C406" s="30" t="s">
        <v>711</v>
      </c>
      <c r="D406" s="11" t="s">
        <v>419</v>
      </c>
      <c r="E406" s="57" t="s">
        <v>420</v>
      </c>
      <c r="F406" s="57" t="s">
        <v>420</v>
      </c>
      <c r="G406" s="57" t="s">
        <v>2301</v>
      </c>
      <c r="H406" s="57" t="s">
        <v>421</v>
      </c>
      <c r="I406" s="57" t="s">
        <v>16</v>
      </c>
      <c r="J406" s="57" t="s">
        <v>16</v>
      </c>
      <c r="K406" s="57" t="s">
        <v>591</v>
      </c>
      <c r="L406" s="5" t="s">
        <v>1480</v>
      </c>
      <c r="M406" s="22">
        <v>7396</v>
      </c>
      <c r="N406" s="46">
        <v>111</v>
      </c>
      <c r="O406" s="49">
        <f t="shared" si="7"/>
        <v>820956</v>
      </c>
      <c r="P406" s="5" t="s">
        <v>393</v>
      </c>
      <c r="Q406" s="5" t="s">
        <v>766</v>
      </c>
      <c r="R406" s="11" t="s">
        <v>2023</v>
      </c>
      <c r="S406" s="22">
        <v>100</v>
      </c>
    </row>
    <row r="407" spans="1:19" ht="63.75">
      <c r="A407" s="5">
        <v>392</v>
      </c>
      <c r="B407" s="29" t="s">
        <v>710</v>
      </c>
      <c r="C407" s="30" t="s">
        <v>711</v>
      </c>
      <c r="D407" s="11" t="s">
        <v>419</v>
      </c>
      <c r="E407" s="57" t="s">
        <v>420</v>
      </c>
      <c r="F407" s="57" t="s">
        <v>420</v>
      </c>
      <c r="G407" s="57" t="s">
        <v>2301</v>
      </c>
      <c r="H407" s="57" t="s">
        <v>421</v>
      </c>
      <c r="I407" s="57" t="s">
        <v>16</v>
      </c>
      <c r="J407" s="57" t="s">
        <v>16</v>
      </c>
      <c r="K407" s="57" t="s">
        <v>591</v>
      </c>
      <c r="L407" s="5" t="s">
        <v>1480</v>
      </c>
      <c r="M407" s="22">
        <v>7726</v>
      </c>
      <c r="N407" s="46">
        <v>111</v>
      </c>
      <c r="O407" s="49">
        <f t="shared" si="7"/>
        <v>857586</v>
      </c>
      <c r="P407" s="5" t="s">
        <v>393</v>
      </c>
      <c r="Q407" s="5" t="s">
        <v>766</v>
      </c>
      <c r="R407" s="11" t="s">
        <v>633</v>
      </c>
      <c r="S407" s="22">
        <v>100</v>
      </c>
    </row>
    <row r="408" spans="1:19" ht="63.75">
      <c r="A408" s="5">
        <v>393</v>
      </c>
      <c r="B408" s="29" t="s">
        <v>710</v>
      </c>
      <c r="C408" s="30" t="s">
        <v>711</v>
      </c>
      <c r="D408" s="11" t="s">
        <v>419</v>
      </c>
      <c r="E408" s="57" t="s">
        <v>420</v>
      </c>
      <c r="F408" s="57" t="s">
        <v>420</v>
      </c>
      <c r="G408" s="57" t="s">
        <v>2301</v>
      </c>
      <c r="H408" s="57" t="s">
        <v>421</v>
      </c>
      <c r="I408" s="57" t="s">
        <v>16</v>
      </c>
      <c r="J408" s="57" t="s">
        <v>16</v>
      </c>
      <c r="K408" s="57" t="s">
        <v>591</v>
      </c>
      <c r="L408" s="5" t="s">
        <v>1480</v>
      </c>
      <c r="M408" s="22">
        <v>7288</v>
      </c>
      <c r="N408" s="46">
        <v>111</v>
      </c>
      <c r="O408" s="49">
        <f t="shared" ref="O408:O470" si="9">M408*N408</f>
        <v>808968</v>
      </c>
      <c r="P408" s="5" t="s">
        <v>393</v>
      </c>
      <c r="Q408" s="5" t="s">
        <v>766</v>
      </c>
      <c r="R408" s="11">
        <v>311000000</v>
      </c>
      <c r="S408" s="22">
        <v>100</v>
      </c>
    </row>
    <row r="409" spans="1:19" ht="63.75">
      <c r="A409" s="5">
        <v>394</v>
      </c>
      <c r="B409" s="29" t="s">
        <v>710</v>
      </c>
      <c r="C409" s="30" t="s">
        <v>711</v>
      </c>
      <c r="D409" s="11" t="s">
        <v>419</v>
      </c>
      <c r="E409" s="57" t="s">
        <v>420</v>
      </c>
      <c r="F409" s="57" t="s">
        <v>420</v>
      </c>
      <c r="G409" s="57" t="s">
        <v>2301</v>
      </c>
      <c r="H409" s="57" t="s">
        <v>421</v>
      </c>
      <c r="I409" s="57" t="s">
        <v>16</v>
      </c>
      <c r="J409" s="57" t="s">
        <v>16</v>
      </c>
      <c r="K409" s="57" t="s">
        <v>591</v>
      </c>
      <c r="L409" s="5" t="s">
        <v>1480</v>
      </c>
      <c r="M409" s="22">
        <v>7569</v>
      </c>
      <c r="N409" s="46">
        <v>111</v>
      </c>
      <c r="O409" s="49">
        <f t="shared" si="9"/>
        <v>840159</v>
      </c>
      <c r="P409" s="5" t="s">
        <v>393</v>
      </c>
      <c r="Q409" s="5" t="s">
        <v>766</v>
      </c>
      <c r="R409" s="11" t="s">
        <v>2024</v>
      </c>
      <c r="S409" s="5">
        <v>100</v>
      </c>
    </row>
    <row r="410" spans="1:19" ht="63.75">
      <c r="A410" s="5">
        <v>395</v>
      </c>
      <c r="B410" s="29" t="s">
        <v>710</v>
      </c>
      <c r="C410" s="30" t="s">
        <v>711</v>
      </c>
      <c r="D410" s="11" t="s">
        <v>419</v>
      </c>
      <c r="E410" s="57" t="s">
        <v>420</v>
      </c>
      <c r="F410" s="57" t="s">
        <v>420</v>
      </c>
      <c r="G410" s="57" t="s">
        <v>2301</v>
      </c>
      <c r="H410" s="57" t="s">
        <v>421</v>
      </c>
      <c r="I410" s="57" t="s">
        <v>16</v>
      </c>
      <c r="J410" s="57" t="s">
        <v>16</v>
      </c>
      <c r="K410" s="57" t="s">
        <v>591</v>
      </c>
      <c r="L410" s="5" t="s">
        <v>1480</v>
      </c>
      <c r="M410" s="22">
        <v>7569</v>
      </c>
      <c r="N410" s="46">
        <v>111</v>
      </c>
      <c r="O410" s="49">
        <f t="shared" si="9"/>
        <v>840159</v>
      </c>
      <c r="P410" s="5" t="s">
        <v>393</v>
      </c>
      <c r="Q410" s="5" t="s">
        <v>766</v>
      </c>
      <c r="R410" s="11">
        <v>351000000</v>
      </c>
      <c r="S410" s="22">
        <v>100</v>
      </c>
    </row>
    <row r="411" spans="1:19" ht="63.75">
      <c r="A411" s="5">
        <v>396</v>
      </c>
      <c r="B411" s="29" t="s">
        <v>710</v>
      </c>
      <c r="C411" s="30" t="s">
        <v>711</v>
      </c>
      <c r="D411" s="11" t="s">
        <v>419</v>
      </c>
      <c r="E411" s="57" t="s">
        <v>420</v>
      </c>
      <c r="F411" s="57" t="s">
        <v>420</v>
      </c>
      <c r="G411" s="57" t="s">
        <v>2301</v>
      </c>
      <c r="H411" s="57" t="s">
        <v>421</v>
      </c>
      <c r="I411" s="57" t="s">
        <v>16</v>
      </c>
      <c r="J411" s="57" t="s">
        <v>16</v>
      </c>
      <c r="K411" s="57" t="s">
        <v>591</v>
      </c>
      <c r="L411" s="5" t="s">
        <v>1480</v>
      </c>
      <c r="M411" s="22">
        <v>7569</v>
      </c>
      <c r="N411" s="46">
        <v>111</v>
      </c>
      <c r="O411" s="49">
        <f t="shared" si="9"/>
        <v>840159</v>
      </c>
      <c r="P411" s="5" t="s">
        <v>391</v>
      </c>
      <c r="Q411" s="5" t="s">
        <v>766</v>
      </c>
      <c r="R411" s="11" t="s">
        <v>925</v>
      </c>
      <c r="S411" s="22">
        <v>100</v>
      </c>
    </row>
    <row r="412" spans="1:19" ht="63.75">
      <c r="A412" s="5">
        <v>397</v>
      </c>
      <c r="B412" s="29" t="s">
        <v>710</v>
      </c>
      <c r="C412" s="30" t="s">
        <v>711</v>
      </c>
      <c r="D412" s="11" t="s">
        <v>419</v>
      </c>
      <c r="E412" s="57" t="s">
        <v>420</v>
      </c>
      <c r="F412" s="57" t="s">
        <v>420</v>
      </c>
      <c r="G412" s="57" t="s">
        <v>2301</v>
      </c>
      <c r="H412" s="57" t="s">
        <v>421</v>
      </c>
      <c r="I412" s="57" t="s">
        <v>16</v>
      </c>
      <c r="J412" s="57" t="s">
        <v>16</v>
      </c>
      <c r="K412" s="57" t="s">
        <v>591</v>
      </c>
      <c r="L412" s="5" t="s">
        <v>1480</v>
      </c>
      <c r="M412" s="22">
        <v>7396</v>
      </c>
      <c r="N412" s="46">
        <v>111</v>
      </c>
      <c r="O412" s="49">
        <f t="shared" si="9"/>
        <v>820956</v>
      </c>
      <c r="P412" s="5" t="s">
        <v>393</v>
      </c>
      <c r="Q412" s="5" t="s">
        <v>766</v>
      </c>
      <c r="R412" s="11">
        <v>431000000</v>
      </c>
      <c r="S412" s="22">
        <v>30</v>
      </c>
    </row>
    <row r="413" spans="1:19" ht="63.75">
      <c r="A413" s="5">
        <v>398</v>
      </c>
      <c r="B413" s="29" t="s">
        <v>710</v>
      </c>
      <c r="C413" s="30" t="s">
        <v>711</v>
      </c>
      <c r="D413" s="11" t="s">
        <v>419</v>
      </c>
      <c r="E413" s="57" t="s">
        <v>420</v>
      </c>
      <c r="F413" s="57" t="s">
        <v>420</v>
      </c>
      <c r="G413" s="57" t="s">
        <v>2301</v>
      </c>
      <c r="H413" s="57" t="s">
        <v>421</v>
      </c>
      <c r="I413" s="57" t="s">
        <v>16</v>
      </c>
      <c r="J413" s="57" t="s">
        <v>16</v>
      </c>
      <c r="K413" s="57" t="s">
        <v>591</v>
      </c>
      <c r="L413" s="5" t="s">
        <v>1480</v>
      </c>
      <c r="M413" s="51">
        <f>7550+1800</f>
        <v>9350</v>
      </c>
      <c r="N413" s="46">
        <f>O413/M413</f>
        <v>108.55540106951872</v>
      </c>
      <c r="O413" s="49">
        <f>807850+207143</f>
        <v>1014993</v>
      </c>
      <c r="P413" s="5" t="s">
        <v>506</v>
      </c>
      <c r="Q413" s="5" t="s">
        <v>766</v>
      </c>
      <c r="R413" s="11" t="s">
        <v>715</v>
      </c>
      <c r="S413" s="22">
        <v>100</v>
      </c>
    </row>
    <row r="414" spans="1:19" s="32" customFormat="1" ht="63.75">
      <c r="A414" s="5">
        <v>399</v>
      </c>
      <c r="B414" s="29" t="s">
        <v>710</v>
      </c>
      <c r="C414" s="30" t="s">
        <v>711</v>
      </c>
      <c r="D414" s="11" t="s">
        <v>419</v>
      </c>
      <c r="E414" s="57" t="s">
        <v>420</v>
      </c>
      <c r="F414" s="57" t="s">
        <v>420</v>
      </c>
      <c r="G414" s="57" t="s">
        <v>2301</v>
      </c>
      <c r="H414" s="57" t="s">
        <v>421</v>
      </c>
      <c r="I414" s="57" t="s">
        <v>16</v>
      </c>
      <c r="J414" s="57" t="s">
        <v>16</v>
      </c>
      <c r="K414" s="57" t="s">
        <v>591</v>
      </c>
      <c r="L414" s="5" t="s">
        <v>1480</v>
      </c>
      <c r="M414" s="22">
        <v>7569</v>
      </c>
      <c r="N414" s="46">
        <v>111</v>
      </c>
      <c r="O414" s="49">
        <f t="shared" si="9"/>
        <v>840159</v>
      </c>
      <c r="P414" s="5" t="s">
        <v>393</v>
      </c>
      <c r="Q414" s="5" t="s">
        <v>394</v>
      </c>
      <c r="R414" s="11">
        <v>551000000</v>
      </c>
      <c r="S414" s="22">
        <v>100</v>
      </c>
    </row>
    <row r="415" spans="1:19" ht="63.75">
      <c r="A415" s="5">
        <v>400</v>
      </c>
      <c r="B415" s="29" t="s">
        <v>710</v>
      </c>
      <c r="C415" s="30" t="s">
        <v>711</v>
      </c>
      <c r="D415" s="11" t="s">
        <v>419</v>
      </c>
      <c r="E415" s="57" t="s">
        <v>420</v>
      </c>
      <c r="F415" s="57" t="s">
        <v>420</v>
      </c>
      <c r="G415" s="57" t="s">
        <v>2301</v>
      </c>
      <c r="H415" s="57" t="s">
        <v>421</v>
      </c>
      <c r="I415" s="57" t="s">
        <v>16</v>
      </c>
      <c r="J415" s="57" t="s">
        <v>16</v>
      </c>
      <c r="K415" s="57" t="s">
        <v>591</v>
      </c>
      <c r="L415" s="5" t="s">
        <v>1480</v>
      </c>
      <c r="M415" s="22">
        <v>7569</v>
      </c>
      <c r="N415" s="46">
        <v>111</v>
      </c>
      <c r="O415" s="49">
        <f t="shared" si="9"/>
        <v>840159</v>
      </c>
      <c r="P415" s="5" t="s">
        <v>391</v>
      </c>
      <c r="Q415" s="5" t="s">
        <v>766</v>
      </c>
      <c r="R415" s="11">
        <v>591000000</v>
      </c>
      <c r="S415" s="22">
        <v>100</v>
      </c>
    </row>
    <row r="416" spans="1:19" ht="63.75">
      <c r="A416" s="5">
        <v>401</v>
      </c>
      <c r="B416" s="29" t="s">
        <v>710</v>
      </c>
      <c r="C416" s="30" t="s">
        <v>711</v>
      </c>
      <c r="D416" s="11" t="s">
        <v>419</v>
      </c>
      <c r="E416" s="57" t="s">
        <v>420</v>
      </c>
      <c r="F416" s="57" t="s">
        <v>420</v>
      </c>
      <c r="G416" s="57" t="s">
        <v>2301</v>
      </c>
      <c r="H416" s="57" t="s">
        <v>421</v>
      </c>
      <c r="I416" s="57" t="s">
        <v>16</v>
      </c>
      <c r="J416" s="57" t="s">
        <v>16</v>
      </c>
      <c r="K416" s="57" t="s">
        <v>591</v>
      </c>
      <c r="L416" s="5" t="s">
        <v>1480</v>
      </c>
      <c r="M416" s="22">
        <v>7288</v>
      </c>
      <c r="N416" s="46">
        <v>111</v>
      </c>
      <c r="O416" s="49">
        <f t="shared" si="9"/>
        <v>808968</v>
      </c>
      <c r="P416" s="5" t="s">
        <v>393</v>
      </c>
      <c r="Q416" s="5" t="s">
        <v>766</v>
      </c>
      <c r="R416" s="11" t="s">
        <v>2029</v>
      </c>
      <c r="S416" s="5">
        <v>100</v>
      </c>
    </row>
    <row r="417" spans="1:19" ht="51">
      <c r="A417" s="5">
        <v>402</v>
      </c>
      <c r="B417" s="29" t="s">
        <v>710</v>
      </c>
      <c r="C417" s="30" t="s">
        <v>711</v>
      </c>
      <c r="D417" s="33" t="s">
        <v>422</v>
      </c>
      <c r="E417" s="57" t="s">
        <v>423</v>
      </c>
      <c r="F417" s="57" t="s">
        <v>424</v>
      </c>
      <c r="G417" s="57" t="s">
        <v>837</v>
      </c>
      <c r="H417" s="57" t="s">
        <v>425</v>
      </c>
      <c r="I417" s="57" t="s">
        <v>2303</v>
      </c>
      <c r="J417" s="57" t="s">
        <v>230</v>
      </c>
      <c r="K417" s="57" t="s">
        <v>591</v>
      </c>
      <c r="L417" s="11" t="s">
        <v>909</v>
      </c>
      <c r="M417" s="22">
        <v>2000</v>
      </c>
      <c r="N417" s="46">
        <v>625</v>
      </c>
      <c r="O417" s="49">
        <f t="shared" si="9"/>
        <v>1250000</v>
      </c>
      <c r="P417" s="5" t="s">
        <v>515</v>
      </c>
      <c r="Q417" s="5" t="s">
        <v>766</v>
      </c>
      <c r="R417" s="11" t="s">
        <v>1175</v>
      </c>
      <c r="S417" s="22">
        <v>50</v>
      </c>
    </row>
    <row r="418" spans="1:19" ht="51">
      <c r="A418" s="5">
        <v>403</v>
      </c>
      <c r="B418" s="29" t="s">
        <v>710</v>
      </c>
      <c r="C418" s="30" t="s">
        <v>711</v>
      </c>
      <c r="D418" s="5" t="s">
        <v>443</v>
      </c>
      <c r="E418" s="57" t="s">
        <v>1676</v>
      </c>
      <c r="F418" s="57" t="s">
        <v>444</v>
      </c>
      <c r="G418" s="57" t="s">
        <v>1677</v>
      </c>
      <c r="H418" s="57" t="s">
        <v>446</v>
      </c>
      <c r="I418" s="57" t="s">
        <v>1678</v>
      </c>
      <c r="J418" s="57" t="s">
        <v>206</v>
      </c>
      <c r="K418" s="57" t="s">
        <v>591</v>
      </c>
      <c r="L418" s="31" t="s">
        <v>644</v>
      </c>
      <c r="M418" s="51">
        <v>1000</v>
      </c>
      <c r="N418" s="46">
        <v>393</v>
      </c>
      <c r="O418" s="49">
        <f t="shared" si="9"/>
        <v>393000</v>
      </c>
      <c r="P418" s="5" t="s">
        <v>391</v>
      </c>
      <c r="Q418" s="5" t="s">
        <v>1476</v>
      </c>
      <c r="R418" s="11" t="s">
        <v>1175</v>
      </c>
      <c r="S418" s="22">
        <v>50</v>
      </c>
    </row>
    <row r="419" spans="1:19" ht="51">
      <c r="A419" s="5">
        <v>404</v>
      </c>
      <c r="B419" s="29" t="s">
        <v>710</v>
      </c>
      <c r="C419" s="30" t="s">
        <v>711</v>
      </c>
      <c r="D419" s="5" t="s">
        <v>443</v>
      </c>
      <c r="E419" s="57" t="s">
        <v>1676</v>
      </c>
      <c r="F419" s="57" t="s">
        <v>444</v>
      </c>
      <c r="G419" s="57" t="s">
        <v>1677</v>
      </c>
      <c r="H419" s="57" t="s">
        <v>446</v>
      </c>
      <c r="I419" s="57" t="s">
        <v>1679</v>
      </c>
      <c r="J419" s="57" t="s">
        <v>207</v>
      </c>
      <c r="K419" s="57" t="s">
        <v>591</v>
      </c>
      <c r="L419" s="31" t="s">
        <v>644</v>
      </c>
      <c r="M419" s="51">
        <v>400</v>
      </c>
      <c r="N419" s="46">
        <v>393</v>
      </c>
      <c r="O419" s="49">
        <f t="shared" si="9"/>
        <v>157200</v>
      </c>
      <c r="P419" s="5" t="s">
        <v>391</v>
      </c>
      <c r="Q419" s="5" t="s">
        <v>1476</v>
      </c>
      <c r="R419" s="11" t="s">
        <v>1175</v>
      </c>
      <c r="S419" s="22">
        <v>50</v>
      </c>
    </row>
    <row r="420" spans="1:19" ht="51">
      <c r="A420" s="5">
        <v>405</v>
      </c>
      <c r="B420" s="29" t="s">
        <v>710</v>
      </c>
      <c r="C420" s="30" t="s">
        <v>711</v>
      </c>
      <c r="D420" s="10" t="s">
        <v>677</v>
      </c>
      <c r="E420" s="57" t="s">
        <v>2276</v>
      </c>
      <c r="F420" s="57" t="s">
        <v>23</v>
      </c>
      <c r="G420" s="57" t="s">
        <v>1680</v>
      </c>
      <c r="H420" s="57" t="s">
        <v>678</v>
      </c>
      <c r="I420" s="57" t="s">
        <v>2277</v>
      </c>
      <c r="J420" s="57" t="s">
        <v>208</v>
      </c>
      <c r="K420" s="57" t="s">
        <v>591</v>
      </c>
      <c r="L420" s="31" t="s">
        <v>644</v>
      </c>
      <c r="M420" s="51">
        <v>160</v>
      </c>
      <c r="N420" s="46">
        <v>31</v>
      </c>
      <c r="O420" s="49">
        <f t="shared" si="9"/>
        <v>4960</v>
      </c>
      <c r="P420" s="5" t="s">
        <v>391</v>
      </c>
      <c r="Q420" s="5" t="s">
        <v>1476</v>
      </c>
      <c r="R420" s="11" t="s">
        <v>1175</v>
      </c>
      <c r="S420" s="22">
        <v>50</v>
      </c>
    </row>
    <row r="421" spans="1:19" ht="51">
      <c r="A421" s="5">
        <v>406</v>
      </c>
      <c r="B421" s="29" t="s">
        <v>710</v>
      </c>
      <c r="C421" s="30" t="s">
        <v>711</v>
      </c>
      <c r="D421" s="5" t="s">
        <v>447</v>
      </c>
      <c r="E421" s="57" t="s">
        <v>24</v>
      </c>
      <c r="F421" s="57" t="s">
        <v>24</v>
      </c>
      <c r="G421" s="57" t="s">
        <v>1681</v>
      </c>
      <c r="H421" s="57" t="s">
        <v>448</v>
      </c>
      <c r="I421" s="57" t="s">
        <v>1682</v>
      </c>
      <c r="J421" s="57" t="s">
        <v>209</v>
      </c>
      <c r="K421" s="57" t="s">
        <v>591</v>
      </c>
      <c r="L421" s="31" t="s">
        <v>644</v>
      </c>
      <c r="M421" s="51">
        <v>100</v>
      </c>
      <c r="N421" s="46">
        <v>196</v>
      </c>
      <c r="O421" s="49">
        <f t="shared" si="9"/>
        <v>19600</v>
      </c>
      <c r="P421" s="5" t="s">
        <v>391</v>
      </c>
      <c r="Q421" s="5" t="s">
        <v>1476</v>
      </c>
      <c r="R421" s="11" t="s">
        <v>1175</v>
      </c>
      <c r="S421" s="22">
        <v>50</v>
      </c>
    </row>
    <row r="422" spans="1:19" ht="51">
      <c r="A422" s="5">
        <v>407</v>
      </c>
      <c r="B422" s="29" t="s">
        <v>710</v>
      </c>
      <c r="C422" s="30" t="s">
        <v>711</v>
      </c>
      <c r="D422" s="5" t="s">
        <v>447</v>
      </c>
      <c r="E422" s="57" t="s">
        <v>24</v>
      </c>
      <c r="F422" s="57" t="s">
        <v>24</v>
      </c>
      <c r="G422" s="57" t="s">
        <v>1681</v>
      </c>
      <c r="H422" s="57" t="s">
        <v>448</v>
      </c>
      <c r="I422" s="57" t="s">
        <v>1683</v>
      </c>
      <c r="J422" s="57" t="s">
        <v>229</v>
      </c>
      <c r="K422" s="57" t="s">
        <v>591</v>
      </c>
      <c r="L422" s="31" t="s">
        <v>644</v>
      </c>
      <c r="M422" s="51">
        <v>78</v>
      </c>
      <c r="N422" s="46">
        <v>88</v>
      </c>
      <c r="O422" s="49">
        <f t="shared" si="9"/>
        <v>6864</v>
      </c>
      <c r="P422" s="5" t="s">
        <v>391</v>
      </c>
      <c r="Q422" s="5" t="s">
        <v>1476</v>
      </c>
      <c r="R422" s="11" t="s">
        <v>1175</v>
      </c>
      <c r="S422" s="22">
        <v>50</v>
      </c>
    </row>
    <row r="423" spans="1:19" ht="51">
      <c r="A423" s="5">
        <v>408</v>
      </c>
      <c r="B423" s="29" t="s">
        <v>710</v>
      </c>
      <c r="C423" s="30" t="s">
        <v>711</v>
      </c>
      <c r="D423" s="5" t="s">
        <v>457</v>
      </c>
      <c r="E423" s="57" t="s">
        <v>17</v>
      </c>
      <c r="F423" s="57" t="s">
        <v>17</v>
      </c>
      <c r="G423" s="57" t="s">
        <v>2289</v>
      </c>
      <c r="H423" s="57" t="s">
        <v>2290</v>
      </c>
      <c r="I423" s="57" t="s">
        <v>1684</v>
      </c>
      <c r="J423" s="57" t="s">
        <v>210</v>
      </c>
      <c r="K423" s="57" t="s">
        <v>591</v>
      </c>
      <c r="L423" s="31" t="s">
        <v>644</v>
      </c>
      <c r="M423" s="22">
        <v>50</v>
      </c>
      <c r="N423" s="46">
        <v>161</v>
      </c>
      <c r="O423" s="49">
        <f t="shared" si="9"/>
        <v>8050</v>
      </c>
      <c r="P423" s="5" t="s">
        <v>391</v>
      </c>
      <c r="Q423" s="5" t="s">
        <v>1476</v>
      </c>
      <c r="R423" s="11" t="s">
        <v>1175</v>
      </c>
      <c r="S423" s="22">
        <v>50</v>
      </c>
    </row>
    <row r="424" spans="1:19" ht="51">
      <c r="A424" s="5">
        <v>409</v>
      </c>
      <c r="B424" s="29" t="s">
        <v>710</v>
      </c>
      <c r="C424" s="30" t="s">
        <v>711</v>
      </c>
      <c r="D424" s="5" t="s">
        <v>457</v>
      </c>
      <c r="E424" s="57" t="s">
        <v>17</v>
      </c>
      <c r="F424" s="57" t="s">
        <v>17</v>
      </c>
      <c r="G424" s="57" t="s">
        <v>2289</v>
      </c>
      <c r="H424" s="57" t="s">
        <v>2290</v>
      </c>
      <c r="I424" s="57" t="s">
        <v>1685</v>
      </c>
      <c r="J424" s="57" t="s">
        <v>211</v>
      </c>
      <c r="K424" s="57" t="s">
        <v>591</v>
      </c>
      <c r="L424" s="31" t="s">
        <v>644</v>
      </c>
      <c r="M424" s="22">
        <v>30</v>
      </c>
      <c r="N424" s="46">
        <v>696</v>
      </c>
      <c r="O424" s="49">
        <f t="shared" si="9"/>
        <v>20880</v>
      </c>
      <c r="P424" s="5" t="s">
        <v>391</v>
      </c>
      <c r="Q424" s="5" t="s">
        <v>1476</v>
      </c>
      <c r="R424" s="11" t="s">
        <v>1175</v>
      </c>
      <c r="S424" s="22">
        <v>50</v>
      </c>
    </row>
    <row r="425" spans="1:19" ht="51">
      <c r="A425" s="5">
        <v>410</v>
      </c>
      <c r="B425" s="29" t="s">
        <v>710</v>
      </c>
      <c r="C425" s="30" t="s">
        <v>711</v>
      </c>
      <c r="D425" s="5" t="s">
        <v>457</v>
      </c>
      <c r="E425" s="57" t="s">
        <v>17</v>
      </c>
      <c r="F425" s="57" t="s">
        <v>17</v>
      </c>
      <c r="G425" s="57" t="s">
        <v>2289</v>
      </c>
      <c r="H425" s="57" t="s">
        <v>2290</v>
      </c>
      <c r="I425" s="57" t="s">
        <v>1686</v>
      </c>
      <c r="J425" s="57" t="s">
        <v>212</v>
      </c>
      <c r="K425" s="57" t="s">
        <v>591</v>
      </c>
      <c r="L425" s="31" t="s">
        <v>644</v>
      </c>
      <c r="M425" s="22">
        <v>10</v>
      </c>
      <c r="N425" s="46">
        <v>3170</v>
      </c>
      <c r="O425" s="49">
        <f t="shared" si="9"/>
        <v>31700</v>
      </c>
      <c r="P425" s="5" t="s">
        <v>391</v>
      </c>
      <c r="Q425" s="5" t="s">
        <v>1476</v>
      </c>
      <c r="R425" s="11" t="s">
        <v>1175</v>
      </c>
      <c r="S425" s="22">
        <v>50</v>
      </c>
    </row>
    <row r="426" spans="1:19" ht="51">
      <c r="A426" s="5">
        <v>411</v>
      </c>
      <c r="B426" s="29" t="s">
        <v>710</v>
      </c>
      <c r="C426" s="30" t="s">
        <v>711</v>
      </c>
      <c r="D426" s="5" t="s">
        <v>452</v>
      </c>
      <c r="E426" s="57" t="s">
        <v>453</v>
      </c>
      <c r="F426" s="57" t="s">
        <v>454</v>
      </c>
      <c r="G426" s="57" t="s">
        <v>1687</v>
      </c>
      <c r="H426" s="57" t="s">
        <v>456</v>
      </c>
      <c r="I426" s="57" t="s">
        <v>1688</v>
      </c>
      <c r="J426" s="57" t="s">
        <v>213</v>
      </c>
      <c r="K426" s="57" t="s">
        <v>591</v>
      </c>
      <c r="L426" s="5" t="s">
        <v>480</v>
      </c>
      <c r="M426" s="22">
        <v>150</v>
      </c>
      <c r="N426" s="46">
        <v>40</v>
      </c>
      <c r="O426" s="49">
        <f t="shared" si="9"/>
        <v>6000</v>
      </c>
      <c r="P426" s="5" t="s">
        <v>391</v>
      </c>
      <c r="Q426" s="5" t="s">
        <v>1476</v>
      </c>
      <c r="R426" s="11" t="s">
        <v>1175</v>
      </c>
      <c r="S426" s="22">
        <v>50</v>
      </c>
    </row>
    <row r="427" spans="1:19" ht="51">
      <c r="A427" s="5">
        <v>412</v>
      </c>
      <c r="B427" s="29" t="s">
        <v>710</v>
      </c>
      <c r="C427" s="30" t="s">
        <v>711</v>
      </c>
      <c r="D427" s="5" t="s">
        <v>452</v>
      </c>
      <c r="E427" s="57" t="s">
        <v>453</v>
      </c>
      <c r="F427" s="57" t="s">
        <v>454</v>
      </c>
      <c r="G427" s="57" t="s">
        <v>1687</v>
      </c>
      <c r="H427" s="57" t="s">
        <v>456</v>
      </c>
      <c r="I427" s="57" t="s">
        <v>1689</v>
      </c>
      <c r="J427" s="57" t="s">
        <v>214</v>
      </c>
      <c r="K427" s="57" t="s">
        <v>591</v>
      </c>
      <c r="L427" s="5" t="s">
        <v>480</v>
      </c>
      <c r="M427" s="22">
        <v>150</v>
      </c>
      <c r="N427" s="46">
        <v>76</v>
      </c>
      <c r="O427" s="49">
        <f t="shared" si="9"/>
        <v>11400</v>
      </c>
      <c r="P427" s="5" t="s">
        <v>391</v>
      </c>
      <c r="Q427" s="5" t="s">
        <v>1476</v>
      </c>
      <c r="R427" s="11" t="s">
        <v>1175</v>
      </c>
      <c r="S427" s="22">
        <v>50</v>
      </c>
    </row>
    <row r="428" spans="1:19" ht="51">
      <c r="A428" s="5">
        <v>413</v>
      </c>
      <c r="B428" s="29" t="s">
        <v>710</v>
      </c>
      <c r="C428" s="30" t="s">
        <v>711</v>
      </c>
      <c r="D428" s="5" t="s">
        <v>452</v>
      </c>
      <c r="E428" s="57" t="s">
        <v>453</v>
      </c>
      <c r="F428" s="57" t="s">
        <v>454</v>
      </c>
      <c r="G428" s="57" t="s">
        <v>1687</v>
      </c>
      <c r="H428" s="57" t="s">
        <v>456</v>
      </c>
      <c r="I428" s="57" t="s">
        <v>1690</v>
      </c>
      <c r="J428" s="57" t="s">
        <v>1101</v>
      </c>
      <c r="K428" s="57" t="s">
        <v>591</v>
      </c>
      <c r="L428" s="5" t="s">
        <v>480</v>
      </c>
      <c r="M428" s="22">
        <v>112</v>
      </c>
      <c r="N428" s="46">
        <v>125</v>
      </c>
      <c r="O428" s="49">
        <f t="shared" si="9"/>
        <v>14000</v>
      </c>
      <c r="P428" s="5" t="s">
        <v>391</v>
      </c>
      <c r="Q428" s="5" t="s">
        <v>1476</v>
      </c>
      <c r="R428" s="11" t="s">
        <v>1175</v>
      </c>
      <c r="S428" s="22">
        <v>50</v>
      </c>
    </row>
    <row r="429" spans="1:19" ht="51">
      <c r="A429" s="5">
        <v>414</v>
      </c>
      <c r="B429" s="29" t="s">
        <v>710</v>
      </c>
      <c r="C429" s="30" t="s">
        <v>711</v>
      </c>
      <c r="D429" s="11" t="s">
        <v>459</v>
      </c>
      <c r="E429" s="57" t="s">
        <v>1691</v>
      </c>
      <c r="F429" s="57" t="s">
        <v>460</v>
      </c>
      <c r="G429" s="57" t="s">
        <v>1692</v>
      </c>
      <c r="H429" s="57" t="s">
        <v>461</v>
      </c>
      <c r="I429" s="57" t="s">
        <v>1693</v>
      </c>
      <c r="J429" s="57" t="s">
        <v>215</v>
      </c>
      <c r="K429" s="57" t="s">
        <v>591</v>
      </c>
      <c r="L429" s="31" t="s">
        <v>644</v>
      </c>
      <c r="M429" s="22">
        <v>60</v>
      </c>
      <c r="N429" s="46">
        <v>125</v>
      </c>
      <c r="O429" s="49">
        <f t="shared" si="9"/>
        <v>7500</v>
      </c>
      <c r="P429" s="5" t="s">
        <v>391</v>
      </c>
      <c r="Q429" s="5" t="s">
        <v>1476</v>
      </c>
      <c r="R429" s="11" t="s">
        <v>1175</v>
      </c>
      <c r="S429" s="22">
        <v>50</v>
      </c>
    </row>
    <row r="430" spans="1:19" ht="51">
      <c r="A430" s="5">
        <v>415</v>
      </c>
      <c r="B430" s="29" t="s">
        <v>710</v>
      </c>
      <c r="C430" s="30" t="s">
        <v>711</v>
      </c>
      <c r="D430" s="11" t="s">
        <v>1102</v>
      </c>
      <c r="E430" s="57" t="s">
        <v>1103</v>
      </c>
      <c r="F430" s="57" t="s">
        <v>1103</v>
      </c>
      <c r="G430" s="57" t="s">
        <v>1694</v>
      </c>
      <c r="H430" s="57" t="s">
        <v>1104</v>
      </c>
      <c r="I430" s="57" t="s">
        <v>1695</v>
      </c>
      <c r="J430" s="57" t="s">
        <v>216</v>
      </c>
      <c r="K430" s="57" t="s">
        <v>591</v>
      </c>
      <c r="L430" s="31" t="s">
        <v>644</v>
      </c>
      <c r="M430" s="22">
        <v>40</v>
      </c>
      <c r="N430" s="46">
        <v>214</v>
      </c>
      <c r="O430" s="49">
        <f t="shared" si="9"/>
        <v>8560</v>
      </c>
      <c r="P430" s="5" t="s">
        <v>391</v>
      </c>
      <c r="Q430" s="5" t="s">
        <v>1476</v>
      </c>
      <c r="R430" s="11" t="s">
        <v>1175</v>
      </c>
      <c r="S430" s="22">
        <v>50</v>
      </c>
    </row>
    <row r="431" spans="1:19" ht="51">
      <c r="A431" s="5">
        <v>416</v>
      </c>
      <c r="B431" s="29" t="s">
        <v>710</v>
      </c>
      <c r="C431" s="30" t="s">
        <v>711</v>
      </c>
      <c r="D431" s="5" t="s">
        <v>476</v>
      </c>
      <c r="E431" s="57" t="s">
        <v>1696</v>
      </c>
      <c r="F431" s="57" t="s">
        <v>28</v>
      </c>
      <c r="G431" s="57" t="s">
        <v>1697</v>
      </c>
      <c r="H431" s="57" t="s">
        <v>479</v>
      </c>
      <c r="I431" s="57" t="s">
        <v>1698</v>
      </c>
      <c r="J431" s="57" t="s">
        <v>1105</v>
      </c>
      <c r="K431" s="57" t="s">
        <v>591</v>
      </c>
      <c r="L431" s="31" t="s">
        <v>644</v>
      </c>
      <c r="M431" s="22">
        <v>40</v>
      </c>
      <c r="N431" s="46">
        <v>696</v>
      </c>
      <c r="O431" s="49">
        <f t="shared" si="9"/>
        <v>27840</v>
      </c>
      <c r="P431" s="5" t="s">
        <v>391</v>
      </c>
      <c r="Q431" s="5" t="s">
        <v>1476</v>
      </c>
      <c r="R431" s="11" t="s">
        <v>1175</v>
      </c>
      <c r="S431" s="22">
        <v>50</v>
      </c>
    </row>
    <row r="432" spans="1:19" ht="51">
      <c r="A432" s="5">
        <v>417</v>
      </c>
      <c r="B432" s="29" t="s">
        <v>710</v>
      </c>
      <c r="C432" s="30" t="s">
        <v>711</v>
      </c>
      <c r="D432" s="5" t="s">
        <v>476</v>
      </c>
      <c r="E432" s="57" t="s">
        <v>1696</v>
      </c>
      <c r="F432" s="57" t="s">
        <v>28</v>
      </c>
      <c r="G432" s="57" t="s">
        <v>1697</v>
      </c>
      <c r="H432" s="57" t="s">
        <v>479</v>
      </c>
      <c r="I432" s="57" t="s">
        <v>1699</v>
      </c>
      <c r="J432" s="57" t="s">
        <v>217</v>
      </c>
      <c r="K432" s="57" t="s">
        <v>591</v>
      </c>
      <c r="L432" s="31" t="s">
        <v>644</v>
      </c>
      <c r="M432" s="22">
        <v>20</v>
      </c>
      <c r="N432" s="46">
        <v>3661</v>
      </c>
      <c r="O432" s="49">
        <f t="shared" si="9"/>
        <v>73220</v>
      </c>
      <c r="P432" s="5" t="s">
        <v>391</v>
      </c>
      <c r="Q432" s="5" t="s">
        <v>1476</v>
      </c>
      <c r="R432" s="11" t="s">
        <v>1175</v>
      </c>
      <c r="S432" s="22">
        <v>50</v>
      </c>
    </row>
    <row r="433" spans="1:19" ht="51">
      <c r="A433" s="5">
        <v>418</v>
      </c>
      <c r="B433" s="29" t="s">
        <v>710</v>
      </c>
      <c r="C433" s="30" t="s">
        <v>711</v>
      </c>
      <c r="D433" s="10" t="s">
        <v>690</v>
      </c>
      <c r="E433" s="57" t="s">
        <v>2183</v>
      </c>
      <c r="F433" s="57" t="s">
        <v>29</v>
      </c>
      <c r="G433" s="57" t="s">
        <v>1700</v>
      </c>
      <c r="H433" s="57" t="s">
        <v>1701</v>
      </c>
      <c r="I433" s="57" t="s">
        <v>1702</v>
      </c>
      <c r="J433" s="57" t="s">
        <v>218</v>
      </c>
      <c r="K433" s="57" t="s">
        <v>591</v>
      </c>
      <c r="L433" s="5" t="s">
        <v>480</v>
      </c>
      <c r="M433" s="22">
        <v>130</v>
      </c>
      <c r="N433" s="46">
        <v>196</v>
      </c>
      <c r="O433" s="49">
        <f t="shared" si="9"/>
        <v>25480</v>
      </c>
      <c r="P433" s="5" t="s">
        <v>391</v>
      </c>
      <c r="Q433" s="5" t="s">
        <v>1476</v>
      </c>
      <c r="R433" s="11" t="s">
        <v>1175</v>
      </c>
      <c r="S433" s="22">
        <v>50</v>
      </c>
    </row>
    <row r="434" spans="1:19" ht="51">
      <c r="A434" s="5">
        <v>419</v>
      </c>
      <c r="B434" s="29" t="s">
        <v>710</v>
      </c>
      <c r="C434" s="30" t="s">
        <v>711</v>
      </c>
      <c r="D434" s="10" t="s">
        <v>690</v>
      </c>
      <c r="E434" s="57" t="s">
        <v>2183</v>
      </c>
      <c r="F434" s="57" t="s">
        <v>29</v>
      </c>
      <c r="G434" s="57" t="s">
        <v>1703</v>
      </c>
      <c r="H434" s="57" t="s">
        <v>1704</v>
      </c>
      <c r="I434" s="57" t="s">
        <v>1705</v>
      </c>
      <c r="J434" s="57" t="s">
        <v>219</v>
      </c>
      <c r="K434" s="57" t="s">
        <v>591</v>
      </c>
      <c r="L434" s="5" t="s">
        <v>480</v>
      </c>
      <c r="M434" s="22">
        <v>135</v>
      </c>
      <c r="N434" s="46">
        <v>214</v>
      </c>
      <c r="O434" s="49">
        <f t="shared" si="9"/>
        <v>28890</v>
      </c>
      <c r="P434" s="5" t="s">
        <v>391</v>
      </c>
      <c r="Q434" s="5" t="s">
        <v>1476</v>
      </c>
      <c r="R434" s="11" t="s">
        <v>1175</v>
      </c>
      <c r="S434" s="22">
        <v>50</v>
      </c>
    </row>
    <row r="435" spans="1:19" ht="51">
      <c r="A435" s="5">
        <v>420</v>
      </c>
      <c r="B435" s="29" t="s">
        <v>710</v>
      </c>
      <c r="C435" s="30" t="s">
        <v>711</v>
      </c>
      <c r="D435" s="5" t="s">
        <v>449</v>
      </c>
      <c r="E435" s="57" t="s">
        <v>2278</v>
      </c>
      <c r="F435" s="57" t="s">
        <v>450</v>
      </c>
      <c r="G435" s="57" t="s">
        <v>2281</v>
      </c>
      <c r="H435" s="57" t="s">
        <v>451</v>
      </c>
      <c r="I435" s="57" t="s">
        <v>2278</v>
      </c>
      <c r="J435" s="57" t="s">
        <v>233</v>
      </c>
      <c r="K435" s="57" t="s">
        <v>591</v>
      </c>
      <c r="L435" s="5" t="s">
        <v>480</v>
      </c>
      <c r="M435" s="22">
        <v>150</v>
      </c>
      <c r="N435" s="46">
        <v>70</v>
      </c>
      <c r="O435" s="49">
        <f t="shared" si="9"/>
        <v>10500</v>
      </c>
      <c r="P435" s="5" t="s">
        <v>391</v>
      </c>
      <c r="Q435" s="5" t="s">
        <v>1476</v>
      </c>
      <c r="R435" s="11" t="s">
        <v>1175</v>
      </c>
      <c r="S435" s="22">
        <v>50</v>
      </c>
    </row>
    <row r="436" spans="1:19" ht="51">
      <c r="A436" s="5">
        <v>421</v>
      </c>
      <c r="B436" s="29" t="s">
        <v>710</v>
      </c>
      <c r="C436" s="30" t="s">
        <v>711</v>
      </c>
      <c r="D436" s="11" t="s">
        <v>1106</v>
      </c>
      <c r="E436" s="57" t="s">
        <v>1706</v>
      </c>
      <c r="F436" s="57" t="s">
        <v>1107</v>
      </c>
      <c r="G436" s="57" t="s">
        <v>1707</v>
      </c>
      <c r="H436" s="57" t="s">
        <v>1108</v>
      </c>
      <c r="I436" s="57" t="s">
        <v>1706</v>
      </c>
      <c r="J436" s="57" t="s">
        <v>220</v>
      </c>
      <c r="K436" s="57" t="s">
        <v>591</v>
      </c>
      <c r="L436" s="31" t="s">
        <v>644</v>
      </c>
      <c r="M436" s="22">
        <v>20</v>
      </c>
      <c r="N436" s="46">
        <v>1125</v>
      </c>
      <c r="O436" s="49">
        <f t="shared" si="9"/>
        <v>22500</v>
      </c>
      <c r="P436" s="5" t="s">
        <v>391</v>
      </c>
      <c r="Q436" s="5" t="s">
        <v>1476</v>
      </c>
      <c r="R436" s="11" t="s">
        <v>1175</v>
      </c>
      <c r="S436" s="22">
        <v>50</v>
      </c>
    </row>
    <row r="437" spans="1:19" ht="51">
      <c r="A437" s="5">
        <v>422</v>
      </c>
      <c r="B437" s="29" t="s">
        <v>710</v>
      </c>
      <c r="C437" s="30" t="s">
        <v>711</v>
      </c>
      <c r="D437" s="5" t="s">
        <v>1109</v>
      </c>
      <c r="E437" s="57" t="s">
        <v>1708</v>
      </c>
      <c r="F437" s="57" t="s">
        <v>1110</v>
      </c>
      <c r="G437" s="57" t="s">
        <v>1709</v>
      </c>
      <c r="H437" s="57" t="s">
        <v>1111</v>
      </c>
      <c r="I437" s="57" t="s">
        <v>1710</v>
      </c>
      <c r="J437" s="57" t="s">
        <v>221</v>
      </c>
      <c r="K437" s="57" t="s">
        <v>591</v>
      </c>
      <c r="L437" s="31" t="s">
        <v>644</v>
      </c>
      <c r="M437" s="22">
        <v>60</v>
      </c>
      <c r="N437" s="46">
        <v>670</v>
      </c>
      <c r="O437" s="49">
        <f t="shared" si="9"/>
        <v>40200</v>
      </c>
      <c r="P437" s="5" t="s">
        <v>391</v>
      </c>
      <c r="Q437" s="5" t="s">
        <v>1476</v>
      </c>
      <c r="R437" s="11" t="s">
        <v>1175</v>
      </c>
      <c r="S437" s="22">
        <v>50</v>
      </c>
    </row>
    <row r="438" spans="1:19" ht="51">
      <c r="A438" s="5">
        <v>423</v>
      </c>
      <c r="B438" s="29" t="s">
        <v>710</v>
      </c>
      <c r="C438" s="30" t="s">
        <v>711</v>
      </c>
      <c r="D438" s="11" t="s">
        <v>1112</v>
      </c>
      <c r="E438" s="57" t="s">
        <v>1711</v>
      </c>
      <c r="F438" s="57" t="s">
        <v>1113</v>
      </c>
      <c r="G438" s="57" t="s">
        <v>1712</v>
      </c>
      <c r="H438" s="57" t="s">
        <v>1114</v>
      </c>
      <c r="I438" s="57" t="s">
        <v>1713</v>
      </c>
      <c r="J438" s="57" t="s">
        <v>222</v>
      </c>
      <c r="K438" s="57" t="s">
        <v>591</v>
      </c>
      <c r="L438" s="5" t="s">
        <v>480</v>
      </c>
      <c r="M438" s="22">
        <v>40</v>
      </c>
      <c r="N438" s="46">
        <v>263</v>
      </c>
      <c r="O438" s="49">
        <f t="shared" si="9"/>
        <v>10520</v>
      </c>
      <c r="P438" s="5" t="s">
        <v>391</v>
      </c>
      <c r="Q438" s="5" t="s">
        <v>1476</v>
      </c>
      <c r="R438" s="11" t="s">
        <v>1175</v>
      </c>
      <c r="S438" s="22">
        <v>50</v>
      </c>
    </row>
    <row r="439" spans="1:19" ht="51">
      <c r="A439" s="5">
        <v>424</v>
      </c>
      <c r="B439" s="29" t="s">
        <v>710</v>
      </c>
      <c r="C439" s="30" t="s">
        <v>711</v>
      </c>
      <c r="D439" s="11" t="s">
        <v>1382</v>
      </c>
      <c r="E439" s="57" t="s">
        <v>1009</v>
      </c>
      <c r="F439" s="57" t="s">
        <v>20</v>
      </c>
      <c r="G439" s="57" t="s">
        <v>1714</v>
      </c>
      <c r="H439" s="57" t="s">
        <v>467</v>
      </c>
      <c r="I439" s="57" t="s">
        <v>1715</v>
      </c>
      <c r="J439" s="57" t="s">
        <v>223</v>
      </c>
      <c r="K439" s="57" t="s">
        <v>591</v>
      </c>
      <c r="L439" s="31" t="s">
        <v>644</v>
      </c>
      <c r="M439" s="22">
        <v>278</v>
      </c>
      <c r="N439" s="46">
        <v>98</v>
      </c>
      <c r="O439" s="49">
        <f t="shared" si="9"/>
        <v>27244</v>
      </c>
      <c r="P439" s="5" t="s">
        <v>391</v>
      </c>
      <c r="Q439" s="5" t="s">
        <v>1476</v>
      </c>
      <c r="R439" s="11" t="s">
        <v>1175</v>
      </c>
      <c r="S439" s="22">
        <v>50</v>
      </c>
    </row>
    <row r="440" spans="1:19" ht="51">
      <c r="A440" s="5">
        <v>425</v>
      </c>
      <c r="B440" s="29" t="s">
        <v>710</v>
      </c>
      <c r="C440" s="30" t="s">
        <v>711</v>
      </c>
      <c r="D440" s="11" t="s">
        <v>1115</v>
      </c>
      <c r="E440" s="57" t="s">
        <v>1716</v>
      </c>
      <c r="F440" s="57" t="s">
        <v>676</v>
      </c>
      <c r="G440" s="57" t="s">
        <v>1717</v>
      </c>
      <c r="H440" s="57" t="s">
        <v>1116</v>
      </c>
      <c r="I440" s="57" t="s">
        <v>2375</v>
      </c>
      <c r="J440" s="57" t="s">
        <v>224</v>
      </c>
      <c r="K440" s="57" t="s">
        <v>591</v>
      </c>
      <c r="L440" s="31" t="s">
        <v>644</v>
      </c>
      <c r="M440" s="22">
        <v>1000</v>
      </c>
      <c r="N440" s="46">
        <v>11</v>
      </c>
      <c r="O440" s="49">
        <f t="shared" si="9"/>
        <v>11000</v>
      </c>
      <c r="P440" s="5" t="s">
        <v>391</v>
      </c>
      <c r="Q440" s="5" t="s">
        <v>1476</v>
      </c>
      <c r="R440" s="11" t="s">
        <v>1175</v>
      </c>
      <c r="S440" s="22">
        <v>50</v>
      </c>
    </row>
    <row r="441" spans="1:19" ht="51">
      <c r="A441" s="5">
        <v>426</v>
      </c>
      <c r="B441" s="29" t="s">
        <v>710</v>
      </c>
      <c r="C441" s="30" t="s">
        <v>711</v>
      </c>
      <c r="D441" s="11" t="s">
        <v>462</v>
      </c>
      <c r="E441" s="57" t="s">
        <v>1718</v>
      </c>
      <c r="F441" s="57" t="s">
        <v>463</v>
      </c>
      <c r="G441" s="57" t="s">
        <v>1719</v>
      </c>
      <c r="H441" s="57" t="s">
        <v>465</v>
      </c>
      <c r="I441" s="57" t="s">
        <v>1718</v>
      </c>
      <c r="J441" s="57" t="s">
        <v>463</v>
      </c>
      <c r="K441" s="57" t="s">
        <v>591</v>
      </c>
      <c r="L441" s="31" t="s">
        <v>644</v>
      </c>
      <c r="M441" s="22">
        <v>1390</v>
      </c>
      <c r="N441" s="46">
        <v>98</v>
      </c>
      <c r="O441" s="49">
        <f t="shared" si="9"/>
        <v>136220</v>
      </c>
      <c r="P441" s="5" t="s">
        <v>391</v>
      </c>
      <c r="Q441" s="5" t="s">
        <v>1476</v>
      </c>
      <c r="R441" s="11" t="s">
        <v>1175</v>
      </c>
      <c r="S441" s="22">
        <v>50</v>
      </c>
    </row>
    <row r="442" spans="1:19" ht="51">
      <c r="A442" s="5">
        <v>427</v>
      </c>
      <c r="B442" s="29" t="s">
        <v>710</v>
      </c>
      <c r="C442" s="30" t="s">
        <v>711</v>
      </c>
      <c r="D442" s="5" t="s">
        <v>468</v>
      </c>
      <c r="E442" s="57" t="s">
        <v>2304</v>
      </c>
      <c r="F442" s="57" t="s">
        <v>26</v>
      </c>
      <c r="G442" s="57" t="s">
        <v>1720</v>
      </c>
      <c r="H442" s="57" t="s">
        <v>469</v>
      </c>
      <c r="I442" s="57" t="s">
        <v>2304</v>
      </c>
      <c r="J442" s="57" t="s">
        <v>26</v>
      </c>
      <c r="K442" s="57" t="s">
        <v>591</v>
      </c>
      <c r="L442" s="11" t="s">
        <v>909</v>
      </c>
      <c r="M442" s="22">
        <v>150</v>
      </c>
      <c r="N442" s="46">
        <v>116</v>
      </c>
      <c r="O442" s="49">
        <f t="shared" si="9"/>
        <v>17400</v>
      </c>
      <c r="P442" s="5" t="s">
        <v>391</v>
      </c>
      <c r="Q442" s="5" t="s">
        <v>1476</v>
      </c>
      <c r="R442" s="11" t="s">
        <v>1175</v>
      </c>
      <c r="S442" s="22">
        <v>50</v>
      </c>
    </row>
    <row r="443" spans="1:19" ht="51">
      <c r="A443" s="5">
        <v>428</v>
      </c>
      <c r="B443" s="29" t="s">
        <v>710</v>
      </c>
      <c r="C443" s="30" t="s">
        <v>711</v>
      </c>
      <c r="D443" s="5" t="s">
        <v>470</v>
      </c>
      <c r="E443" s="57" t="s">
        <v>1721</v>
      </c>
      <c r="F443" s="57" t="s">
        <v>1722</v>
      </c>
      <c r="G443" s="57" t="s">
        <v>1723</v>
      </c>
      <c r="H443" s="57" t="s">
        <v>1724</v>
      </c>
      <c r="I443" s="57" t="s">
        <v>1117</v>
      </c>
      <c r="J443" s="57" t="s">
        <v>1117</v>
      </c>
      <c r="K443" s="57" t="s">
        <v>591</v>
      </c>
      <c r="L443" s="31" t="s">
        <v>644</v>
      </c>
      <c r="M443" s="22">
        <v>20</v>
      </c>
      <c r="N443" s="46">
        <v>3214</v>
      </c>
      <c r="O443" s="49">
        <f t="shared" si="9"/>
        <v>64280</v>
      </c>
      <c r="P443" s="5" t="s">
        <v>391</v>
      </c>
      <c r="Q443" s="5" t="s">
        <v>1476</v>
      </c>
      <c r="R443" s="11" t="s">
        <v>1175</v>
      </c>
      <c r="S443" s="22">
        <v>50</v>
      </c>
    </row>
    <row r="444" spans="1:19" ht="51">
      <c r="A444" s="5">
        <v>429</v>
      </c>
      <c r="B444" s="29" t="s">
        <v>710</v>
      </c>
      <c r="C444" s="30" t="s">
        <v>711</v>
      </c>
      <c r="D444" s="117" t="s">
        <v>1118</v>
      </c>
      <c r="E444" s="57" t="s">
        <v>1725</v>
      </c>
      <c r="F444" s="57" t="s">
        <v>1119</v>
      </c>
      <c r="G444" s="57" t="s">
        <v>1726</v>
      </c>
      <c r="H444" s="57" t="s">
        <v>1120</v>
      </c>
      <c r="I444" s="57" t="s">
        <v>1727</v>
      </c>
      <c r="J444" s="57" t="s">
        <v>1121</v>
      </c>
      <c r="K444" s="57" t="s">
        <v>591</v>
      </c>
      <c r="L444" s="31" t="s">
        <v>644</v>
      </c>
      <c r="M444" s="22">
        <v>60</v>
      </c>
      <c r="N444" s="46">
        <v>424</v>
      </c>
      <c r="O444" s="49">
        <f t="shared" si="9"/>
        <v>25440</v>
      </c>
      <c r="P444" s="5" t="s">
        <v>391</v>
      </c>
      <c r="Q444" s="5" t="s">
        <v>1476</v>
      </c>
      <c r="R444" s="11" t="s">
        <v>1175</v>
      </c>
      <c r="S444" s="22">
        <v>50</v>
      </c>
    </row>
    <row r="445" spans="1:19" ht="51">
      <c r="A445" s="5">
        <v>430</v>
      </c>
      <c r="B445" s="29" t="s">
        <v>710</v>
      </c>
      <c r="C445" s="30" t="s">
        <v>711</v>
      </c>
      <c r="D445" s="11" t="s">
        <v>1122</v>
      </c>
      <c r="E445" s="57" t="s">
        <v>846</v>
      </c>
      <c r="F445" s="57" t="s">
        <v>474</v>
      </c>
      <c r="G445" s="57" t="s">
        <v>1728</v>
      </c>
      <c r="H445" s="57" t="s">
        <v>1123</v>
      </c>
      <c r="I445" s="57" t="s">
        <v>2196</v>
      </c>
      <c r="J445" s="57" t="s">
        <v>225</v>
      </c>
      <c r="K445" s="57" t="s">
        <v>591</v>
      </c>
      <c r="L445" s="31" t="s">
        <v>644</v>
      </c>
      <c r="M445" s="22">
        <v>1000</v>
      </c>
      <c r="N445" s="46">
        <v>27</v>
      </c>
      <c r="O445" s="49">
        <f t="shared" si="9"/>
        <v>27000</v>
      </c>
      <c r="P445" s="5" t="s">
        <v>391</v>
      </c>
      <c r="Q445" s="5" t="s">
        <v>1476</v>
      </c>
      <c r="R445" s="11" t="s">
        <v>1175</v>
      </c>
      <c r="S445" s="22">
        <v>50</v>
      </c>
    </row>
    <row r="446" spans="1:19" ht="51">
      <c r="A446" s="5">
        <v>431</v>
      </c>
      <c r="B446" s="29" t="s">
        <v>710</v>
      </c>
      <c r="C446" s="30" t="s">
        <v>711</v>
      </c>
      <c r="D446" s="11" t="s">
        <v>1124</v>
      </c>
      <c r="E446" s="57" t="s">
        <v>846</v>
      </c>
      <c r="F446" s="57" t="s">
        <v>474</v>
      </c>
      <c r="G446" s="57" t="s">
        <v>1729</v>
      </c>
      <c r="H446" s="57" t="s">
        <v>1125</v>
      </c>
      <c r="I446" s="57" t="s">
        <v>226</v>
      </c>
      <c r="J446" s="57" t="s">
        <v>226</v>
      </c>
      <c r="K446" s="57" t="s">
        <v>591</v>
      </c>
      <c r="L446" s="31" t="s">
        <v>644</v>
      </c>
      <c r="M446" s="22">
        <v>1200</v>
      </c>
      <c r="N446" s="46">
        <v>22</v>
      </c>
      <c r="O446" s="49">
        <f t="shared" si="9"/>
        <v>26400</v>
      </c>
      <c r="P446" s="5" t="s">
        <v>391</v>
      </c>
      <c r="Q446" s="5" t="s">
        <v>1476</v>
      </c>
      <c r="R446" s="11" t="s">
        <v>1175</v>
      </c>
      <c r="S446" s="22">
        <v>50</v>
      </c>
    </row>
    <row r="447" spans="1:19" ht="51">
      <c r="A447" s="5">
        <v>432</v>
      </c>
      <c r="B447" s="29" t="s">
        <v>710</v>
      </c>
      <c r="C447" s="30" t="s">
        <v>711</v>
      </c>
      <c r="D447" s="11" t="s">
        <v>901</v>
      </c>
      <c r="E447" s="57" t="s">
        <v>846</v>
      </c>
      <c r="F447" s="57" t="s">
        <v>474</v>
      </c>
      <c r="G447" s="57" t="s">
        <v>2197</v>
      </c>
      <c r="H447" s="57" t="s">
        <v>2197</v>
      </c>
      <c r="I447" s="57" t="s">
        <v>227</v>
      </c>
      <c r="J447" s="57" t="s">
        <v>227</v>
      </c>
      <c r="K447" s="57" t="s">
        <v>591</v>
      </c>
      <c r="L447" s="31" t="s">
        <v>644</v>
      </c>
      <c r="M447" s="22">
        <v>1400</v>
      </c>
      <c r="N447" s="46">
        <v>18</v>
      </c>
      <c r="O447" s="49">
        <f t="shared" si="9"/>
        <v>25200</v>
      </c>
      <c r="P447" s="5" t="s">
        <v>391</v>
      </c>
      <c r="Q447" s="5" t="s">
        <v>1476</v>
      </c>
      <c r="R447" s="11" t="s">
        <v>1175</v>
      </c>
      <c r="S447" s="22">
        <v>50</v>
      </c>
    </row>
    <row r="448" spans="1:19" ht="51">
      <c r="A448" s="5">
        <v>433</v>
      </c>
      <c r="B448" s="29" t="s">
        <v>710</v>
      </c>
      <c r="C448" s="30" t="s">
        <v>711</v>
      </c>
      <c r="D448" s="10" t="s">
        <v>429</v>
      </c>
      <c r="E448" s="57" t="s">
        <v>840</v>
      </c>
      <c r="F448" s="57" t="s">
        <v>430</v>
      </c>
      <c r="G448" s="57" t="s">
        <v>1730</v>
      </c>
      <c r="H448" s="57" t="s">
        <v>431</v>
      </c>
      <c r="I448" s="57" t="s">
        <v>1731</v>
      </c>
      <c r="J448" s="57" t="s">
        <v>228</v>
      </c>
      <c r="K448" s="57" t="s">
        <v>591</v>
      </c>
      <c r="L448" s="11" t="s">
        <v>909</v>
      </c>
      <c r="M448" s="22">
        <v>350</v>
      </c>
      <c r="N448" s="46">
        <v>214</v>
      </c>
      <c r="O448" s="49">
        <f t="shared" si="9"/>
        <v>74900</v>
      </c>
      <c r="P448" s="5" t="s">
        <v>391</v>
      </c>
      <c r="Q448" s="5" t="s">
        <v>1476</v>
      </c>
      <c r="R448" s="11" t="s">
        <v>1175</v>
      </c>
      <c r="S448" s="22">
        <v>50</v>
      </c>
    </row>
    <row r="449" spans="1:19" ht="25.5">
      <c r="A449" s="5">
        <v>434</v>
      </c>
      <c r="B449" s="29" t="s">
        <v>710</v>
      </c>
      <c r="C449" s="30" t="s">
        <v>711</v>
      </c>
      <c r="D449" s="33" t="s">
        <v>422</v>
      </c>
      <c r="E449" s="57" t="s">
        <v>423</v>
      </c>
      <c r="F449" s="57" t="s">
        <v>424</v>
      </c>
      <c r="G449" s="57" t="s">
        <v>837</v>
      </c>
      <c r="H449" s="57" t="s">
        <v>425</v>
      </c>
      <c r="I449" s="57" t="s">
        <v>2303</v>
      </c>
      <c r="J449" s="57" t="s">
        <v>230</v>
      </c>
      <c r="K449" s="57" t="s">
        <v>591</v>
      </c>
      <c r="L449" s="11" t="s">
        <v>909</v>
      </c>
      <c r="M449" s="22">
        <v>456</v>
      </c>
      <c r="N449" s="46">
        <v>670</v>
      </c>
      <c r="O449" s="49">
        <f t="shared" si="9"/>
        <v>305520</v>
      </c>
      <c r="P449" s="5" t="s">
        <v>391</v>
      </c>
      <c r="Q449" s="5" t="s">
        <v>391</v>
      </c>
      <c r="R449" s="11" t="s">
        <v>2027</v>
      </c>
      <c r="S449" s="22">
        <v>0</v>
      </c>
    </row>
    <row r="450" spans="1:19" ht="25.5">
      <c r="A450" s="5">
        <v>435</v>
      </c>
      <c r="B450" s="29" t="s">
        <v>710</v>
      </c>
      <c r="C450" s="30" t="s">
        <v>711</v>
      </c>
      <c r="D450" s="10" t="s">
        <v>429</v>
      </c>
      <c r="E450" s="57" t="s">
        <v>840</v>
      </c>
      <c r="F450" s="57" t="s">
        <v>430</v>
      </c>
      <c r="G450" s="57" t="s">
        <v>841</v>
      </c>
      <c r="H450" s="57" t="s">
        <v>431</v>
      </c>
      <c r="I450" s="57" t="s">
        <v>840</v>
      </c>
      <c r="J450" s="57" t="s">
        <v>231</v>
      </c>
      <c r="K450" s="57" t="s">
        <v>591</v>
      </c>
      <c r="L450" s="11" t="s">
        <v>909</v>
      </c>
      <c r="M450" s="22">
        <v>76</v>
      </c>
      <c r="N450" s="46">
        <v>223</v>
      </c>
      <c r="O450" s="49">
        <f t="shared" si="9"/>
        <v>16948</v>
      </c>
      <c r="P450" s="5" t="s">
        <v>391</v>
      </c>
      <c r="Q450" s="5" t="s">
        <v>391</v>
      </c>
      <c r="R450" s="11" t="s">
        <v>2027</v>
      </c>
      <c r="S450" s="22">
        <v>0</v>
      </c>
    </row>
    <row r="451" spans="1:19" ht="25.5">
      <c r="A451" s="5">
        <v>436</v>
      </c>
      <c r="B451" s="29" t="s">
        <v>710</v>
      </c>
      <c r="C451" s="30" t="s">
        <v>711</v>
      </c>
      <c r="D451" s="11" t="s">
        <v>894</v>
      </c>
      <c r="E451" s="57" t="s">
        <v>767</v>
      </c>
      <c r="F451" s="57" t="s">
        <v>18</v>
      </c>
      <c r="G451" s="57" t="s">
        <v>2180</v>
      </c>
      <c r="H451" s="57" t="s">
        <v>670</v>
      </c>
      <c r="I451" s="57" t="s">
        <v>767</v>
      </c>
      <c r="J451" s="57" t="s">
        <v>18</v>
      </c>
      <c r="K451" s="57" t="s">
        <v>591</v>
      </c>
      <c r="L451" s="5" t="s">
        <v>480</v>
      </c>
      <c r="M451" s="22">
        <v>76</v>
      </c>
      <c r="N451" s="46">
        <v>179</v>
      </c>
      <c r="O451" s="49">
        <f t="shared" si="9"/>
        <v>13604</v>
      </c>
      <c r="P451" s="5" t="s">
        <v>391</v>
      </c>
      <c r="Q451" s="5" t="s">
        <v>391</v>
      </c>
      <c r="R451" s="11" t="s">
        <v>2027</v>
      </c>
      <c r="S451" s="22">
        <v>0</v>
      </c>
    </row>
    <row r="452" spans="1:19" ht="38.25">
      <c r="A452" s="5">
        <v>437</v>
      </c>
      <c r="B452" s="15" t="s">
        <v>710</v>
      </c>
      <c r="C452" s="30" t="s">
        <v>711</v>
      </c>
      <c r="D452" s="5" t="s">
        <v>671</v>
      </c>
      <c r="E452" s="57" t="s">
        <v>20</v>
      </c>
      <c r="F452" s="57" t="s">
        <v>20</v>
      </c>
      <c r="G452" s="57" t="s">
        <v>2228</v>
      </c>
      <c r="H452" s="57" t="s">
        <v>768</v>
      </c>
      <c r="I452" s="57" t="s">
        <v>20</v>
      </c>
      <c r="J452" s="57" t="s">
        <v>20</v>
      </c>
      <c r="K452" s="57" t="s">
        <v>591</v>
      </c>
      <c r="L452" s="31" t="s">
        <v>644</v>
      </c>
      <c r="M452" s="22">
        <v>76</v>
      </c>
      <c r="N452" s="46">
        <v>107</v>
      </c>
      <c r="O452" s="49">
        <f t="shared" si="9"/>
        <v>8132</v>
      </c>
      <c r="P452" s="5" t="s">
        <v>391</v>
      </c>
      <c r="Q452" s="5" t="s">
        <v>391</v>
      </c>
      <c r="R452" s="11" t="s">
        <v>2027</v>
      </c>
      <c r="S452" s="22">
        <v>0</v>
      </c>
    </row>
    <row r="453" spans="1:19" ht="38.25">
      <c r="A453" s="5">
        <v>438</v>
      </c>
      <c r="B453" s="29" t="s">
        <v>710</v>
      </c>
      <c r="C453" s="30" t="s">
        <v>711</v>
      </c>
      <c r="D453" s="10" t="s">
        <v>673</v>
      </c>
      <c r="E453" s="57" t="s">
        <v>21</v>
      </c>
      <c r="F453" s="57" t="s">
        <v>21</v>
      </c>
      <c r="G453" s="57" t="s">
        <v>2246</v>
      </c>
      <c r="H453" s="57" t="s">
        <v>674</v>
      </c>
      <c r="I453" s="57" t="s">
        <v>21</v>
      </c>
      <c r="J453" s="57" t="s">
        <v>21</v>
      </c>
      <c r="K453" s="57" t="s">
        <v>591</v>
      </c>
      <c r="L453" s="31" t="s">
        <v>644</v>
      </c>
      <c r="M453" s="22">
        <v>19</v>
      </c>
      <c r="N453" s="46">
        <v>1339</v>
      </c>
      <c r="O453" s="49">
        <f t="shared" si="9"/>
        <v>25441</v>
      </c>
      <c r="P453" s="5" t="s">
        <v>391</v>
      </c>
      <c r="Q453" s="5" t="s">
        <v>391</v>
      </c>
      <c r="R453" s="11" t="s">
        <v>2027</v>
      </c>
      <c r="S453" s="22">
        <v>0</v>
      </c>
    </row>
    <row r="454" spans="1:19" ht="63.75">
      <c r="A454" s="5">
        <v>439</v>
      </c>
      <c r="B454" s="15" t="s">
        <v>710</v>
      </c>
      <c r="C454" s="30" t="s">
        <v>711</v>
      </c>
      <c r="D454" s="10" t="s">
        <v>675</v>
      </c>
      <c r="E454" s="57" t="s">
        <v>2077</v>
      </c>
      <c r="F454" s="57" t="s">
        <v>22</v>
      </c>
      <c r="G454" s="57" t="s">
        <v>843</v>
      </c>
      <c r="H454" s="57" t="s">
        <v>769</v>
      </c>
      <c r="I454" s="57" t="s">
        <v>2077</v>
      </c>
      <c r="J454" s="57" t="s">
        <v>940</v>
      </c>
      <c r="K454" s="57" t="s">
        <v>591</v>
      </c>
      <c r="L454" s="5" t="s">
        <v>480</v>
      </c>
      <c r="M454" s="22">
        <v>456</v>
      </c>
      <c r="N454" s="46">
        <v>13</v>
      </c>
      <c r="O454" s="49">
        <f t="shared" si="9"/>
        <v>5928</v>
      </c>
      <c r="P454" s="5" t="s">
        <v>391</v>
      </c>
      <c r="Q454" s="5" t="s">
        <v>391</v>
      </c>
      <c r="R454" s="11" t="s">
        <v>2027</v>
      </c>
      <c r="S454" s="22">
        <v>0</v>
      </c>
    </row>
    <row r="455" spans="1:19" ht="38.25">
      <c r="A455" s="5">
        <v>440</v>
      </c>
      <c r="B455" s="29" t="s">
        <v>710</v>
      </c>
      <c r="C455" s="30" t="s">
        <v>711</v>
      </c>
      <c r="D455" s="5" t="s">
        <v>443</v>
      </c>
      <c r="E455" s="57" t="s">
        <v>444</v>
      </c>
      <c r="F455" s="57" t="s">
        <v>444</v>
      </c>
      <c r="G455" s="57" t="s">
        <v>445</v>
      </c>
      <c r="H455" s="57" t="s">
        <v>446</v>
      </c>
      <c r="I455" s="57" t="s">
        <v>232</v>
      </c>
      <c r="J455" s="57" t="s">
        <v>232</v>
      </c>
      <c r="K455" s="57" t="s">
        <v>591</v>
      </c>
      <c r="L455" s="31" t="s">
        <v>644</v>
      </c>
      <c r="M455" s="22">
        <v>114</v>
      </c>
      <c r="N455" s="46">
        <v>446</v>
      </c>
      <c r="O455" s="49">
        <f t="shared" si="9"/>
        <v>50844</v>
      </c>
      <c r="P455" s="5" t="s">
        <v>391</v>
      </c>
      <c r="Q455" s="5" t="s">
        <v>391</v>
      </c>
      <c r="R455" s="11" t="s">
        <v>2027</v>
      </c>
      <c r="S455" s="22">
        <v>0</v>
      </c>
    </row>
    <row r="456" spans="1:19" ht="38.25">
      <c r="A456" s="5">
        <v>441</v>
      </c>
      <c r="B456" s="29" t="s">
        <v>710</v>
      </c>
      <c r="C456" s="30" t="s">
        <v>711</v>
      </c>
      <c r="D456" s="10" t="s">
        <v>677</v>
      </c>
      <c r="E456" s="57" t="s">
        <v>2276</v>
      </c>
      <c r="F456" s="57" t="s">
        <v>23</v>
      </c>
      <c r="G456" s="57" t="s">
        <v>844</v>
      </c>
      <c r="H456" s="57" t="s">
        <v>678</v>
      </c>
      <c r="I456" s="57" t="s">
        <v>2276</v>
      </c>
      <c r="J456" s="57" t="s">
        <v>23</v>
      </c>
      <c r="K456" s="57" t="s">
        <v>591</v>
      </c>
      <c r="L456" s="31" t="s">
        <v>644</v>
      </c>
      <c r="M456" s="22">
        <v>114</v>
      </c>
      <c r="N456" s="46">
        <v>268</v>
      </c>
      <c r="O456" s="49">
        <f t="shared" si="9"/>
        <v>30552</v>
      </c>
      <c r="P456" s="5" t="s">
        <v>391</v>
      </c>
      <c r="Q456" s="5" t="s">
        <v>391</v>
      </c>
      <c r="R456" s="11" t="s">
        <v>2027</v>
      </c>
      <c r="S456" s="22">
        <v>0</v>
      </c>
    </row>
    <row r="457" spans="1:19" ht="25.5">
      <c r="A457" s="5">
        <v>442</v>
      </c>
      <c r="B457" s="29" t="s">
        <v>710</v>
      </c>
      <c r="C457" s="30" t="s">
        <v>711</v>
      </c>
      <c r="D457" s="10" t="s">
        <v>679</v>
      </c>
      <c r="E457" s="57" t="s">
        <v>24</v>
      </c>
      <c r="F457" s="57" t="s">
        <v>24</v>
      </c>
      <c r="G457" s="57" t="s">
        <v>2279</v>
      </c>
      <c r="H457" s="57" t="s">
        <v>680</v>
      </c>
      <c r="I457" s="57" t="s">
        <v>24</v>
      </c>
      <c r="J457" s="57" t="s">
        <v>24</v>
      </c>
      <c r="K457" s="57" t="s">
        <v>591</v>
      </c>
      <c r="L457" s="31" t="s">
        <v>644</v>
      </c>
      <c r="M457" s="22">
        <v>19</v>
      </c>
      <c r="N457" s="46">
        <v>223</v>
      </c>
      <c r="O457" s="49">
        <f t="shared" si="9"/>
        <v>4237</v>
      </c>
      <c r="P457" s="5" t="s">
        <v>391</v>
      </c>
      <c r="Q457" s="5" t="s">
        <v>391</v>
      </c>
      <c r="R457" s="11" t="s">
        <v>2027</v>
      </c>
      <c r="S457" s="22">
        <v>0</v>
      </c>
    </row>
    <row r="458" spans="1:19" ht="25.5">
      <c r="A458" s="5">
        <v>443</v>
      </c>
      <c r="B458" s="29" t="s">
        <v>710</v>
      </c>
      <c r="C458" s="30" t="s">
        <v>711</v>
      </c>
      <c r="D458" s="5" t="s">
        <v>449</v>
      </c>
      <c r="E458" s="57" t="s">
        <v>2278</v>
      </c>
      <c r="F458" s="57" t="s">
        <v>450</v>
      </c>
      <c r="G458" s="57" t="s">
        <v>2281</v>
      </c>
      <c r="H458" s="57" t="s">
        <v>451</v>
      </c>
      <c r="I458" s="57" t="s">
        <v>2278</v>
      </c>
      <c r="J458" s="57" t="s">
        <v>233</v>
      </c>
      <c r="K458" s="57" t="s">
        <v>591</v>
      </c>
      <c r="L458" s="5" t="s">
        <v>480</v>
      </c>
      <c r="M458" s="22">
        <v>114</v>
      </c>
      <c r="N458" s="46">
        <v>223</v>
      </c>
      <c r="O458" s="49">
        <f t="shared" si="9"/>
        <v>25422</v>
      </c>
      <c r="P458" s="5" t="s">
        <v>391</v>
      </c>
      <c r="Q458" s="5" t="s">
        <v>391</v>
      </c>
      <c r="R458" s="11" t="s">
        <v>2027</v>
      </c>
      <c r="S458" s="22">
        <v>0</v>
      </c>
    </row>
    <row r="459" spans="1:19" ht="25.5">
      <c r="A459" s="5">
        <v>444</v>
      </c>
      <c r="B459" s="29" t="s">
        <v>710</v>
      </c>
      <c r="C459" s="30" t="s">
        <v>711</v>
      </c>
      <c r="D459" s="5" t="s">
        <v>452</v>
      </c>
      <c r="E459" s="57" t="s">
        <v>453</v>
      </c>
      <c r="F459" s="57" t="s">
        <v>454</v>
      </c>
      <c r="G459" s="57" t="s">
        <v>455</v>
      </c>
      <c r="H459" s="57" t="s">
        <v>456</v>
      </c>
      <c r="I459" s="57" t="s">
        <v>453</v>
      </c>
      <c r="J459" s="57" t="s">
        <v>234</v>
      </c>
      <c r="K459" s="57" t="s">
        <v>591</v>
      </c>
      <c r="L459" s="5" t="s">
        <v>480</v>
      </c>
      <c r="M459" s="22">
        <v>114</v>
      </c>
      <c r="N459" s="46">
        <v>179</v>
      </c>
      <c r="O459" s="49">
        <f t="shared" si="9"/>
        <v>20406</v>
      </c>
      <c r="P459" s="5" t="s">
        <v>391</v>
      </c>
      <c r="Q459" s="5" t="s">
        <v>391</v>
      </c>
      <c r="R459" s="11" t="s">
        <v>2027</v>
      </c>
      <c r="S459" s="22">
        <v>0</v>
      </c>
    </row>
    <row r="460" spans="1:19" ht="51">
      <c r="A460" s="5">
        <v>445</v>
      </c>
      <c r="B460" s="29" t="s">
        <v>710</v>
      </c>
      <c r="C460" s="30" t="s">
        <v>711</v>
      </c>
      <c r="D460" s="5" t="s">
        <v>457</v>
      </c>
      <c r="E460" s="57" t="s">
        <v>17</v>
      </c>
      <c r="F460" s="57" t="s">
        <v>17</v>
      </c>
      <c r="G460" s="57" t="s">
        <v>2289</v>
      </c>
      <c r="H460" s="57" t="s">
        <v>2290</v>
      </c>
      <c r="I460" s="57" t="s">
        <v>17</v>
      </c>
      <c r="J460" s="57" t="s">
        <v>17</v>
      </c>
      <c r="K460" s="57" t="s">
        <v>591</v>
      </c>
      <c r="L460" s="31" t="s">
        <v>644</v>
      </c>
      <c r="M460" s="22">
        <v>38</v>
      </c>
      <c r="N460" s="46">
        <v>714</v>
      </c>
      <c r="O460" s="49">
        <f t="shared" si="9"/>
        <v>27132</v>
      </c>
      <c r="P460" s="5" t="s">
        <v>391</v>
      </c>
      <c r="Q460" s="5" t="s">
        <v>391</v>
      </c>
      <c r="R460" s="11" t="s">
        <v>2027</v>
      </c>
      <c r="S460" s="22">
        <v>0</v>
      </c>
    </row>
    <row r="461" spans="1:19" ht="25.5">
      <c r="A461" s="5">
        <v>446</v>
      </c>
      <c r="B461" s="15" t="s">
        <v>710</v>
      </c>
      <c r="C461" s="30" t="s">
        <v>711</v>
      </c>
      <c r="D461" s="31" t="s">
        <v>681</v>
      </c>
      <c r="E461" s="57" t="s">
        <v>460</v>
      </c>
      <c r="F461" s="57" t="s">
        <v>460</v>
      </c>
      <c r="G461" s="57" t="s">
        <v>2302</v>
      </c>
      <c r="H461" s="57" t="s">
        <v>682</v>
      </c>
      <c r="I461" s="57" t="s">
        <v>460</v>
      </c>
      <c r="J461" s="57" t="s">
        <v>1271</v>
      </c>
      <c r="K461" s="57" t="s">
        <v>591</v>
      </c>
      <c r="L461" s="31" t="s">
        <v>644</v>
      </c>
      <c r="M461" s="22">
        <v>76</v>
      </c>
      <c r="N461" s="46">
        <v>161</v>
      </c>
      <c r="O461" s="49">
        <f t="shared" si="9"/>
        <v>12236</v>
      </c>
      <c r="P461" s="5" t="s">
        <v>391</v>
      </c>
      <c r="Q461" s="5" t="s">
        <v>391</v>
      </c>
      <c r="R461" s="11" t="s">
        <v>2027</v>
      </c>
      <c r="S461" s="22">
        <v>0</v>
      </c>
    </row>
    <row r="462" spans="1:19" ht="25.5">
      <c r="A462" s="5">
        <v>447</v>
      </c>
      <c r="B462" s="15" t="s">
        <v>710</v>
      </c>
      <c r="C462" s="30" t="s">
        <v>711</v>
      </c>
      <c r="D462" s="31" t="s">
        <v>462</v>
      </c>
      <c r="E462" s="57" t="s">
        <v>466</v>
      </c>
      <c r="F462" s="57" t="s">
        <v>463</v>
      </c>
      <c r="G462" s="57" t="s">
        <v>2269</v>
      </c>
      <c r="H462" s="57" t="s">
        <v>1272</v>
      </c>
      <c r="I462" s="57" t="s">
        <v>466</v>
      </c>
      <c r="J462" s="57" t="s">
        <v>463</v>
      </c>
      <c r="K462" s="57" t="s">
        <v>591</v>
      </c>
      <c r="L462" s="31" t="s">
        <v>644</v>
      </c>
      <c r="M462" s="22">
        <v>76</v>
      </c>
      <c r="N462" s="46">
        <v>161</v>
      </c>
      <c r="O462" s="49">
        <f t="shared" si="9"/>
        <v>12236</v>
      </c>
      <c r="P462" s="5" t="s">
        <v>391</v>
      </c>
      <c r="Q462" s="5" t="s">
        <v>391</v>
      </c>
      <c r="R462" s="11" t="s">
        <v>2027</v>
      </c>
      <c r="S462" s="22">
        <v>0</v>
      </c>
    </row>
    <row r="463" spans="1:19" ht="25.5">
      <c r="A463" s="5">
        <v>448</v>
      </c>
      <c r="B463" s="29" t="s">
        <v>710</v>
      </c>
      <c r="C463" s="30" t="s">
        <v>711</v>
      </c>
      <c r="D463" s="10" t="s">
        <v>684</v>
      </c>
      <c r="E463" s="57" t="s">
        <v>466</v>
      </c>
      <c r="F463" s="57" t="s">
        <v>25</v>
      </c>
      <c r="G463" s="57" t="s">
        <v>2191</v>
      </c>
      <c r="H463" s="57" t="s">
        <v>685</v>
      </c>
      <c r="I463" s="57" t="s">
        <v>466</v>
      </c>
      <c r="J463" s="57" t="s">
        <v>25</v>
      </c>
      <c r="K463" s="57" t="s">
        <v>591</v>
      </c>
      <c r="L463" s="31" t="s">
        <v>644</v>
      </c>
      <c r="M463" s="22">
        <v>76</v>
      </c>
      <c r="N463" s="46">
        <v>45</v>
      </c>
      <c r="O463" s="49">
        <f t="shared" si="9"/>
        <v>3420</v>
      </c>
      <c r="P463" s="5" t="s">
        <v>391</v>
      </c>
      <c r="Q463" s="5" t="s">
        <v>391</v>
      </c>
      <c r="R463" s="11" t="s">
        <v>2027</v>
      </c>
      <c r="S463" s="22">
        <v>0</v>
      </c>
    </row>
    <row r="464" spans="1:19" ht="25.5">
      <c r="A464" s="5">
        <v>449</v>
      </c>
      <c r="B464" s="15" t="s">
        <v>710</v>
      </c>
      <c r="C464" s="30" t="s">
        <v>711</v>
      </c>
      <c r="D464" s="10" t="s">
        <v>686</v>
      </c>
      <c r="E464" s="57" t="s">
        <v>2304</v>
      </c>
      <c r="F464" s="57" t="s">
        <v>26</v>
      </c>
      <c r="G464" s="57" t="s">
        <v>2305</v>
      </c>
      <c r="H464" s="57" t="s">
        <v>687</v>
      </c>
      <c r="I464" s="57" t="s">
        <v>2304</v>
      </c>
      <c r="J464" s="57" t="s">
        <v>26</v>
      </c>
      <c r="K464" s="57" t="s">
        <v>591</v>
      </c>
      <c r="L464" s="11" t="s">
        <v>909</v>
      </c>
      <c r="M464" s="22">
        <v>38</v>
      </c>
      <c r="N464" s="46">
        <v>134</v>
      </c>
      <c r="O464" s="49">
        <f t="shared" si="9"/>
        <v>5092</v>
      </c>
      <c r="P464" s="5" t="s">
        <v>391</v>
      </c>
      <c r="Q464" s="5" t="s">
        <v>391</v>
      </c>
      <c r="R464" s="11" t="s">
        <v>2027</v>
      </c>
      <c r="S464" s="22">
        <v>0</v>
      </c>
    </row>
    <row r="465" spans="1:19" ht="127.5">
      <c r="A465" s="5">
        <v>450</v>
      </c>
      <c r="B465" s="29" t="s">
        <v>710</v>
      </c>
      <c r="C465" s="30" t="s">
        <v>711</v>
      </c>
      <c r="D465" s="5" t="s">
        <v>470</v>
      </c>
      <c r="E465" s="57" t="s">
        <v>27</v>
      </c>
      <c r="F465" s="57" t="s">
        <v>27</v>
      </c>
      <c r="G465" s="57" t="s">
        <v>471</v>
      </c>
      <c r="H465" s="57" t="s">
        <v>472</v>
      </c>
      <c r="I465" s="57" t="s">
        <v>27</v>
      </c>
      <c r="J465" s="57" t="s">
        <v>27</v>
      </c>
      <c r="K465" s="57" t="s">
        <v>591</v>
      </c>
      <c r="L465" s="31" t="s">
        <v>644</v>
      </c>
      <c r="M465" s="22">
        <v>4</v>
      </c>
      <c r="N465" s="46">
        <v>2679</v>
      </c>
      <c r="O465" s="49">
        <f t="shared" si="9"/>
        <v>10716</v>
      </c>
      <c r="P465" s="5" t="s">
        <v>391</v>
      </c>
      <c r="Q465" s="5" t="s">
        <v>391</v>
      </c>
      <c r="R465" s="11" t="s">
        <v>2027</v>
      </c>
      <c r="S465" s="22">
        <v>0</v>
      </c>
    </row>
    <row r="466" spans="1:19" ht="25.5">
      <c r="A466" s="5">
        <v>451</v>
      </c>
      <c r="B466" s="29" t="s">
        <v>710</v>
      </c>
      <c r="C466" s="30" t="s">
        <v>711</v>
      </c>
      <c r="D466" s="10" t="s">
        <v>1124</v>
      </c>
      <c r="E466" s="57" t="s">
        <v>846</v>
      </c>
      <c r="F466" s="57" t="s">
        <v>474</v>
      </c>
      <c r="G466" s="57" t="s">
        <v>1729</v>
      </c>
      <c r="H466" s="57" t="s">
        <v>1125</v>
      </c>
      <c r="I466" s="57" t="s">
        <v>846</v>
      </c>
      <c r="J466" s="57" t="s">
        <v>236</v>
      </c>
      <c r="K466" s="57" t="s">
        <v>591</v>
      </c>
      <c r="L466" s="31" t="s">
        <v>644</v>
      </c>
      <c r="M466" s="22">
        <v>456</v>
      </c>
      <c r="N466" s="46">
        <v>45</v>
      </c>
      <c r="O466" s="49">
        <f t="shared" si="9"/>
        <v>20520</v>
      </c>
      <c r="P466" s="5" t="s">
        <v>391</v>
      </c>
      <c r="Q466" s="5" t="s">
        <v>391</v>
      </c>
      <c r="R466" s="11" t="s">
        <v>2027</v>
      </c>
      <c r="S466" s="22">
        <v>0</v>
      </c>
    </row>
    <row r="467" spans="1:19" ht="38.25">
      <c r="A467" s="5">
        <v>452</v>
      </c>
      <c r="B467" s="29" t="s">
        <v>710</v>
      </c>
      <c r="C467" s="30" t="s">
        <v>711</v>
      </c>
      <c r="D467" s="5" t="s">
        <v>476</v>
      </c>
      <c r="E467" s="57" t="s">
        <v>477</v>
      </c>
      <c r="F467" s="57" t="s">
        <v>28</v>
      </c>
      <c r="G467" s="57" t="s">
        <v>478</v>
      </c>
      <c r="H467" s="57" t="s">
        <v>479</v>
      </c>
      <c r="I467" s="57" t="s">
        <v>477</v>
      </c>
      <c r="J467" s="57" t="s">
        <v>28</v>
      </c>
      <c r="K467" s="57" t="s">
        <v>591</v>
      </c>
      <c r="L467" s="31" t="s">
        <v>644</v>
      </c>
      <c r="M467" s="22">
        <v>19</v>
      </c>
      <c r="N467" s="46">
        <v>759</v>
      </c>
      <c r="O467" s="49">
        <f t="shared" si="9"/>
        <v>14421</v>
      </c>
      <c r="P467" s="5" t="s">
        <v>391</v>
      </c>
      <c r="Q467" s="5" t="s">
        <v>391</v>
      </c>
      <c r="R467" s="11" t="s">
        <v>2027</v>
      </c>
      <c r="S467" s="22">
        <v>0</v>
      </c>
    </row>
    <row r="468" spans="1:19" ht="25.5">
      <c r="A468" s="5">
        <v>453</v>
      </c>
      <c r="B468" s="29" t="s">
        <v>710</v>
      </c>
      <c r="C468" s="30" t="s">
        <v>711</v>
      </c>
      <c r="D468" s="10" t="s">
        <v>690</v>
      </c>
      <c r="E468" s="57" t="s">
        <v>2183</v>
      </c>
      <c r="F468" s="57" t="s">
        <v>29</v>
      </c>
      <c r="G468" s="57" t="s">
        <v>847</v>
      </c>
      <c r="H468" s="57" t="s">
        <v>772</v>
      </c>
      <c r="I468" s="57" t="s">
        <v>2183</v>
      </c>
      <c r="J468" s="57" t="s">
        <v>29</v>
      </c>
      <c r="K468" s="57" t="s">
        <v>591</v>
      </c>
      <c r="L468" s="5" t="s">
        <v>480</v>
      </c>
      <c r="M468" s="22">
        <v>228</v>
      </c>
      <c r="N468" s="46">
        <v>27</v>
      </c>
      <c r="O468" s="49">
        <f t="shared" si="9"/>
        <v>6156</v>
      </c>
      <c r="P468" s="5" t="s">
        <v>391</v>
      </c>
      <c r="Q468" s="5" t="s">
        <v>391</v>
      </c>
      <c r="R468" s="11" t="s">
        <v>2027</v>
      </c>
      <c r="S468" s="22">
        <v>0</v>
      </c>
    </row>
    <row r="469" spans="1:19" ht="51">
      <c r="A469" s="5">
        <v>454</v>
      </c>
      <c r="B469" s="29" t="s">
        <v>710</v>
      </c>
      <c r="C469" s="30" t="s">
        <v>711</v>
      </c>
      <c r="D469" s="31" t="s">
        <v>691</v>
      </c>
      <c r="E469" s="57" t="s">
        <v>119</v>
      </c>
      <c r="F469" s="57" t="s">
        <v>119</v>
      </c>
      <c r="G469" s="57" t="s">
        <v>848</v>
      </c>
      <c r="H469" s="57" t="s">
        <v>692</v>
      </c>
      <c r="I469" s="57" t="s">
        <v>119</v>
      </c>
      <c r="J469" s="57" t="s">
        <v>119</v>
      </c>
      <c r="K469" s="57" t="s">
        <v>591</v>
      </c>
      <c r="L469" s="31" t="s">
        <v>644</v>
      </c>
      <c r="M469" s="22">
        <v>114</v>
      </c>
      <c r="N469" s="46">
        <v>103</v>
      </c>
      <c r="O469" s="49">
        <f t="shared" si="9"/>
        <v>11742</v>
      </c>
      <c r="P469" s="5" t="s">
        <v>391</v>
      </c>
      <c r="Q469" s="5" t="s">
        <v>391</v>
      </c>
      <c r="R469" s="11" t="s">
        <v>2027</v>
      </c>
      <c r="S469" s="22">
        <v>0</v>
      </c>
    </row>
    <row r="470" spans="1:19" ht="51">
      <c r="A470" s="5">
        <v>455</v>
      </c>
      <c r="B470" s="29" t="s">
        <v>710</v>
      </c>
      <c r="C470" s="30" t="s">
        <v>711</v>
      </c>
      <c r="D470" s="33" t="s">
        <v>422</v>
      </c>
      <c r="E470" s="57" t="s">
        <v>423</v>
      </c>
      <c r="F470" s="57" t="s">
        <v>424</v>
      </c>
      <c r="G470" s="57" t="s">
        <v>837</v>
      </c>
      <c r="H470" s="57" t="s">
        <v>425</v>
      </c>
      <c r="I470" s="57" t="s">
        <v>2303</v>
      </c>
      <c r="J470" s="57" t="s">
        <v>230</v>
      </c>
      <c r="K470" s="57" t="s">
        <v>591</v>
      </c>
      <c r="L470" s="11" t="s">
        <v>909</v>
      </c>
      <c r="M470" s="22">
        <v>360</v>
      </c>
      <c r="N470" s="46">
        <v>670</v>
      </c>
      <c r="O470" s="49">
        <f t="shared" si="9"/>
        <v>241200</v>
      </c>
      <c r="P470" s="5" t="s">
        <v>393</v>
      </c>
      <c r="Q470" s="5" t="s">
        <v>766</v>
      </c>
      <c r="R470" s="11" t="s">
        <v>2022</v>
      </c>
      <c r="S470" s="22">
        <v>0</v>
      </c>
    </row>
    <row r="471" spans="1:19" ht="63.75">
      <c r="A471" s="5">
        <v>456</v>
      </c>
      <c r="B471" s="29" t="s">
        <v>710</v>
      </c>
      <c r="C471" s="30" t="s">
        <v>711</v>
      </c>
      <c r="D471" s="31" t="s">
        <v>426</v>
      </c>
      <c r="E471" s="57" t="s">
        <v>838</v>
      </c>
      <c r="F471" s="57" t="s">
        <v>19</v>
      </c>
      <c r="G471" s="57" t="s">
        <v>839</v>
      </c>
      <c r="H471" s="57" t="s">
        <v>428</v>
      </c>
      <c r="I471" s="57" t="s">
        <v>838</v>
      </c>
      <c r="J471" s="57" t="s">
        <v>19</v>
      </c>
      <c r="K471" s="57" t="s">
        <v>591</v>
      </c>
      <c r="L471" s="5" t="s">
        <v>669</v>
      </c>
      <c r="M471" s="22">
        <f>30+30</f>
        <v>60</v>
      </c>
      <c r="N471" s="46">
        <f>O471/M471</f>
        <v>313</v>
      </c>
      <c r="O471" s="49">
        <f>9390+9390</f>
        <v>18780</v>
      </c>
      <c r="P471" s="5" t="s">
        <v>393</v>
      </c>
      <c r="Q471" s="5" t="s">
        <v>766</v>
      </c>
      <c r="R471" s="11" t="s">
        <v>2022</v>
      </c>
      <c r="S471" s="22">
        <v>0</v>
      </c>
    </row>
    <row r="472" spans="1:19" ht="51">
      <c r="A472" s="5">
        <v>457</v>
      </c>
      <c r="B472" s="29" t="s">
        <v>710</v>
      </c>
      <c r="C472" s="30" t="s">
        <v>711</v>
      </c>
      <c r="D472" s="10" t="s">
        <v>429</v>
      </c>
      <c r="E472" s="57" t="s">
        <v>840</v>
      </c>
      <c r="F472" s="57" t="s">
        <v>430</v>
      </c>
      <c r="G472" s="57" t="s">
        <v>841</v>
      </c>
      <c r="H472" s="57" t="s">
        <v>431</v>
      </c>
      <c r="I472" s="57" t="s">
        <v>840</v>
      </c>
      <c r="J472" s="57" t="s">
        <v>231</v>
      </c>
      <c r="K472" s="57" t="s">
        <v>591</v>
      </c>
      <c r="L472" s="11" t="s">
        <v>909</v>
      </c>
      <c r="M472" s="22">
        <f>60+60</f>
        <v>120</v>
      </c>
      <c r="N472" s="46">
        <f t="shared" ref="N472:N474" si="10">O472/M472</f>
        <v>223</v>
      </c>
      <c r="O472" s="49">
        <f>13380+13380</f>
        <v>26760</v>
      </c>
      <c r="P472" s="5" t="s">
        <v>393</v>
      </c>
      <c r="Q472" s="5" t="s">
        <v>766</v>
      </c>
      <c r="R472" s="11" t="s">
        <v>2022</v>
      </c>
      <c r="S472" s="22">
        <v>0</v>
      </c>
    </row>
    <row r="473" spans="1:19" ht="51">
      <c r="A473" s="5">
        <v>458</v>
      </c>
      <c r="B473" s="29" t="s">
        <v>710</v>
      </c>
      <c r="C473" s="30" t="s">
        <v>711</v>
      </c>
      <c r="D473" s="11" t="s">
        <v>894</v>
      </c>
      <c r="E473" s="57" t="s">
        <v>767</v>
      </c>
      <c r="F473" s="57" t="s">
        <v>18</v>
      </c>
      <c r="G473" s="57" t="s">
        <v>2180</v>
      </c>
      <c r="H473" s="57" t="s">
        <v>670</v>
      </c>
      <c r="I473" s="57" t="s">
        <v>767</v>
      </c>
      <c r="J473" s="57" t="s">
        <v>18</v>
      </c>
      <c r="K473" s="57" t="s">
        <v>591</v>
      </c>
      <c r="L473" s="5" t="s">
        <v>480</v>
      </c>
      <c r="M473" s="22">
        <f>60+60</f>
        <v>120</v>
      </c>
      <c r="N473" s="46">
        <f t="shared" si="10"/>
        <v>179</v>
      </c>
      <c r="O473" s="49">
        <f>10740+10740</f>
        <v>21480</v>
      </c>
      <c r="P473" s="5" t="s">
        <v>393</v>
      </c>
      <c r="Q473" s="5" t="s">
        <v>766</v>
      </c>
      <c r="R473" s="11" t="s">
        <v>2022</v>
      </c>
      <c r="S473" s="22">
        <v>0</v>
      </c>
    </row>
    <row r="474" spans="1:19" ht="51">
      <c r="A474" s="5">
        <v>459</v>
      </c>
      <c r="B474" s="15" t="s">
        <v>710</v>
      </c>
      <c r="C474" s="30" t="s">
        <v>711</v>
      </c>
      <c r="D474" s="5" t="s">
        <v>673</v>
      </c>
      <c r="E474" s="57" t="s">
        <v>20</v>
      </c>
      <c r="F474" s="57" t="s">
        <v>1009</v>
      </c>
      <c r="G474" s="57" t="s">
        <v>2228</v>
      </c>
      <c r="H474" s="57" t="s">
        <v>1366</v>
      </c>
      <c r="I474" s="57" t="s">
        <v>20</v>
      </c>
      <c r="J474" s="57" t="s">
        <v>20</v>
      </c>
      <c r="K474" s="57" t="s">
        <v>591</v>
      </c>
      <c r="L474" s="31" t="s">
        <v>644</v>
      </c>
      <c r="M474" s="22">
        <f>60+60</f>
        <v>120</v>
      </c>
      <c r="N474" s="46">
        <f t="shared" si="10"/>
        <v>107</v>
      </c>
      <c r="O474" s="49">
        <f>6420+6420</f>
        <v>12840</v>
      </c>
      <c r="P474" s="5" t="s">
        <v>393</v>
      </c>
      <c r="Q474" s="5" t="s">
        <v>766</v>
      </c>
      <c r="R474" s="11" t="s">
        <v>2022</v>
      </c>
      <c r="S474" s="22">
        <v>0</v>
      </c>
    </row>
    <row r="475" spans="1:19" ht="51">
      <c r="A475" s="5">
        <v>460</v>
      </c>
      <c r="B475" s="29" t="s">
        <v>710</v>
      </c>
      <c r="C475" s="30" t="s">
        <v>711</v>
      </c>
      <c r="D475" s="10" t="s">
        <v>673</v>
      </c>
      <c r="E475" s="57" t="s">
        <v>21</v>
      </c>
      <c r="F475" s="57" t="s">
        <v>21</v>
      </c>
      <c r="G475" s="57" t="s">
        <v>2246</v>
      </c>
      <c r="H475" s="57" t="s">
        <v>674</v>
      </c>
      <c r="I475" s="57" t="s">
        <v>21</v>
      </c>
      <c r="J475" s="57" t="s">
        <v>21</v>
      </c>
      <c r="K475" s="57" t="s">
        <v>591</v>
      </c>
      <c r="L475" s="31" t="s">
        <v>644</v>
      </c>
      <c r="M475" s="22">
        <v>15</v>
      </c>
      <c r="N475" s="46">
        <v>1339</v>
      </c>
      <c r="O475" s="49">
        <f t="shared" ref="O475:O538" si="11">M475*N475</f>
        <v>20085</v>
      </c>
      <c r="P475" s="5" t="s">
        <v>393</v>
      </c>
      <c r="Q475" s="5" t="s">
        <v>766</v>
      </c>
      <c r="R475" s="11" t="s">
        <v>2022</v>
      </c>
      <c r="S475" s="22">
        <v>0</v>
      </c>
    </row>
    <row r="476" spans="1:19" ht="63.75">
      <c r="A476" s="5">
        <v>461</v>
      </c>
      <c r="B476" s="15" t="s">
        <v>710</v>
      </c>
      <c r="C476" s="30" t="s">
        <v>711</v>
      </c>
      <c r="D476" s="10" t="s">
        <v>675</v>
      </c>
      <c r="E476" s="57" t="s">
        <v>2077</v>
      </c>
      <c r="F476" s="57" t="s">
        <v>22</v>
      </c>
      <c r="G476" s="57" t="s">
        <v>843</v>
      </c>
      <c r="H476" s="57" t="s">
        <v>769</v>
      </c>
      <c r="I476" s="57" t="s">
        <v>2077</v>
      </c>
      <c r="J476" s="57" t="s">
        <v>22</v>
      </c>
      <c r="K476" s="57" t="s">
        <v>591</v>
      </c>
      <c r="L476" s="5" t="s">
        <v>480</v>
      </c>
      <c r="M476" s="22">
        <f>360+360</f>
        <v>720</v>
      </c>
      <c r="N476" s="46">
        <f>O476/M476</f>
        <v>13</v>
      </c>
      <c r="O476" s="49">
        <f>4680+4680</f>
        <v>9360</v>
      </c>
      <c r="P476" s="5" t="s">
        <v>393</v>
      </c>
      <c r="Q476" s="5" t="s">
        <v>766</v>
      </c>
      <c r="R476" s="11" t="s">
        <v>2022</v>
      </c>
      <c r="S476" s="22">
        <v>0</v>
      </c>
    </row>
    <row r="477" spans="1:19" ht="51">
      <c r="A477" s="5">
        <v>462</v>
      </c>
      <c r="B477" s="29" t="s">
        <v>710</v>
      </c>
      <c r="C477" s="30" t="s">
        <v>711</v>
      </c>
      <c r="D477" s="5" t="s">
        <v>443</v>
      </c>
      <c r="E477" s="57" t="s">
        <v>444</v>
      </c>
      <c r="F477" s="57" t="s">
        <v>444</v>
      </c>
      <c r="G477" s="57" t="s">
        <v>445</v>
      </c>
      <c r="H477" s="57" t="s">
        <v>446</v>
      </c>
      <c r="I477" s="57" t="s">
        <v>232</v>
      </c>
      <c r="J477" s="57" t="s">
        <v>232</v>
      </c>
      <c r="K477" s="57" t="s">
        <v>591</v>
      </c>
      <c r="L477" s="31" t="s">
        <v>644</v>
      </c>
      <c r="M477" s="22">
        <f>90+90</f>
        <v>180</v>
      </c>
      <c r="N477" s="46">
        <f t="shared" ref="N477:N486" si="12">O477/M477</f>
        <v>446</v>
      </c>
      <c r="O477" s="49">
        <f>40140+40140</f>
        <v>80280</v>
      </c>
      <c r="P477" s="5" t="s">
        <v>393</v>
      </c>
      <c r="Q477" s="5" t="s">
        <v>766</v>
      </c>
      <c r="R477" s="11" t="s">
        <v>2022</v>
      </c>
      <c r="S477" s="22">
        <v>0</v>
      </c>
    </row>
    <row r="478" spans="1:19" ht="51">
      <c r="A478" s="5">
        <v>463</v>
      </c>
      <c r="B478" s="29" t="s">
        <v>710</v>
      </c>
      <c r="C478" s="30" t="s">
        <v>711</v>
      </c>
      <c r="D478" s="10" t="s">
        <v>677</v>
      </c>
      <c r="E478" s="57" t="s">
        <v>2276</v>
      </c>
      <c r="F478" s="57" t="s">
        <v>23</v>
      </c>
      <c r="G478" s="57" t="s">
        <v>844</v>
      </c>
      <c r="H478" s="57" t="s">
        <v>678</v>
      </c>
      <c r="I478" s="57" t="s">
        <v>2276</v>
      </c>
      <c r="J478" s="57" t="s">
        <v>23</v>
      </c>
      <c r="K478" s="57" t="s">
        <v>591</v>
      </c>
      <c r="L478" s="31" t="s">
        <v>644</v>
      </c>
      <c r="M478" s="22">
        <f>90+90</f>
        <v>180</v>
      </c>
      <c r="N478" s="46">
        <f t="shared" si="12"/>
        <v>268</v>
      </c>
      <c r="O478" s="49">
        <f>24120+24120</f>
        <v>48240</v>
      </c>
      <c r="P478" s="5" t="s">
        <v>393</v>
      </c>
      <c r="Q478" s="5" t="s">
        <v>766</v>
      </c>
      <c r="R478" s="11" t="s">
        <v>2022</v>
      </c>
      <c r="S478" s="22">
        <v>0</v>
      </c>
    </row>
    <row r="479" spans="1:19" ht="51">
      <c r="A479" s="5">
        <v>464</v>
      </c>
      <c r="B479" s="29" t="s">
        <v>710</v>
      </c>
      <c r="C479" s="30" t="s">
        <v>711</v>
      </c>
      <c r="D479" s="10" t="s">
        <v>679</v>
      </c>
      <c r="E479" s="57" t="s">
        <v>24</v>
      </c>
      <c r="F479" s="57" t="s">
        <v>24</v>
      </c>
      <c r="G479" s="57" t="s">
        <v>2279</v>
      </c>
      <c r="H479" s="57" t="s">
        <v>680</v>
      </c>
      <c r="I479" s="57" t="s">
        <v>24</v>
      </c>
      <c r="J479" s="57" t="s">
        <v>24</v>
      </c>
      <c r="K479" s="57" t="s">
        <v>591</v>
      </c>
      <c r="L479" s="31" t="s">
        <v>644</v>
      </c>
      <c r="M479" s="22">
        <f>15+15</f>
        <v>30</v>
      </c>
      <c r="N479" s="46">
        <f t="shared" si="12"/>
        <v>223</v>
      </c>
      <c r="O479" s="49">
        <f>3345+3345</f>
        <v>6690</v>
      </c>
      <c r="P479" s="5" t="s">
        <v>393</v>
      </c>
      <c r="Q479" s="5" t="s">
        <v>766</v>
      </c>
      <c r="R479" s="11" t="s">
        <v>2022</v>
      </c>
      <c r="S479" s="22">
        <v>0</v>
      </c>
    </row>
    <row r="480" spans="1:19" ht="51">
      <c r="A480" s="5">
        <v>465</v>
      </c>
      <c r="B480" s="29" t="s">
        <v>710</v>
      </c>
      <c r="C480" s="30" t="s">
        <v>711</v>
      </c>
      <c r="D480" s="5" t="s">
        <v>449</v>
      </c>
      <c r="E480" s="57" t="s">
        <v>2278</v>
      </c>
      <c r="F480" s="57" t="s">
        <v>450</v>
      </c>
      <c r="G480" s="57" t="s">
        <v>2281</v>
      </c>
      <c r="H480" s="57" t="s">
        <v>451</v>
      </c>
      <c r="I480" s="57" t="s">
        <v>2278</v>
      </c>
      <c r="J480" s="57" t="s">
        <v>233</v>
      </c>
      <c r="K480" s="57" t="s">
        <v>591</v>
      </c>
      <c r="L480" s="5" t="s">
        <v>480</v>
      </c>
      <c r="M480" s="22">
        <f>90+90</f>
        <v>180</v>
      </c>
      <c r="N480" s="46">
        <f t="shared" si="12"/>
        <v>223</v>
      </c>
      <c r="O480" s="49">
        <f>20070+20070</f>
        <v>40140</v>
      </c>
      <c r="P480" s="5" t="s">
        <v>393</v>
      </c>
      <c r="Q480" s="5" t="s">
        <v>766</v>
      </c>
      <c r="R480" s="11" t="s">
        <v>2022</v>
      </c>
      <c r="S480" s="22">
        <v>0</v>
      </c>
    </row>
    <row r="481" spans="1:19" ht="51">
      <c r="A481" s="5">
        <v>466</v>
      </c>
      <c r="B481" s="29" t="s">
        <v>710</v>
      </c>
      <c r="C481" s="30" t="s">
        <v>711</v>
      </c>
      <c r="D481" s="5" t="s">
        <v>452</v>
      </c>
      <c r="E481" s="57" t="s">
        <v>453</v>
      </c>
      <c r="F481" s="57" t="s">
        <v>454</v>
      </c>
      <c r="G481" s="57" t="s">
        <v>455</v>
      </c>
      <c r="H481" s="57" t="s">
        <v>456</v>
      </c>
      <c r="I481" s="57" t="s">
        <v>453</v>
      </c>
      <c r="J481" s="57" t="s">
        <v>234</v>
      </c>
      <c r="K481" s="57" t="s">
        <v>591</v>
      </c>
      <c r="L481" s="5" t="s">
        <v>480</v>
      </c>
      <c r="M481" s="22">
        <f>90+90</f>
        <v>180</v>
      </c>
      <c r="N481" s="46">
        <f t="shared" si="12"/>
        <v>179</v>
      </c>
      <c r="O481" s="49">
        <f>16110+16110</f>
        <v>32220</v>
      </c>
      <c r="P481" s="5" t="s">
        <v>393</v>
      </c>
      <c r="Q481" s="5" t="s">
        <v>766</v>
      </c>
      <c r="R481" s="11" t="s">
        <v>2022</v>
      </c>
      <c r="S481" s="22">
        <v>0</v>
      </c>
    </row>
    <row r="482" spans="1:19" ht="51">
      <c r="A482" s="5">
        <v>467</v>
      </c>
      <c r="B482" s="29" t="s">
        <v>710</v>
      </c>
      <c r="C482" s="30" t="s">
        <v>711</v>
      </c>
      <c r="D482" s="5" t="s">
        <v>457</v>
      </c>
      <c r="E482" s="57" t="s">
        <v>17</v>
      </c>
      <c r="F482" s="57" t="s">
        <v>17</v>
      </c>
      <c r="G482" s="57" t="s">
        <v>2289</v>
      </c>
      <c r="H482" s="57" t="s">
        <v>2290</v>
      </c>
      <c r="I482" s="57" t="s">
        <v>17</v>
      </c>
      <c r="J482" s="57" t="s">
        <v>17</v>
      </c>
      <c r="K482" s="57" t="s">
        <v>591</v>
      </c>
      <c r="L482" s="31" t="s">
        <v>644</v>
      </c>
      <c r="M482" s="22">
        <f>30+30</f>
        <v>60</v>
      </c>
      <c r="N482" s="46">
        <f t="shared" si="12"/>
        <v>714</v>
      </c>
      <c r="O482" s="49">
        <f>21420+21420</f>
        <v>42840</v>
      </c>
      <c r="P482" s="5" t="s">
        <v>393</v>
      </c>
      <c r="Q482" s="5" t="s">
        <v>766</v>
      </c>
      <c r="R482" s="11" t="s">
        <v>2022</v>
      </c>
      <c r="S482" s="22">
        <v>0</v>
      </c>
    </row>
    <row r="483" spans="1:19" ht="51">
      <c r="A483" s="5">
        <v>468</v>
      </c>
      <c r="B483" s="29" t="s">
        <v>710</v>
      </c>
      <c r="C483" s="30" t="s">
        <v>711</v>
      </c>
      <c r="D483" s="11" t="s">
        <v>459</v>
      </c>
      <c r="E483" s="57" t="s">
        <v>1691</v>
      </c>
      <c r="F483" s="57" t="s">
        <v>460</v>
      </c>
      <c r="G483" s="57" t="s">
        <v>2214</v>
      </c>
      <c r="H483" s="57" t="s">
        <v>2215</v>
      </c>
      <c r="I483" s="57" t="s">
        <v>235</v>
      </c>
      <c r="J483" s="57" t="s">
        <v>235</v>
      </c>
      <c r="K483" s="57" t="s">
        <v>591</v>
      </c>
      <c r="L483" s="31" t="s">
        <v>644</v>
      </c>
      <c r="M483" s="22">
        <f>60+60</f>
        <v>120</v>
      </c>
      <c r="N483" s="46">
        <f t="shared" si="12"/>
        <v>161</v>
      </c>
      <c r="O483" s="49">
        <f>9660+9660</f>
        <v>19320</v>
      </c>
      <c r="P483" s="5" t="s">
        <v>393</v>
      </c>
      <c r="Q483" s="5" t="s">
        <v>766</v>
      </c>
      <c r="R483" s="11" t="s">
        <v>2022</v>
      </c>
      <c r="S483" s="22">
        <v>0</v>
      </c>
    </row>
    <row r="484" spans="1:19" ht="51">
      <c r="A484" s="5">
        <v>469</v>
      </c>
      <c r="B484" s="29" t="s">
        <v>710</v>
      </c>
      <c r="C484" s="30" t="s">
        <v>711</v>
      </c>
      <c r="D484" s="10" t="s">
        <v>683</v>
      </c>
      <c r="E484" s="57" t="s">
        <v>466</v>
      </c>
      <c r="F484" s="57" t="s">
        <v>463</v>
      </c>
      <c r="G484" s="57" t="s">
        <v>845</v>
      </c>
      <c r="H484" s="57" t="s">
        <v>770</v>
      </c>
      <c r="I484" s="57" t="s">
        <v>466</v>
      </c>
      <c r="J484" s="57" t="s">
        <v>463</v>
      </c>
      <c r="K484" s="57" t="s">
        <v>591</v>
      </c>
      <c r="L484" s="31" t="s">
        <v>644</v>
      </c>
      <c r="M484" s="22">
        <f>60+60</f>
        <v>120</v>
      </c>
      <c r="N484" s="46">
        <f t="shared" si="12"/>
        <v>161</v>
      </c>
      <c r="O484" s="49">
        <f>9660+9660</f>
        <v>19320</v>
      </c>
      <c r="P484" s="5" t="s">
        <v>393</v>
      </c>
      <c r="Q484" s="5" t="s">
        <v>766</v>
      </c>
      <c r="R484" s="11" t="s">
        <v>2022</v>
      </c>
      <c r="S484" s="22">
        <v>0</v>
      </c>
    </row>
    <row r="485" spans="1:19" ht="51">
      <c r="A485" s="5">
        <v>470</v>
      </c>
      <c r="B485" s="29" t="s">
        <v>710</v>
      </c>
      <c r="C485" s="30" t="s">
        <v>711</v>
      </c>
      <c r="D485" s="10" t="s">
        <v>684</v>
      </c>
      <c r="E485" s="57" t="s">
        <v>466</v>
      </c>
      <c r="F485" s="57" t="s">
        <v>25</v>
      </c>
      <c r="G485" s="57" t="s">
        <v>2191</v>
      </c>
      <c r="H485" s="57" t="s">
        <v>685</v>
      </c>
      <c r="I485" s="57" t="s">
        <v>466</v>
      </c>
      <c r="J485" s="57" t="s">
        <v>25</v>
      </c>
      <c r="K485" s="57" t="s">
        <v>591</v>
      </c>
      <c r="L485" s="31" t="s">
        <v>644</v>
      </c>
      <c r="M485" s="22">
        <f>60+60</f>
        <v>120</v>
      </c>
      <c r="N485" s="46">
        <f t="shared" si="12"/>
        <v>45</v>
      </c>
      <c r="O485" s="49">
        <f>2700+2700</f>
        <v>5400</v>
      </c>
      <c r="P485" s="5" t="s">
        <v>393</v>
      </c>
      <c r="Q485" s="5" t="s">
        <v>766</v>
      </c>
      <c r="R485" s="11" t="s">
        <v>2022</v>
      </c>
      <c r="S485" s="22">
        <v>0</v>
      </c>
    </row>
    <row r="486" spans="1:19" ht="51">
      <c r="A486" s="5">
        <v>471</v>
      </c>
      <c r="B486" s="15" t="s">
        <v>710</v>
      </c>
      <c r="C486" s="30" t="s">
        <v>711</v>
      </c>
      <c r="D486" s="10" t="s">
        <v>686</v>
      </c>
      <c r="E486" s="57" t="s">
        <v>2304</v>
      </c>
      <c r="F486" s="57" t="s">
        <v>26</v>
      </c>
      <c r="G486" s="57" t="s">
        <v>2305</v>
      </c>
      <c r="H486" s="57" t="s">
        <v>687</v>
      </c>
      <c r="I486" s="57" t="s">
        <v>2304</v>
      </c>
      <c r="J486" s="57" t="s">
        <v>26</v>
      </c>
      <c r="K486" s="57" t="s">
        <v>591</v>
      </c>
      <c r="L486" s="11" t="s">
        <v>909</v>
      </c>
      <c r="M486" s="22">
        <f>30+30</f>
        <v>60</v>
      </c>
      <c r="N486" s="46">
        <f t="shared" si="12"/>
        <v>134</v>
      </c>
      <c r="O486" s="49">
        <f>4020+4020</f>
        <v>8040</v>
      </c>
      <c r="P486" s="5" t="s">
        <v>393</v>
      </c>
      <c r="Q486" s="5" t="s">
        <v>766</v>
      </c>
      <c r="R486" s="11" t="s">
        <v>2022</v>
      </c>
      <c r="S486" s="22">
        <v>0</v>
      </c>
    </row>
    <row r="487" spans="1:19" ht="127.5">
      <c r="A487" s="5">
        <v>472</v>
      </c>
      <c r="B487" s="29" t="s">
        <v>710</v>
      </c>
      <c r="C487" s="30" t="s">
        <v>711</v>
      </c>
      <c r="D487" s="5" t="s">
        <v>470</v>
      </c>
      <c r="E487" s="57" t="s">
        <v>27</v>
      </c>
      <c r="F487" s="57" t="s">
        <v>27</v>
      </c>
      <c r="G487" s="57" t="s">
        <v>471</v>
      </c>
      <c r="H487" s="57" t="s">
        <v>472</v>
      </c>
      <c r="I487" s="57" t="s">
        <v>27</v>
      </c>
      <c r="J487" s="57" t="s">
        <v>27</v>
      </c>
      <c r="K487" s="57" t="s">
        <v>591</v>
      </c>
      <c r="L487" s="31" t="s">
        <v>644</v>
      </c>
      <c r="M487" s="22">
        <v>3</v>
      </c>
      <c r="N487" s="46">
        <v>2679</v>
      </c>
      <c r="O487" s="49">
        <f t="shared" si="11"/>
        <v>8037</v>
      </c>
      <c r="P487" s="5" t="s">
        <v>393</v>
      </c>
      <c r="Q487" s="5" t="s">
        <v>766</v>
      </c>
      <c r="R487" s="11" t="s">
        <v>2022</v>
      </c>
      <c r="S487" s="22">
        <v>0</v>
      </c>
    </row>
    <row r="488" spans="1:19" ht="51">
      <c r="A488" s="5">
        <v>473</v>
      </c>
      <c r="B488" s="29" t="s">
        <v>710</v>
      </c>
      <c r="C488" s="30" t="s">
        <v>711</v>
      </c>
      <c r="D488" s="5" t="s">
        <v>688</v>
      </c>
      <c r="E488" s="57" t="s">
        <v>846</v>
      </c>
      <c r="F488" s="57" t="s">
        <v>846</v>
      </c>
      <c r="G488" s="57" t="s">
        <v>771</v>
      </c>
      <c r="H488" s="57" t="s">
        <v>771</v>
      </c>
      <c r="I488" s="57" t="s">
        <v>846</v>
      </c>
      <c r="J488" s="57" t="s">
        <v>236</v>
      </c>
      <c r="K488" s="57" t="s">
        <v>591</v>
      </c>
      <c r="L488" s="31" t="s">
        <v>644</v>
      </c>
      <c r="M488" s="22">
        <f>360+360</f>
        <v>720</v>
      </c>
      <c r="N488" s="46">
        <f>O488/M488</f>
        <v>45</v>
      </c>
      <c r="O488" s="49">
        <f>16200+16200</f>
        <v>32400</v>
      </c>
      <c r="P488" s="5" t="s">
        <v>393</v>
      </c>
      <c r="Q488" s="5" t="s">
        <v>766</v>
      </c>
      <c r="R488" s="11" t="s">
        <v>2022</v>
      </c>
      <c r="S488" s="22">
        <v>0</v>
      </c>
    </row>
    <row r="489" spans="1:19" ht="51">
      <c r="A489" s="5">
        <v>474</v>
      </c>
      <c r="B489" s="29" t="s">
        <v>710</v>
      </c>
      <c r="C489" s="30" t="s">
        <v>711</v>
      </c>
      <c r="D489" s="5" t="s">
        <v>476</v>
      </c>
      <c r="E489" s="57" t="s">
        <v>477</v>
      </c>
      <c r="F489" s="57" t="s">
        <v>28</v>
      </c>
      <c r="G489" s="57" t="s">
        <v>478</v>
      </c>
      <c r="H489" s="57" t="s">
        <v>479</v>
      </c>
      <c r="I489" s="57" t="s">
        <v>477</v>
      </c>
      <c r="J489" s="57" t="s">
        <v>28</v>
      </c>
      <c r="K489" s="57" t="s">
        <v>591</v>
      </c>
      <c r="L489" s="31" t="s">
        <v>644</v>
      </c>
      <c r="M489" s="22">
        <f>15+15</f>
        <v>30</v>
      </c>
      <c r="N489" s="46">
        <f>O489/M489</f>
        <v>759</v>
      </c>
      <c r="O489" s="49">
        <f>11385+11385</f>
        <v>22770</v>
      </c>
      <c r="P489" s="5" t="s">
        <v>393</v>
      </c>
      <c r="Q489" s="5" t="s">
        <v>766</v>
      </c>
      <c r="R489" s="11" t="s">
        <v>2022</v>
      </c>
      <c r="S489" s="22">
        <v>0</v>
      </c>
    </row>
    <row r="490" spans="1:19" ht="51">
      <c r="A490" s="5">
        <v>475</v>
      </c>
      <c r="B490" s="29" t="s">
        <v>710</v>
      </c>
      <c r="C490" s="30" t="s">
        <v>711</v>
      </c>
      <c r="D490" s="10" t="s">
        <v>690</v>
      </c>
      <c r="E490" s="57" t="s">
        <v>2183</v>
      </c>
      <c r="F490" s="57" t="s">
        <v>29</v>
      </c>
      <c r="G490" s="57" t="s">
        <v>847</v>
      </c>
      <c r="H490" s="57" t="s">
        <v>772</v>
      </c>
      <c r="I490" s="57" t="s">
        <v>2183</v>
      </c>
      <c r="J490" s="57" t="s">
        <v>29</v>
      </c>
      <c r="K490" s="57" t="s">
        <v>591</v>
      </c>
      <c r="L490" s="5" t="s">
        <v>480</v>
      </c>
      <c r="M490" s="22">
        <v>180</v>
      </c>
      <c r="N490" s="46">
        <v>27</v>
      </c>
      <c r="O490" s="49">
        <f t="shared" si="11"/>
        <v>4860</v>
      </c>
      <c r="P490" s="5" t="s">
        <v>393</v>
      </c>
      <c r="Q490" s="5" t="s">
        <v>766</v>
      </c>
      <c r="R490" s="11" t="s">
        <v>2022</v>
      </c>
      <c r="S490" s="22">
        <v>0</v>
      </c>
    </row>
    <row r="491" spans="1:19" ht="51">
      <c r="A491" s="5">
        <v>476</v>
      </c>
      <c r="B491" s="29" t="s">
        <v>710</v>
      </c>
      <c r="C491" s="30" t="s">
        <v>711</v>
      </c>
      <c r="D491" s="31" t="s">
        <v>691</v>
      </c>
      <c r="E491" s="57" t="s">
        <v>119</v>
      </c>
      <c r="F491" s="57" t="s">
        <v>119</v>
      </c>
      <c r="G491" s="57" t="s">
        <v>848</v>
      </c>
      <c r="H491" s="57" t="s">
        <v>692</v>
      </c>
      <c r="I491" s="57" t="s">
        <v>119</v>
      </c>
      <c r="J491" s="57" t="s">
        <v>119</v>
      </c>
      <c r="K491" s="57" t="s">
        <v>591</v>
      </c>
      <c r="L491" s="31" t="s">
        <v>644</v>
      </c>
      <c r="M491" s="22">
        <v>90</v>
      </c>
      <c r="N491" s="46">
        <v>103</v>
      </c>
      <c r="O491" s="49">
        <f t="shared" si="11"/>
        <v>9270</v>
      </c>
      <c r="P491" s="5" t="s">
        <v>393</v>
      </c>
      <c r="Q491" s="5" t="s">
        <v>393</v>
      </c>
      <c r="R491" s="11" t="s">
        <v>2022</v>
      </c>
      <c r="S491" s="22">
        <v>100</v>
      </c>
    </row>
    <row r="492" spans="1:19" ht="51">
      <c r="A492" s="5">
        <v>477</v>
      </c>
      <c r="B492" s="29" t="s">
        <v>710</v>
      </c>
      <c r="C492" s="30" t="s">
        <v>711</v>
      </c>
      <c r="D492" s="33" t="s">
        <v>422</v>
      </c>
      <c r="E492" s="57" t="s">
        <v>423</v>
      </c>
      <c r="F492" s="57" t="s">
        <v>424</v>
      </c>
      <c r="G492" s="57" t="s">
        <v>837</v>
      </c>
      <c r="H492" s="57" t="s">
        <v>425</v>
      </c>
      <c r="I492" s="57" t="s">
        <v>2303</v>
      </c>
      <c r="J492" s="57" t="s">
        <v>230</v>
      </c>
      <c r="K492" s="57" t="s">
        <v>591</v>
      </c>
      <c r="L492" s="11" t="s">
        <v>909</v>
      </c>
      <c r="M492" s="22">
        <v>312</v>
      </c>
      <c r="N492" s="46">
        <v>670</v>
      </c>
      <c r="O492" s="49">
        <f t="shared" si="11"/>
        <v>209040</v>
      </c>
      <c r="P492" s="5" t="s">
        <v>391</v>
      </c>
      <c r="Q492" s="5" t="s">
        <v>766</v>
      </c>
      <c r="R492" s="11" t="s">
        <v>789</v>
      </c>
      <c r="S492" s="5">
        <v>0</v>
      </c>
    </row>
    <row r="493" spans="1:19" ht="63.75">
      <c r="A493" s="5">
        <v>478</v>
      </c>
      <c r="B493" s="29" t="s">
        <v>710</v>
      </c>
      <c r="C493" s="30" t="s">
        <v>711</v>
      </c>
      <c r="D493" s="31" t="s">
        <v>426</v>
      </c>
      <c r="E493" s="57" t="s">
        <v>838</v>
      </c>
      <c r="F493" s="57" t="s">
        <v>19</v>
      </c>
      <c r="G493" s="57" t="s">
        <v>839</v>
      </c>
      <c r="H493" s="57" t="s">
        <v>428</v>
      </c>
      <c r="I493" s="57" t="s">
        <v>838</v>
      </c>
      <c r="J493" s="57" t="s">
        <v>19</v>
      </c>
      <c r="K493" s="57" t="s">
        <v>591</v>
      </c>
      <c r="L493" s="5" t="s">
        <v>669</v>
      </c>
      <c r="M493" s="22">
        <v>26</v>
      </c>
      <c r="N493" s="46">
        <v>313</v>
      </c>
      <c r="O493" s="49">
        <f t="shared" si="11"/>
        <v>8138</v>
      </c>
      <c r="P493" s="5" t="s">
        <v>391</v>
      </c>
      <c r="Q493" s="5" t="s">
        <v>766</v>
      </c>
      <c r="R493" s="11" t="s">
        <v>789</v>
      </c>
      <c r="S493" s="5">
        <v>0</v>
      </c>
    </row>
    <row r="494" spans="1:19" ht="51">
      <c r="A494" s="5">
        <v>479</v>
      </c>
      <c r="B494" s="29" t="s">
        <v>710</v>
      </c>
      <c r="C494" s="30" t="s">
        <v>711</v>
      </c>
      <c r="D494" s="10" t="s">
        <v>429</v>
      </c>
      <c r="E494" s="57" t="s">
        <v>840</v>
      </c>
      <c r="F494" s="57" t="s">
        <v>430</v>
      </c>
      <c r="G494" s="57" t="s">
        <v>841</v>
      </c>
      <c r="H494" s="57" t="s">
        <v>431</v>
      </c>
      <c r="I494" s="57" t="s">
        <v>840</v>
      </c>
      <c r="J494" s="57" t="s">
        <v>231</v>
      </c>
      <c r="K494" s="57" t="s">
        <v>591</v>
      </c>
      <c r="L494" s="11" t="s">
        <v>909</v>
      </c>
      <c r="M494" s="22">
        <v>52</v>
      </c>
      <c r="N494" s="46">
        <v>223</v>
      </c>
      <c r="O494" s="49">
        <f t="shared" si="11"/>
        <v>11596</v>
      </c>
      <c r="P494" s="5" t="s">
        <v>391</v>
      </c>
      <c r="Q494" s="5" t="s">
        <v>766</v>
      </c>
      <c r="R494" s="11" t="s">
        <v>789</v>
      </c>
      <c r="S494" s="5">
        <v>0</v>
      </c>
    </row>
    <row r="495" spans="1:19" ht="102">
      <c r="A495" s="5">
        <v>480</v>
      </c>
      <c r="B495" s="29" t="s">
        <v>710</v>
      </c>
      <c r="C495" s="30" t="s">
        <v>711</v>
      </c>
      <c r="D495" s="10" t="s">
        <v>842</v>
      </c>
      <c r="E495" s="57" t="s">
        <v>767</v>
      </c>
      <c r="F495" s="57" t="s">
        <v>18</v>
      </c>
      <c r="G495" s="57" t="s">
        <v>2192</v>
      </c>
      <c r="H495" s="57" t="s">
        <v>1029</v>
      </c>
      <c r="I495" s="57" t="s">
        <v>767</v>
      </c>
      <c r="J495" s="57" t="s">
        <v>18</v>
      </c>
      <c r="K495" s="57" t="s">
        <v>591</v>
      </c>
      <c r="L495" s="5" t="s">
        <v>644</v>
      </c>
      <c r="M495" s="22">
        <v>52</v>
      </c>
      <c r="N495" s="46">
        <v>179</v>
      </c>
      <c r="O495" s="49">
        <f t="shared" si="11"/>
        <v>9308</v>
      </c>
      <c r="P495" s="5" t="s">
        <v>391</v>
      </c>
      <c r="Q495" s="5" t="s">
        <v>766</v>
      </c>
      <c r="R495" s="11" t="s">
        <v>789</v>
      </c>
      <c r="S495" s="5">
        <v>0</v>
      </c>
    </row>
    <row r="496" spans="1:19" ht="51">
      <c r="A496" s="5">
        <v>481</v>
      </c>
      <c r="B496" s="15" t="s">
        <v>710</v>
      </c>
      <c r="C496" s="30" t="s">
        <v>711</v>
      </c>
      <c r="D496" s="5" t="s">
        <v>437</v>
      </c>
      <c r="E496" s="57" t="s">
        <v>20</v>
      </c>
      <c r="F496" s="57" t="s">
        <v>20</v>
      </c>
      <c r="G496" s="57" t="s">
        <v>438</v>
      </c>
      <c r="H496" s="57" t="s">
        <v>439</v>
      </c>
      <c r="I496" s="57" t="s">
        <v>20</v>
      </c>
      <c r="J496" s="57" t="s">
        <v>20</v>
      </c>
      <c r="K496" s="57" t="s">
        <v>591</v>
      </c>
      <c r="L496" s="31" t="s">
        <v>644</v>
      </c>
      <c r="M496" s="22">
        <v>52</v>
      </c>
      <c r="N496" s="46">
        <v>107</v>
      </c>
      <c r="O496" s="49">
        <f t="shared" si="11"/>
        <v>5564</v>
      </c>
      <c r="P496" s="5" t="s">
        <v>391</v>
      </c>
      <c r="Q496" s="5" t="s">
        <v>766</v>
      </c>
      <c r="R496" s="11" t="s">
        <v>789</v>
      </c>
      <c r="S496" s="5">
        <v>0</v>
      </c>
    </row>
    <row r="497" spans="1:19" ht="51">
      <c r="A497" s="5">
        <v>482</v>
      </c>
      <c r="B497" s="29" t="s">
        <v>710</v>
      </c>
      <c r="C497" s="30" t="s">
        <v>711</v>
      </c>
      <c r="D497" s="5" t="s">
        <v>440</v>
      </c>
      <c r="E497" s="57" t="s">
        <v>21</v>
      </c>
      <c r="F497" s="57" t="s">
        <v>21</v>
      </c>
      <c r="G497" s="57" t="s">
        <v>441</v>
      </c>
      <c r="H497" s="57" t="s">
        <v>442</v>
      </c>
      <c r="I497" s="57" t="s">
        <v>21</v>
      </c>
      <c r="J497" s="57" t="s">
        <v>21</v>
      </c>
      <c r="K497" s="57" t="s">
        <v>591</v>
      </c>
      <c r="L497" s="31" t="s">
        <v>644</v>
      </c>
      <c r="M497" s="22">
        <v>13</v>
      </c>
      <c r="N497" s="46">
        <v>1339</v>
      </c>
      <c r="O497" s="49">
        <f t="shared" si="11"/>
        <v>17407</v>
      </c>
      <c r="P497" s="5" t="s">
        <v>391</v>
      </c>
      <c r="Q497" s="5" t="s">
        <v>766</v>
      </c>
      <c r="R497" s="11" t="s">
        <v>789</v>
      </c>
      <c r="S497" s="5">
        <v>0</v>
      </c>
    </row>
    <row r="498" spans="1:19" ht="63.75">
      <c r="A498" s="5">
        <v>483</v>
      </c>
      <c r="B498" s="15" t="s">
        <v>710</v>
      </c>
      <c r="C498" s="30" t="s">
        <v>711</v>
      </c>
      <c r="D498" s="10" t="s">
        <v>675</v>
      </c>
      <c r="E498" s="57" t="s">
        <v>2077</v>
      </c>
      <c r="F498" s="57" t="s">
        <v>22</v>
      </c>
      <c r="G498" s="57" t="s">
        <v>843</v>
      </c>
      <c r="H498" s="57" t="s">
        <v>769</v>
      </c>
      <c r="I498" s="57" t="s">
        <v>2077</v>
      </c>
      <c r="J498" s="57" t="s">
        <v>22</v>
      </c>
      <c r="K498" s="57" t="s">
        <v>591</v>
      </c>
      <c r="L498" s="5" t="s">
        <v>480</v>
      </c>
      <c r="M498" s="22">
        <v>312</v>
      </c>
      <c r="N498" s="46">
        <v>13</v>
      </c>
      <c r="O498" s="49">
        <f t="shared" si="11"/>
        <v>4056</v>
      </c>
      <c r="P498" s="5" t="s">
        <v>391</v>
      </c>
      <c r="Q498" s="5" t="s">
        <v>766</v>
      </c>
      <c r="R498" s="11" t="s">
        <v>789</v>
      </c>
      <c r="S498" s="5">
        <v>0</v>
      </c>
    </row>
    <row r="499" spans="1:19" ht="51">
      <c r="A499" s="5">
        <v>484</v>
      </c>
      <c r="B499" s="29" t="s">
        <v>710</v>
      </c>
      <c r="C499" s="30" t="s">
        <v>711</v>
      </c>
      <c r="D499" s="5" t="s">
        <v>443</v>
      </c>
      <c r="E499" s="57" t="s">
        <v>444</v>
      </c>
      <c r="F499" s="57" t="s">
        <v>444</v>
      </c>
      <c r="G499" s="57" t="s">
        <v>445</v>
      </c>
      <c r="H499" s="57" t="s">
        <v>446</v>
      </c>
      <c r="I499" s="57" t="s">
        <v>232</v>
      </c>
      <c r="J499" s="57" t="s">
        <v>232</v>
      </c>
      <c r="K499" s="57" t="s">
        <v>591</v>
      </c>
      <c r="L499" s="31" t="s">
        <v>644</v>
      </c>
      <c r="M499" s="22">
        <v>78</v>
      </c>
      <c r="N499" s="46">
        <v>446</v>
      </c>
      <c r="O499" s="49">
        <f t="shared" si="11"/>
        <v>34788</v>
      </c>
      <c r="P499" s="5" t="s">
        <v>391</v>
      </c>
      <c r="Q499" s="5" t="s">
        <v>766</v>
      </c>
      <c r="R499" s="11" t="s">
        <v>789</v>
      </c>
      <c r="S499" s="5">
        <v>0</v>
      </c>
    </row>
    <row r="500" spans="1:19" ht="51">
      <c r="A500" s="5">
        <v>485</v>
      </c>
      <c r="B500" s="29" t="s">
        <v>710</v>
      </c>
      <c r="C500" s="30" t="s">
        <v>711</v>
      </c>
      <c r="D500" s="10" t="s">
        <v>677</v>
      </c>
      <c r="E500" s="57" t="s">
        <v>2276</v>
      </c>
      <c r="F500" s="57" t="s">
        <v>23</v>
      </c>
      <c r="G500" s="57" t="s">
        <v>844</v>
      </c>
      <c r="H500" s="57" t="s">
        <v>678</v>
      </c>
      <c r="I500" s="57" t="s">
        <v>2276</v>
      </c>
      <c r="J500" s="57" t="s">
        <v>23</v>
      </c>
      <c r="K500" s="57" t="s">
        <v>591</v>
      </c>
      <c r="L500" s="31" t="s">
        <v>644</v>
      </c>
      <c r="M500" s="22">
        <v>78</v>
      </c>
      <c r="N500" s="46">
        <v>268</v>
      </c>
      <c r="O500" s="49">
        <f t="shared" si="11"/>
        <v>20904</v>
      </c>
      <c r="P500" s="5" t="s">
        <v>391</v>
      </c>
      <c r="Q500" s="5" t="s">
        <v>766</v>
      </c>
      <c r="R500" s="11" t="s">
        <v>789</v>
      </c>
      <c r="S500" s="5">
        <v>0</v>
      </c>
    </row>
    <row r="501" spans="1:19" ht="51">
      <c r="A501" s="5">
        <v>486</v>
      </c>
      <c r="B501" s="29" t="s">
        <v>710</v>
      </c>
      <c r="C501" s="30" t="s">
        <v>711</v>
      </c>
      <c r="D501" s="5" t="s">
        <v>447</v>
      </c>
      <c r="E501" s="57" t="s">
        <v>24</v>
      </c>
      <c r="F501" s="57" t="s">
        <v>24</v>
      </c>
      <c r="G501" s="57" t="s">
        <v>2280</v>
      </c>
      <c r="H501" s="57" t="s">
        <v>448</v>
      </c>
      <c r="I501" s="57" t="s">
        <v>24</v>
      </c>
      <c r="J501" s="57" t="s">
        <v>24</v>
      </c>
      <c r="K501" s="57" t="s">
        <v>591</v>
      </c>
      <c r="L501" s="31" t="s">
        <v>644</v>
      </c>
      <c r="M501" s="22">
        <v>13</v>
      </c>
      <c r="N501" s="46">
        <v>223</v>
      </c>
      <c r="O501" s="49">
        <f t="shared" si="11"/>
        <v>2899</v>
      </c>
      <c r="P501" s="5" t="s">
        <v>391</v>
      </c>
      <c r="Q501" s="5" t="s">
        <v>766</v>
      </c>
      <c r="R501" s="11" t="s">
        <v>789</v>
      </c>
      <c r="S501" s="5">
        <v>0</v>
      </c>
    </row>
    <row r="502" spans="1:19" ht="51">
      <c r="A502" s="5">
        <v>487</v>
      </c>
      <c r="B502" s="29" t="s">
        <v>710</v>
      </c>
      <c r="C502" s="30" t="s">
        <v>711</v>
      </c>
      <c r="D502" s="5" t="s">
        <v>449</v>
      </c>
      <c r="E502" s="57" t="s">
        <v>2278</v>
      </c>
      <c r="F502" s="57" t="s">
        <v>450</v>
      </c>
      <c r="G502" s="57" t="s">
        <v>2281</v>
      </c>
      <c r="H502" s="57" t="s">
        <v>451</v>
      </c>
      <c r="I502" s="57" t="s">
        <v>2278</v>
      </c>
      <c r="J502" s="57" t="s">
        <v>233</v>
      </c>
      <c r="K502" s="57" t="s">
        <v>591</v>
      </c>
      <c r="L502" s="5" t="s">
        <v>480</v>
      </c>
      <c r="M502" s="22">
        <v>78</v>
      </c>
      <c r="N502" s="46">
        <v>223</v>
      </c>
      <c r="O502" s="49">
        <f t="shared" si="11"/>
        <v>17394</v>
      </c>
      <c r="P502" s="5" t="s">
        <v>391</v>
      </c>
      <c r="Q502" s="5" t="s">
        <v>766</v>
      </c>
      <c r="R502" s="11" t="s">
        <v>789</v>
      </c>
      <c r="S502" s="5">
        <v>0</v>
      </c>
    </row>
    <row r="503" spans="1:19" ht="51">
      <c r="A503" s="5">
        <v>488</v>
      </c>
      <c r="B503" s="29" t="s">
        <v>710</v>
      </c>
      <c r="C503" s="30" t="s">
        <v>711</v>
      </c>
      <c r="D503" s="5" t="s">
        <v>452</v>
      </c>
      <c r="E503" s="57" t="s">
        <v>453</v>
      </c>
      <c r="F503" s="57" t="s">
        <v>454</v>
      </c>
      <c r="G503" s="57" t="s">
        <v>455</v>
      </c>
      <c r="H503" s="57" t="s">
        <v>456</v>
      </c>
      <c r="I503" s="57" t="s">
        <v>453</v>
      </c>
      <c r="J503" s="57" t="s">
        <v>234</v>
      </c>
      <c r="K503" s="57" t="s">
        <v>591</v>
      </c>
      <c r="L503" s="5" t="s">
        <v>480</v>
      </c>
      <c r="M503" s="22">
        <v>78</v>
      </c>
      <c r="N503" s="46">
        <v>179</v>
      </c>
      <c r="O503" s="49">
        <f t="shared" si="11"/>
        <v>13962</v>
      </c>
      <c r="P503" s="5" t="s">
        <v>391</v>
      </c>
      <c r="Q503" s="5" t="s">
        <v>766</v>
      </c>
      <c r="R503" s="11" t="s">
        <v>789</v>
      </c>
      <c r="S503" s="5">
        <v>0</v>
      </c>
    </row>
    <row r="504" spans="1:19" ht="51">
      <c r="A504" s="5">
        <v>489</v>
      </c>
      <c r="B504" s="29" t="s">
        <v>710</v>
      </c>
      <c r="C504" s="30" t="s">
        <v>711</v>
      </c>
      <c r="D504" s="5" t="s">
        <v>457</v>
      </c>
      <c r="E504" s="57" t="s">
        <v>17</v>
      </c>
      <c r="F504" s="57" t="s">
        <v>17</v>
      </c>
      <c r="G504" s="57" t="s">
        <v>2289</v>
      </c>
      <c r="H504" s="57" t="s">
        <v>2290</v>
      </c>
      <c r="I504" s="57" t="s">
        <v>17</v>
      </c>
      <c r="J504" s="57" t="s">
        <v>17</v>
      </c>
      <c r="K504" s="57" t="s">
        <v>591</v>
      </c>
      <c r="L504" s="31" t="s">
        <v>644</v>
      </c>
      <c r="M504" s="22">
        <v>26</v>
      </c>
      <c r="N504" s="46">
        <v>714</v>
      </c>
      <c r="O504" s="49">
        <f t="shared" si="11"/>
        <v>18564</v>
      </c>
      <c r="P504" s="5" t="s">
        <v>391</v>
      </c>
      <c r="Q504" s="5" t="s">
        <v>766</v>
      </c>
      <c r="R504" s="11" t="s">
        <v>789</v>
      </c>
      <c r="S504" s="5">
        <v>0</v>
      </c>
    </row>
    <row r="505" spans="1:19" ht="51">
      <c r="A505" s="5">
        <v>490</v>
      </c>
      <c r="B505" s="29" t="s">
        <v>710</v>
      </c>
      <c r="C505" s="30" t="s">
        <v>711</v>
      </c>
      <c r="D505" s="11" t="s">
        <v>459</v>
      </c>
      <c r="E505" s="57" t="s">
        <v>1691</v>
      </c>
      <c r="F505" s="57" t="s">
        <v>460</v>
      </c>
      <c r="G505" s="57" t="s">
        <v>2214</v>
      </c>
      <c r="H505" s="57" t="s">
        <v>2215</v>
      </c>
      <c r="I505" s="57" t="s">
        <v>235</v>
      </c>
      <c r="J505" s="57" t="s">
        <v>235</v>
      </c>
      <c r="K505" s="57" t="s">
        <v>591</v>
      </c>
      <c r="L505" s="31" t="s">
        <v>644</v>
      </c>
      <c r="M505" s="22">
        <v>52</v>
      </c>
      <c r="N505" s="46">
        <v>161</v>
      </c>
      <c r="O505" s="49">
        <f t="shared" si="11"/>
        <v>8372</v>
      </c>
      <c r="P505" s="5" t="s">
        <v>391</v>
      </c>
      <c r="Q505" s="5" t="s">
        <v>766</v>
      </c>
      <c r="R505" s="11" t="s">
        <v>789</v>
      </c>
      <c r="S505" s="5">
        <v>0</v>
      </c>
    </row>
    <row r="506" spans="1:19" ht="51">
      <c r="A506" s="5">
        <v>491</v>
      </c>
      <c r="B506" s="29" t="s">
        <v>710</v>
      </c>
      <c r="C506" s="30" t="s">
        <v>711</v>
      </c>
      <c r="D506" s="10" t="s">
        <v>683</v>
      </c>
      <c r="E506" s="57" t="s">
        <v>466</v>
      </c>
      <c r="F506" s="57" t="s">
        <v>463</v>
      </c>
      <c r="G506" s="57" t="s">
        <v>845</v>
      </c>
      <c r="H506" s="57" t="s">
        <v>770</v>
      </c>
      <c r="I506" s="57" t="s">
        <v>466</v>
      </c>
      <c r="J506" s="57" t="s">
        <v>463</v>
      </c>
      <c r="K506" s="57" t="s">
        <v>591</v>
      </c>
      <c r="L506" s="31" t="s">
        <v>644</v>
      </c>
      <c r="M506" s="22">
        <v>52</v>
      </c>
      <c r="N506" s="46">
        <v>161</v>
      </c>
      <c r="O506" s="49">
        <f t="shared" si="11"/>
        <v>8372</v>
      </c>
      <c r="P506" s="5" t="s">
        <v>391</v>
      </c>
      <c r="Q506" s="5" t="s">
        <v>766</v>
      </c>
      <c r="R506" s="11" t="s">
        <v>789</v>
      </c>
      <c r="S506" s="5">
        <v>0</v>
      </c>
    </row>
    <row r="507" spans="1:19" ht="51">
      <c r="A507" s="5">
        <v>492</v>
      </c>
      <c r="B507" s="29" t="s">
        <v>710</v>
      </c>
      <c r="C507" s="30" t="s">
        <v>711</v>
      </c>
      <c r="D507" s="10" t="s">
        <v>684</v>
      </c>
      <c r="E507" s="57" t="s">
        <v>466</v>
      </c>
      <c r="F507" s="57" t="s">
        <v>25</v>
      </c>
      <c r="G507" s="57" t="s">
        <v>2191</v>
      </c>
      <c r="H507" s="57" t="s">
        <v>685</v>
      </c>
      <c r="I507" s="57" t="s">
        <v>466</v>
      </c>
      <c r="J507" s="57" t="s">
        <v>25</v>
      </c>
      <c r="K507" s="57" t="s">
        <v>591</v>
      </c>
      <c r="L507" s="31" t="s">
        <v>644</v>
      </c>
      <c r="M507" s="22">
        <v>52</v>
      </c>
      <c r="N507" s="46">
        <v>45</v>
      </c>
      <c r="O507" s="49">
        <f t="shared" si="11"/>
        <v>2340</v>
      </c>
      <c r="P507" s="5" t="s">
        <v>391</v>
      </c>
      <c r="Q507" s="5" t="s">
        <v>766</v>
      </c>
      <c r="R507" s="11" t="s">
        <v>789</v>
      </c>
      <c r="S507" s="5">
        <v>0</v>
      </c>
    </row>
    <row r="508" spans="1:19" ht="51">
      <c r="A508" s="5">
        <v>493</v>
      </c>
      <c r="B508" s="29" t="s">
        <v>710</v>
      </c>
      <c r="C508" s="30" t="s">
        <v>711</v>
      </c>
      <c r="D508" s="5" t="s">
        <v>468</v>
      </c>
      <c r="E508" s="57" t="s">
        <v>2304</v>
      </c>
      <c r="F508" s="57" t="s">
        <v>26</v>
      </c>
      <c r="G508" s="57" t="s">
        <v>1720</v>
      </c>
      <c r="H508" s="57" t="s">
        <v>469</v>
      </c>
      <c r="I508" s="57" t="s">
        <v>2304</v>
      </c>
      <c r="J508" s="57" t="s">
        <v>26</v>
      </c>
      <c r="K508" s="57" t="s">
        <v>591</v>
      </c>
      <c r="L508" s="11" t="s">
        <v>909</v>
      </c>
      <c r="M508" s="22">
        <v>26</v>
      </c>
      <c r="N508" s="46">
        <v>134</v>
      </c>
      <c r="O508" s="49">
        <f t="shared" si="11"/>
        <v>3484</v>
      </c>
      <c r="P508" s="5" t="s">
        <v>391</v>
      </c>
      <c r="Q508" s="5" t="s">
        <v>766</v>
      </c>
      <c r="R508" s="11" t="s">
        <v>789</v>
      </c>
      <c r="S508" s="5">
        <v>0</v>
      </c>
    </row>
    <row r="509" spans="1:19" ht="127.5">
      <c r="A509" s="5">
        <v>494</v>
      </c>
      <c r="B509" s="29" t="s">
        <v>710</v>
      </c>
      <c r="C509" s="30" t="s">
        <v>711</v>
      </c>
      <c r="D509" s="5" t="s">
        <v>470</v>
      </c>
      <c r="E509" s="57" t="s">
        <v>27</v>
      </c>
      <c r="F509" s="57" t="s">
        <v>27</v>
      </c>
      <c r="G509" s="57" t="s">
        <v>471</v>
      </c>
      <c r="H509" s="57" t="s">
        <v>472</v>
      </c>
      <c r="I509" s="57" t="s">
        <v>27</v>
      </c>
      <c r="J509" s="57" t="s">
        <v>27</v>
      </c>
      <c r="K509" s="57" t="s">
        <v>591</v>
      </c>
      <c r="L509" s="31" t="s">
        <v>644</v>
      </c>
      <c r="M509" s="22">
        <v>3</v>
      </c>
      <c r="N509" s="46">
        <v>2679</v>
      </c>
      <c r="O509" s="49">
        <f t="shared" si="11"/>
        <v>8037</v>
      </c>
      <c r="P509" s="5" t="s">
        <v>391</v>
      </c>
      <c r="Q509" s="5" t="s">
        <v>766</v>
      </c>
      <c r="R509" s="11" t="s">
        <v>789</v>
      </c>
      <c r="S509" s="5">
        <v>0</v>
      </c>
    </row>
    <row r="510" spans="1:19" ht="51">
      <c r="A510" s="5">
        <v>495</v>
      </c>
      <c r="B510" s="29" t="s">
        <v>710</v>
      </c>
      <c r="C510" s="30" t="s">
        <v>711</v>
      </c>
      <c r="D510" s="10" t="s">
        <v>688</v>
      </c>
      <c r="E510" s="57" t="s">
        <v>846</v>
      </c>
      <c r="F510" s="57" t="s">
        <v>846</v>
      </c>
      <c r="G510" s="57" t="s">
        <v>771</v>
      </c>
      <c r="H510" s="57" t="s">
        <v>771</v>
      </c>
      <c r="I510" s="57" t="s">
        <v>846</v>
      </c>
      <c r="J510" s="57" t="s">
        <v>236</v>
      </c>
      <c r="K510" s="57" t="s">
        <v>591</v>
      </c>
      <c r="L510" s="31" t="s">
        <v>644</v>
      </c>
      <c r="M510" s="22">
        <v>312</v>
      </c>
      <c r="N510" s="46">
        <v>45</v>
      </c>
      <c r="O510" s="49">
        <f t="shared" si="11"/>
        <v>14040</v>
      </c>
      <c r="P510" s="5" t="s">
        <v>391</v>
      </c>
      <c r="Q510" s="5" t="s">
        <v>766</v>
      </c>
      <c r="R510" s="11" t="s">
        <v>789</v>
      </c>
      <c r="S510" s="5">
        <v>0</v>
      </c>
    </row>
    <row r="511" spans="1:19" ht="51">
      <c r="A511" s="5">
        <v>496</v>
      </c>
      <c r="B511" s="29" t="s">
        <v>710</v>
      </c>
      <c r="C511" s="30" t="s">
        <v>711</v>
      </c>
      <c r="D511" s="5" t="s">
        <v>476</v>
      </c>
      <c r="E511" s="57" t="s">
        <v>477</v>
      </c>
      <c r="F511" s="57" t="s">
        <v>28</v>
      </c>
      <c r="G511" s="57" t="s">
        <v>478</v>
      </c>
      <c r="H511" s="57" t="s">
        <v>479</v>
      </c>
      <c r="I511" s="57" t="s">
        <v>477</v>
      </c>
      <c r="J511" s="57" t="s">
        <v>28</v>
      </c>
      <c r="K511" s="57" t="s">
        <v>591</v>
      </c>
      <c r="L511" s="31" t="s">
        <v>644</v>
      </c>
      <c r="M511" s="22">
        <v>13</v>
      </c>
      <c r="N511" s="46">
        <v>759</v>
      </c>
      <c r="O511" s="49">
        <f t="shared" si="11"/>
        <v>9867</v>
      </c>
      <c r="P511" s="5" t="s">
        <v>391</v>
      </c>
      <c r="Q511" s="5" t="s">
        <v>766</v>
      </c>
      <c r="R511" s="11" t="s">
        <v>789</v>
      </c>
      <c r="S511" s="5">
        <v>0</v>
      </c>
    </row>
    <row r="512" spans="1:19" ht="51">
      <c r="A512" s="5">
        <v>497</v>
      </c>
      <c r="B512" s="29" t="s">
        <v>710</v>
      </c>
      <c r="C512" s="30" t="s">
        <v>711</v>
      </c>
      <c r="D512" s="10" t="s">
        <v>690</v>
      </c>
      <c r="E512" s="57" t="s">
        <v>2183</v>
      </c>
      <c r="F512" s="57" t="s">
        <v>29</v>
      </c>
      <c r="G512" s="57" t="s">
        <v>847</v>
      </c>
      <c r="H512" s="57" t="s">
        <v>772</v>
      </c>
      <c r="I512" s="57" t="s">
        <v>2183</v>
      </c>
      <c r="J512" s="57" t="s">
        <v>29</v>
      </c>
      <c r="K512" s="57" t="s">
        <v>591</v>
      </c>
      <c r="L512" s="5" t="s">
        <v>480</v>
      </c>
      <c r="M512" s="22">
        <v>156</v>
      </c>
      <c r="N512" s="46">
        <v>27</v>
      </c>
      <c r="O512" s="49">
        <f t="shared" si="11"/>
        <v>4212</v>
      </c>
      <c r="P512" s="5" t="s">
        <v>391</v>
      </c>
      <c r="Q512" s="5" t="s">
        <v>766</v>
      </c>
      <c r="R512" s="11" t="s">
        <v>789</v>
      </c>
      <c r="S512" s="5">
        <v>0</v>
      </c>
    </row>
    <row r="513" spans="1:19" ht="51">
      <c r="A513" s="5">
        <v>498</v>
      </c>
      <c r="B513" s="29" t="s">
        <v>710</v>
      </c>
      <c r="C513" s="30" t="s">
        <v>711</v>
      </c>
      <c r="D513" s="31" t="s">
        <v>691</v>
      </c>
      <c r="E513" s="57" t="s">
        <v>119</v>
      </c>
      <c r="F513" s="57" t="s">
        <v>119</v>
      </c>
      <c r="G513" s="57" t="s">
        <v>848</v>
      </c>
      <c r="H513" s="57" t="s">
        <v>692</v>
      </c>
      <c r="I513" s="57" t="s">
        <v>119</v>
      </c>
      <c r="J513" s="57" t="s">
        <v>119</v>
      </c>
      <c r="K513" s="57" t="s">
        <v>591</v>
      </c>
      <c r="L513" s="31" t="s">
        <v>644</v>
      </c>
      <c r="M513" s="22">
        <v>78</v>
      </c>
      <c r="N513" s="46">
        <v>103</v>
      </c>
      <c r="O513" s="49">
        <f t="shared" si="11"/>
        <v>8034</v>
      </c>
      <c r="P513" s="5" t="s">
        <v>391</v>
      </c>
      <c r="Q513" s="5" t="s">
        <v>766</v>
      </c>
      <c r="R513" s="11" t="s">
        <v>789</v>
      </c>
      <c r="S513" s="5">
        <v>0</v>
      </c>
    </row>
    <row r="514" spans="1:19" ht="51">
      <c r="A514" s="5">
        <v>499</v>
      </c>
      <c r="B514" s="29" t="s">
        <v>710</v>
      </c>
      <c r="C514" s="30" t="s">
        <v>711</v>
      </c>
      <c r="D514" s="33" t="s">
        <v>422</v>
      </c>
      <c r="E514" s="57" t="s">
        <v>423</v>
      </c>
      <c r="F514" s="57" t="s">
        <v>424</v>
      </c>
      <c r="G514" s="57" t="s">
        <v>837</v>
      </c>
      <c r="H514" s="57" t="s">
        <v>425</v>
      </c>
      <c r="I514" s="57" t="s">
        <v>2303</v>
      </c>
      <c r="J514" s="57" t="s">
        <v>230</v>
      </c>
      <c r="K514" s="57" t="s">
        <v>591</v>
      </c>
      <c r="L514" s="11" t="s">
        <v>909</v>
      </c>
      <c r="M514" s="22">
        <v>288</v>
      </c>
      <c r="N514" s="46">
        <v>670</v>
      </c>
      <c r="O514" s="49">
        <f t="shared" si="11"/>
        <v>192960</v>
      </c>
      <c r="P514" s="5" t="s">
        <v>393</v>
      </c>
      <c r="Q514" s="5" t="s">
        <v>766</v>
      </c>
      <c r="R514" s="11" t="s">
        <v>2030</v>
      </c>
      <c r="S514" s="22">
        <v>100</v>
      </c>
    </row>
    <row r="515" spans="1:19" ht="63.75">
      <c r="A515" s="5">
        <v>500</v>
      </c>
      <c r="B515" s="29" t="s">
        <v>710</v>
      </c>
      <c r="C515" s="30" t="s">
        <v>711</v>
      </c>
      <c r="D515" s="31" t="s">
        <v>426</v>
      </c>
      <c r="E515" s="57" t="s">
        <v>838</v>
      </c>
      <c r="F515" s="57" t="s">
        <v>19</v>
      </c>
      <c r="G515" s="57" t="s">
        <v>839</v>
      </c>
      <c r="H515" s="57" t="s">
        <v>428</v>
      </c>
      <c r="I515" s="57" t="s">
        <v>838</v>
      </c>
      <c r="J515" s="57" t="s">
        <v>19</v>
      </c>
      <c r="K515" s="57" t="s">
        <v>591</v>
      </c>
      <c r="L515" s="5" t="s">
        <v>669</v>
      </c>
      <c r="M515" s="22">
        <v>24</v>
      </c>
      <c r="N515" s="46">
        <v>313</v>
      </c>
      <c r="O515" s="49">
        <f t="shared" si="11"/>
        <v>7512</v>
      </c>
      <c r="P515" s="5" t="s">
        <v>393</v>
      </c>
      <c r="Q515" s="5" t="s">
        <v>766</v>
      </c>
      <c r="R515" s="11" t="s">
        <v>2030</v>
      </c>
      <c r="S515" s="22">
        <v>100</v>
      </c>
    </row>
    <row r="516" spans="1:19" ht="51">
      <c r="A516" s="5">
        <v>501</v>
      </c>
      <c r="B516" s="29" t="s">
        <v>710</v>
      </c>
      <c r="C516" s="30" t="s">
        <v>711</v>
      </c>
      <c r="D516" s="10" t="s">
        <v>429</v>
      </c>
      <c r="E516" s="57" t="s">
        <v>840</v>
      </c>
      <c r="F516" s="57" t="s">
        <v>430</v>
      </c>
      <c r="G516" s="57" t="s">
        <v>841</v>
      </c>
      <c r="H516" s="57" t="s">
        <v>431</v>
      </c>
      <c r="I516" s="57" t="s">
        <v>840</v>
      </c>
      <c r="J516" s="57" t="s">
        <v>231</v>
      </c>
      <c r="K516" s="57" t="s">
        <v>591</v>
      </c>
      <c r="L516" s="11" t="s">
        <v>909</v>
      </c>
      <c r="M516" s="22">
        <v>48</v>
      </c>
      <c r="N516" s="46">
        <v>223</v>
      </c>
      <c r="O516" s="49">
        <f t="shared" si="11"/>
        <v>10704</v>
      </c>
      <c r="P516" s="5" t="s">
        <v>393</v>
      </c>
      <c r="Q516" s="5" t="s">
        <v>766</v>
      </c>
      <c r="R516" s="11" t="s">
        <v>2030</v>
      </c>
      <c r="S516" s="22">
        <v>100</v>
      </c>
    </row>
    <row r="517" spans="1:19" ht="51">
      <c r="A517" s="5">
        <v>502</v>
      </c>
      <c r="B517" s="29" t="s">
        <v>710</v>
      </c>
      <c r="C517" s="30" t="s">
        <v>711</v>
      </c>
      <c r="D517" s="11" t="s">
        <v>910</v>
      </c>
      <c r="E517" s="57" t="s">
        <v>433</v>
      </c>
      <c r="F517" s="57" t="s">
        <v>434</v>
      </c>
      <c r="G517" s="57" t="s">
        <v>435</v>
      </c>
      <c r="H517" s="57" t="s">
        <v>436</v>
      </c>
      <c r="I517" s="57" t="s">
        <v>767</v>
      </c>
      <c r="J517" s="57" t="s">
        <v>18</v>
      </c>
      <c r="K517" s="57" t="s">
        <v>591</v>
      </c>
      <c r="L517" s="5" t="s">
        <v>644</v>
      </c>
      <c r="M517" s="22">
        <v>48</v>
      </c>
      <c r="N517" s="46">
        <v>179</v>
      </c>
      <c r="O517" s="49">
        <f t="shared" si="11"/>
        <v>8592</v>
      </c>
      <c r="P517" s="5" t="s">
        <v>393</v>
      </c>
      <c r="Q517" s="5" t="s">
        <v>766</v>
      </c>
      <c r="R517" s="11" t="s">
        <v>2030</v>
      </c>
      <c r="S517" s="22">
        <v>100</v>
      </c>
    </row>
    <row r="518" spans="1:19" ht="51">
      <c r="A518" s="5">
        <v>503</v>
      </c>
      <c r="B518" s="15" t="s">
        <v>710</v>
      </c>
      <c r="C518" s="30" t="s">
        <v>711</v>
      </c>
      <c r="D518" s="5" t="s">
        <v>671</v>
      </c>
      <c r="E518" s="57" t="s">
        <v>20</v>
      </c>
      <c r="F518" s="57" t="s">
        <v>20</v>
      </c>
      <c r="G518" s="57" t="s">
        <v>2228</v>
      </c>
      <c r="H518" s="57" t="s">
        <v>768</v>
      </c>
      <c r="I518" s="57" t="s">
        <v>20</v>
      </c>
      <c r="J518" s="57" t="s">
        <v>20</v>
      </c>
      <c r="K518" s="57" t="s">
        <v>591</v>
      </c>
      <c r="L518" s="31" t="s">
        <v>644</v>
      </c>
      <c r="M518" s="22">
        <v>48</v>
      </c>
      <c r="N518" s="46">
        <v>107</v>
      </c>
      <c r="O518" s="49">
        <f t="shared" si="11"/>
        <v>5136</v>
      </c>
      <c r="P518" s="5" t="s">
        <v>393</v>
      </c>
      <c r="Q518" s="5" t="s">
        <v>766</v>
      </c>
      <c r="R518" s="11" t="s">
        <v>2030</v>
      </c>
      <c r="S518" s="22">
        <v>100</v>
      </c>
    </row>
    <row r="519" spans="1:19" ht="51">
      <c r="A519" s="5">
        <v>504</v>
      </c>
      <c r="B519" s="29" t="s">
        <v>710</v>
      </c>
      <c r="C519" s="30" t="s">
        <v>711</v>
      </c>
      <c r="D519" s="10" t="s">
        <v>673</v>
      </c>
      <c r="E519" s="57" t="s">
        <v>21</v>
      </c>
      <c r="F519" s="57" t="s">
        <v>21</v>
      </c>
      <c r="G519" s="57" t="s">
        <v>2246</v>
      </c>
      <c r="H519" s="57" t="s">
        <v>674</v>
      </c>
      <c r="I519" s="57" t="s">
        <v>21</v>
      </c>
      <c r="J519" s="57" t="s">
        <v>21</v>
      </c>
      <c r="K519" s="57" t="s">
        <v>591</v>
      </c>
      <c r="L519" s="31" t="s">
        <v>644</v>
      </c>
      <c r="M519" s="22">
        <v>12</v>
      </c>
      <c r="N519" s="46">
        <v>1339</v>
      </c>
      <c r="O519" s="49">
        <f t="shared" si="11"/>
        <v>16068</v>
      </c>
      <c r="P519" s="5" t="s">
        <v>393</v>
      </c>
      <c r="Q519" s="5" t="s">
        <v>766</v>
      </c>
      <c r="R519" s="11" t="s">
        <v>2030</v>
      </c>
      <c r="S519" s="22">
        <v>100</v>
      </c>
    </row>
    <row r="520" spans="1:19" ht="63.75">
      <c r="A520" s="5">
        <v>505</v>
      </c>
      <c r="B520" s="29" t="s">
        <v>710</v>
      </c>
      <c r="C520" s="30" t="s">
        <v>711</v>
      </c>
      <c r="D520" s="10" t="s">
        <v>675</v>
      </c>
      <c r="E520" s="57" t="s">
        <v>2077</v>
      </c>
      <c r="F520" s="57" t="s">
        <v>22</v>
      </c>
      <c r="G520" s="57" t="s">
        <v>843</v>
      </c>
      <c r="H520" s="57" t="s">
        <v>769</v>
      </c>
      <c r="I520" s="57" t="s">
        <v>2077</v>
      </c>
      <c r="J520" s="57" t="s">
        <v>22</v>
      </c>
      <c r="K520" s="57" t="s">
        <v>591</v>
      </c>
      <c r="L520" s="5" t="s">
        <v>480</v>
      </c>
      <c r="M520" s="22">
        <v>288</v>
      </c>
      <c r="N520" s="46">
        <v>13</v>
      </c>
      <c r="O520" s="49">
        <f t="shared" si="11"/>
        <v>3744</v>
      </c>
      <c r="P520" s="5" t="s">
        <v>393</v>
      </c>
      <c r="Q520" s="5" t="s">
        <v>766</v>
      </c>
      <c r="R520" s="11" t="s">
        <v>2030</v>
      </c>
      <c r="S520" s="22">
        <v>100</v>
      </c>
    </row>
    <row r="521" spans="1:19" ht="51">
      <c r="A521" s="5">
        <v>506</v>
      </c>
      <c r="B521" s="29" t="s">
        <v>710</v>
      </c>
      <c r="C521" s="30" t="s">
        <v>711</v>
      </c>
      <c r="D521" s="5" t="s">
        <v>443</v>
      </c>
      <c r="E521" s="57" t="s">
        <v>444</v>
      </c>
      <c r="F521" s="57" t="s">
        <v>444</v>
      </c>
      <c r="G521" s="57" t="s">
        <v>445</v>
      </c>
      <c r="H521" s="57" t="s">
        <v>446</v>
      </c>
      <c r="I521" s="57" t="s">
        <v>232</v>
      </c>
      <c r="J521" s="57" t="s">
        <v>232</v>
      </c>
      <c r="K521" s="57" t="s">
        <v>591</v>
      </c>
      <c r="L521" s="31" t="s">
        <v>644</v>
      </c>
      <c r="M521" s="22">
        <v>72</v>
      </c>
      <c r="N521" s="46">
        <v>446</v>
      </c>
      <c r="O521" s="49">
        <f t="shared" si="11"/>
        <v>32112</v>
      </c>
      <c r="P521" s="5" t="s">
        <v>393</v>
      </c>
      <c r="Q521" s="5" t="s">
        <v>766</v>
      </c>
      <c r="R521" s="11" t="s">
        <v>2030</v>
      </c>
      <c r="S521" s="22">
        <v>100</v>
      </c>
    </row>
    <row r="522" spans="1:19" ht="51">
      <c r="A522" s="5">
        <v>507</v>
      </c>
      <c r="B522" s="29" t="s">
        <v>710</v>
      </c>
      <c r="C522" s="30" t="s">
        <v>711</v>
      </c>
      <c r="D522" s="10" t="s">
        <v>677</v>
      </c>
      <c r="E522" s="57" t="s">
        <v>2276</v>
      </c>
      <c r="F522" s="57" t="s">
        <v>23</v>
      </c>
      <c r="G522" s="57" t="s">
        <v>844</v>
      </c>
      <c r="H522" s="57" t="s">
        <v>678</v>
      </c>
      <c r="I522" s="57" t="s">
        <v>2276</v>
      </c>
      <c r="J522" s="57" t="s">
        <v>23</v>
      </c>
      <c r="K522" s="57" t="s">
        <v>591</v>
      </c>
      <c r="L522" s="31" t="s">
        <v>644</v>
      </c>
      <c r="M522" s="22">
        <v>72</v>
      </c>
      <c r="N522" s="46">
        <v>268</v>
      </c>
      <c r="O522" s="49">
        <f t="shared" si="11"/>
        <v>19296</v>
      </c>
      <c r="P522" s="5" t="s">
        <v>393</v>
      </c>
      <c r="Q522" s="5" t="s">
        <v>766</v>
      </c>
      <c r="R522" s="11" t="s">
        <v>2030</v>
      </c>
      <c r="S522" s="22">
        <v>100</v>
      </c>
    </row>
    <row r="523" spans="1:19" ht="51">
      <c r="A523" s="5">
        <v>508</v>
      </c>
      <c r="B523" s="29" t="s">
        <v>710</v>
      </c>
      <c r="C523" s="30" t="s">
        <v>711</v>
      </c>
      <c r="D523" s="10" t="s">
        <v>679</v>
      </c>
      <c r="E523" s="57" t="s">
        <v>24</v>
      </c>
      <c r="F523" s="57" t="s">
        <v>24</v>
      </c>
      <c r="G523" s="57" t="s">
        <v>2279</v>
      </c>
      <c r="H523" s="57" t="s">
        <v>680</v>
      </c>
      <c r="I523" s="57" t="s">
        <v>24</v>
      </c>
      <c r="J523" s="57" t="s">
        <v>24</v>
      </c>
      <c r="K523" s="57" t="s">
        <v>591</v>
      </c>
      <c r="L523" s="31" t="s">
        <v>644</v>
      </c>
      <c r="M523" s="22">
        <v>12</v>
      </c>
      <c r="N523" s="46">
        <v>223</v>
      </c>
      <c r="O523" s="49">
        <f t="shared" si="11"/>
        <v>2676</v>
      </c>
      <c r="P523" s="5" t="s">
        <v>393</v>
      </c>
      <c r="Q523" s="5" t="s">
        <v>766</v>
      </c>
      <c r="R523" s="11" t="s">
        <v>2030</v>
      </c>
      <c r="S523" s="22">
        <v>100</v>
      </c>
    </row>
    <row r="524" spans="1:19" ht="51">
      <c r="A524" s="5">
        <v>509</v>
      </c>
      <c r="B524" s="29" t="s">
        <v>710</v>
      </c>
      <c r="C524" s="30" t="s">
        <v>711</v>
      </c>
      <c r="D524" s="5" t="s">
        <v>449</v>
      </c>
      <c r="E524" s="57" t="s">
        <v>2278</v>
      </c>
      <c r="F524" s="57" t="s">
        <v>450</v>
      </c>
      <c r="G524" s="57" t="s">
        <v>2281</v>
      </c>
      <c r="H524" s="57" t="s">
        <v>451</v>
      </c>
      <c r="I524" s="57" t="s">
        <v>2278</v>
      </c>
      <c r="J524" s="57" t="s">
        <v>233</v>
      </c>
      <c r="K524" s="57" t="s">
        <v>591</v>
      </c>
      <c r="L524" s="5" t="s">
        <v>480</v>
      </c>
      <c r="M524" s="22">
        <v>72</v>
      </c>
      <c r="N524" s="46">
        <v>223</v>
      </c>
      <c r="O524" s="49">
        <f t="shared" si="11"/>
        <v>16056</v>
      </c>
      <c r="P524" s="5" t="s">
        <v>393</v>
      </c>
      <c r="Q524" s="5" t="s">
        <v>766</v>
      </c>
      <c r="R524" s="11" t="s">
        <v>2030</v>
      </c>
      <c r="S524" s="22">
        <v>100</v>
      </c>
    </row>
    <row r="525" spans="1:19" ht="51">
      <c r="A525" s="5">
        <v>510</v>
      </c>
      <c r="B525" s="29" t="s">
        <v>710</v>
      </c>
      <c r="C525" s="30" t="s">
        <v>711</v>
      </c>
      <c r="D525" s="5" t="s">
        <v>452</v>
      </c>
      <c r="E525" s="57" t="s">
        <v>453</v>
      </c>
      <c r="F525" s="57" t="s">
        <v>454</v>
      </c>
      <c r="G525" s="57" t="s">
        <v>455</v>
      </c>
      <c r="H525" s="57" t="s">
        <v>456</v>
      </c>
      <c r="I525" s="57" t="s">
        <v>453</v>
      </c>
      <c r="J525" s="57" t="s">
        <v>234</v>
      </c>
      <c r="K525" s="57" t="s">
        <v>591</v>
      </c>
      <c r="L525" s="5" t="s">
        <v>480</v>
      </c>
      <c r="M525" s="22">
        <v>72</v>
      </c>
      <c r="N525" s="46">
        <v>179</v>
      </c>
      <c r="O525" s="49">
        <f t="shared" si="11"/>
        <v>12888</v>
      </c>
      <c r="P525" s="5" t="s">
        <v>393</v>
      </c>
      <c r="Q525" s="5" t="s">
        <v>766</v>
      </c>
      <c r="R525" s="11" t="s">
        <v>2030</v>
      </c>
      <c r="S525" s="22">
        <v>100</v>
      </c>
    </row>
    <row r="526" spans="1:19" ht="51">
      <c r="A526" s="5">
        <v>511</v>
      </c>
      <c r="B526" s="29" t="s">
        <v>710</v>
      </c>
      <c r="C526" s="30" t="s">
        <v>711</v>
      </c>
      <c r="D526" s="5" t="s">
        <v>457</v>
      </c>
      <c r="E526" s="57" t="s">
        <v>17</v>
      </c>
      <c r="F526" s="57" t="s">
        <v>17</v>
      </c>
      <c r="G526" s="57" t="s">
        <v>2289</v>
      </c>
      <c r="H526" s="57" t="s">
        <v>2290</v>
      </c>
      <c r="I526" s="57" t="s">
        <v>17</v>
      </c>
      <c r="J526" s="57" t="s">
        <v>17</v>
      </c>
      <c r="K526" s="57" t="s">
        <v>591</v>
      </c>
      <c r="L526" s="31" t="s">
        <v>644</v>
      </c>
      <c r="M526" s="22">
        <v>24</v>
      </c>
      <c r="N526" s="46">
        <v>714</v>
      </c>
      <c r="O526" s="49">
        <f t="shared" si="11"/>
        <v>17136</v>
      </c>
      <c r="P526" s="5" t="s">
        <v>393</v>
      </c>
      <c r="Q526" s="5" t="s">
        <v>766</v>
      </c>
      <c r="R526" s="11" t="s">
        <v>2030</v>
      </c>
      <c r="S526" s="22">
        <v>100</v>
      </c>
    </row>
    <row r="527" spans="1:19" ht="51">
      <c r="A527" s="5">
        <v>512</v>
      </c>
      <c r="B527" s="29" t="s">
        <v>710</v>
      </c>
      <c r="C527" s="30" t="s">
        <v>711</v>
      </c>
      <c r="D527" s="11" t="s">
        <v>459</v>
      </c>
      <c r="E527" s="57" t="s">
        <v>1691</v>
      </c>
      <c r="F527" s="57" t="s">
        <v>460</v>
      </c>
      <c r="G527" s="57" t="s">
        <v>2214</v>
      </c>
      <c r="H527" s="57" t="s">
        <v>2215</v>
      </c>
      <c r="I527" s="57" t="s">
        <v>235</v>
      </c>
      <c r="J527" s="57" t="s">
        <v>235</v>
      </c>
      <c r="K527" s="57" t="s">
        <v>591</v>
      </c>
      <c r="L527" s="31" t="s">
        <v>644</v>
      </c>
      <c r="M527" s="22">
        <v>48</v>
      </c>
      <c r="N527" s="46">
        <v>161</v>
      </c>
      <c r="O527" s="49">
        <f t="shared" si="11"/>
        <v>7728</v>
      </c>
      <c r="P527" s="5" t="s">
        <v>393</v>
      </c>
      <c r="Q527" s="5" t="s">
        <v>766</v>
      </c>
      <c r="R527" s="11" t="s">
        <v>2030</v>
      </c>
      <c r="S527" s="22">
        <v>100</v>
      </c>
    </row>
    <row r="528" spans="1:19" ht="51">
      <c r="A528" s="5">
        <v>513</v>
      </c>
      <c r="B528" s="29" t="s">
        <v>710</v>
      </c>
      <c r="C528" s="30" t="s">
        <v>711</v>
      </c>
      <c r="D528" s="10" t="s">
        <v>683</v>
      </c>
      <c r="E528" s="57" t="s">
        <v>466</v>
      </c>
      <c r="F528" s="57" t="s">
        <v>463</v>
      </c>
      <c r="G528" s="57" t="s">
        <v>845</v>
      </c>
      <c r="H528" s="57" t="s">
        <v>770</v>
      </c>
      <c r="I528" s="57" t="s">
        <v>466</v>
      </c>
      <c r="J528" s="57" t="s">
        <v>463</v>
      </c>
      <c r="K528" s="57" t="s">
        <v>591</v>
      </c>
      <c r="L528" s="31" t="s">
        <v>644</v>
      </c>
      <c r="M528" s="22">
        <v>48</v>
      </c>
      <c r="N528" s="46">
        <v>161</v>
      </c>
      <c r="O528" s="49">
        <f t="shared" si="11"/>
        <v>7728</v>
      </c>
      <c r="P528" s="5" t="s">
        <v>393</v>
      </c>
      <c r="Q528" s="5" t="s">
        <v>766</v>
      </c>
      <c r="R528" s="11" t="s">
        <v>2030</v>
      </c>
      <c r="S528" s="22">
        <v>100</v>
      </c>
    </row>
    <row r="529" spans="1:19" ht="51">
      <c r="A529" s="5">
        <v>514</v>
      </c>
      <c r="B529" s="29" t="s">
        <v>710</v>
      </c>
      <c r="C529" s="30" t="s">
        <v>711</v>
      </c>
      <c r="D529" s="10" t="s">
        <v>684</v>
      </c>
      <c r="E529" s="57" t="s">
        <v>466</v>
      </c>
      <c r="F529" s="57" t="s">
        <v>25</v>
      </c>
      <c r="G529" s="57" t="s">
        <v>2191</v>
      </c>
      <c r="H529" s="57" t="s">
        <v>685</v>
      </c>
      <c r="I529" s="57" t="s">
        <v>466</v>
      </c>
      <c r="J529" s="57" t="s">
        <v>25</v>
      </c>
      <c r="K529" s="57" t="s">
        <v>591</v>
      </c>
      <c r="L529" s="31" t="s">
        <v>644</v>
      </c>
      <c r="M529" s="22">
        <v>48</v>
      </c>
      <c r="N529" s="46">
        <v>45</v>
      </c>
      <c r="O529" s="49">
        <f t="shared" si="11"/>
        <v>2160</v>
      </c>
      <c r="P529" s="5" t="s">
        <v>393</v>
      </c>
      <c r="Q529" s="5" t="s">
        <v>766</v>
      </c>
      <c r="R529" s="11" t="s">
        <v>2030</v>
      </c>
      <c r="S529" s="22">
        <v>100</v>
      </c>
    </row>
    <row r="530" spans="1:19" ht="51">
      <c r="A530" s="5">
        <v>515</v>
      </c>
      <c r="B530" s="15" t="s">
        <v>710</v>
      </c>
      <c r="C530" s="30" t="s">
        <v>711</v>
      </c>
      <c r="D530" s="10" t="s">
        <v>686</v>
      </c>
      <c r="E530" s="57" t="s">
        <v>2304</v>
      </c>
      <c r="F530" s="57" t="s">
        <v>26</v>
      </c>
      <c r="G530" s="57" t="s">
        <v>2305</v>
      </c>
      <c r="H530" s="57" t="s">
        <v>687</v>
      </c>
      <c r="I530" s="57" t="s">
        <v>2304</v>
      </c>
      <c r="J530" s="57" t="s">
        <v>26</v>
      </c>
      <c r="K530" s="57" t="s">
        <v>591</v>
      </c>
      <c r="L530" s="11" t="s">
        <v>909</v>
      </c>
      <c r="M530" s="22">
        <v>24</v>
      </c>
      <c r="N530" s="46">
        <v>134</v>
      </c>
      <c r="O530" s="49">
        <f t="shared" si="11"/>
        <v>3216</v>
      </c>
      <c r="P530" s="5" t="s">
        <v>393</v>
      </c>
      <c r="Q530" s="5" t="s">
        <v>766</v>
      </c>
      <c r="R530" s="11" t="s">
        <v>2030</v>
      </c>
      <c r="S530" s="22">
        <v>100</v>
      </c>
    </row>
    <row r="531" spans="1:19" ht="127.5">
      <c r="A531" s="5">
        <v>516</v>
      </c>
      <c r="B531" s="29" t="s">
        <v>710</v>
      </c>
      <c r="C531" s="30" t="s">
        <v>711</v>
      </c>
      <c r="D531" s="5" t="s">
        <v>470</v>
      </c>
      <c r="E531" s="57" t="s">
        <v>27</v>
      </c>
      <c r="F531" s="57" t="s">
        <v>27</v>
      </c>
      <c r="G531" s="57" t="s">
        <v>471</v>
      </c>
      <c r="H531" s="57" t="s">
        <v>472</v>
      </c>
      <c r="I531" s="57" t="s">
        <v>27</v>
      </c>
      <c r="J531" s="57" t="s">
        <v>27</v>
      </c>
      <c r="K531" s="57" t="s">
        <v>591</v>
      </c>
      <c r="L531" s="31" t="s">
        <v>644</v>
      </c>
      <c r="M531" s="22">
        <v>2</v>
      </c>
      <c r="N531" s="46">
        <v>2679</v>
      </c>
      <c r="O531" s="49">
        <f t="shared" si="11"/>
        <v>5358</v>
      </c>
      <c r="P531" s="5" t="s">
        <v>393</v>
      </c>
      <c r="Q531" s="5" t="s">
        <v>766</v>
      </c>
      <c r="R531" s="11" t="s">
        <v>2030</v>
      </c>
      <c r="S531" s="22">
        <v>100</v>
      </c>
    </row>
    <row r="532" spans="1:19" ht="51">
      <c r="A532" s="5">
        <v>517</v>
      </c>
      <c r="B532" s="29" t="s">
        <v>710</v>
      </c>
      <c r="C532" s="30" t="s">
        <v>711</v>
      </c>
      <c r="D532" s="10" t="s">
        <v>688</v>
      </c>
      <c r="E532" s="57" t="s">
        <v>846</v>
      </c>
      <c r="F532" s="57" t="s">
        <v>846</v>
      </c>
      <c r="G532" s="57" t="s">
        <v>771</v>
      </c>
      <c r="H532" s="57" t="s">
        <v>771</v>
      </c>
      <c r="I532" s="57" t="s">
        <v>846</v>
      </c>
      <c r="J532" s="57" t="s">
        <v>236</v>
      </c>
      <c r="K532" s="57" t="s">
        <v>591</v>
      </c>
      <c r="L532" s="31" t="s">
        <v>644</v>
      </c>
      <c r="M532" s="22">
        <v>288</v>
      </c>
      <c r="N532" s="46">
        <v>45</v>
      </c>
      <c r="O532" s="49">
        <f t="shared" si="11"/>
        <v>12960</v>
      </c>
      <c r="P532" s="5" t="s">
        <v>393</v>
      </c>
      <c r="Q532" s="5" t="s">
        <v>766</v>
      </c>
      <c r="R532" s="11" t="s">
        <v>2030</v>
      </c>
      <c r="S532" s="22">
        <v>100</v>
      </c>
    </row>
    <row r="533" spans="1:19" ht="51">
      <c r="A533" s="5">
        <v>518</v>
      </c>
      <c r="B533" s="29" t="s">
        <v>710</v>
      </c>
      <c r="C533" s="30" t="s">
        <v>711</v>
      </c>
      <c r="D533" s="5" t="s">
        <v>476</v>
      </c>
      <c r="E533" s="57" t="s">
        <v>477</v>
      </c>
      <c r="F533" s="57" t="s">
        <v>28</v>
      </c>
      <c r="G533" s="57" t="s">
        <v>478</v>
      </c>
      <c r="H533" s="57" t="s">
        <v>479</v>
      </c>
      <c r="I533" s="57" t="s">
        <v>477</v>
      </c>
      <c r="J533" s="57" t="s">
        <v>28</v>
      </c>
      <c r="K533" s="57" t="s">
        <v>591</v>
      </c>
      <c r="L533" s="31" t="s">
        <v>644</v>
      </c>
      <c r="M533" s="22">
        <v>12</v>
      </c>
      <c r="N533" s="46">
        <v>759</v>
      </c>
      <c r="O533" s="49">
        <f t="shared" si="11"/>
        <v>9108</v>
      </c>
      <c r="P533" s="5" t="s">
        <v>393</v>
      </c>
      <c r="Q533" s="5" t="s">
        <v>766</v>
      </c>
      <c r="R533" s="11" t="s">
        <v>2030</v>
      </c>
      <c r="S533" s="22">
        <v>100</v>
      </c>
    </row>
    <row r="534" spans="1:19" ht="51">
      <c r="A534" s="5">
        <v>519</v>
      </c>
      <c r="B534" s="29" t="s">
        <v>710</v>
      </c>
      <c r="C534" s="30" t="s">
        <v>711</v>
      </c>
      <c r="D534" s="10" t="s">
        <v>690</v>
      </c>
      <c r="E534" s="57" t="s">
        <v>2183</v>
      </c>
      <c r="F534" s="57" t="s">
        <v>29</v>
      </c>
      <c r="G534" s="57" t="s">
        <v>847</v>
      </c>
      <c r="H534" s="57" t="s">
        <v>772</v>
      </c>
      <c r="I534" s="57" t="s">
        <v>2183</v>
      </c>
      <c r="J534" s="57" t="s">
        <v>29</v>
      </c>
      <c r="K534" s="57" t="s">
        <v>591</v>
      </c>
      <c r="L534" s="5" t="s">
        <v>480</v>
      </c>
      <c r="M534" s="22">
        <v>144</v>
      </c>
      <c r="N534" s="46">
        <v>27</v>
      </c>
      <c r="O534" s="49">
        <f t="shared" si="11"/>
        <v>3888</v>
      </c>
      <c r="P534" s="5" t="s">
        <v>393</v>
      </c>
      <c r="Q534" s="5" t="s">
        <v>766</v>
      </c>
      <c r="R534" s="11" t="s">
        <v>2030</v>
      </c>
      <c r="S534" s="22">
        <v>100</v>
      </c>
    </row>
    <row r="535" spans="1:19" ht="51">
      <c r="A535" s="5">
        <v>520</v>
      </c>
      <c r="B535" s="29" t="s">
        <v>710</v>
      </c>
      <c r="C535" s="30" t="s">
        <v>711</v>
      </c>
      <c r="D535" s="31" t="s">
        <v>691</v>
      </c>
      <c r="E535" s="57" t="s">
        <v>119</v>
      </c>
      <c r="F535" s="57" t="s">
        <v>119</v>
      </c>
      <c r="G535" s="57" t="s">
        <v>848</v>
      </c>
      <c r="H535" s="57" t="s">
        <v>692</v>
      </c>
      <c r="I535" s="57" t="s">
        <v>119</v>
      </c>
      <c r="J535" s="57" t="s">
        <v>119</v>
      </c>
      <c r="K535" s="57" t="s">
        <v>591</v>
      </c>
      <c r="L535" s="31" t="s">
        <v>644</v>
      </c>
      <c r="M535" s="22">
        <v>72</v>
      </c>
      <c r="N535" s="46">
        <v>103</v>
      </c>
      <c r="O535" s="49">
        <f t="shared" si="11"/>
        <v>7416</v>
      </c>
      <c r="P535" s="5" t="s">
        <v>515</v>
      </c>
      <c r="Q535" s="5" t="s">
        <v>766</v>
      </c>
      <c r="R535" s="11" t="s">
        <v>2030</v>
      </c>
      <c r="S535" s="22">
        <v>100</v>
      </c>
    </row>
    <row r="536" spans="1:19" ht="51">
      <c r="A536" s="5">
        <v>521</v>
      </c>
      <c r="B536" s="29" t="s">
        <v>710</v>
      </c>
      <c r="C536" s="30" t="s">
        <v>711</v>
      </c>
      <c r="D536" s="33" t="s">
        <v>422</v>
      </c>
      <c r="E536" s="57" t="s">
        <v>423</v>
      </c>
      <c r="F536" s="57" t="s">
        <v>424</v>
      </c>
      <c r="G536" s="57" t="s">
        <v>837</v>
      </c>
      <c r="H536" s="57" t="s">
        <v>425</v>
      </c>
      <c r="I536" s="57" t="s">
        <v>2303</v>
      </c>
      <c r="J536" s="57" t="s">
        <v>230</v>
      </c>
      <c r="K536" s="57" t="s">
        <v>591</v>
      </c>
      <c r="L536" s="11" t="s">
        <v>909</v>
      </c>
      <c r="M536" s="22">
        <v>264</v>
      </c>
      <c r="N536" s="46">
        <v>670</v>
      </c>
      <c r="O536" s="49">
        <f t="shared" si="11"/>
        <v>176880</v>
      </c>
      <c r="P536" s="5" t="s">
        <v>393</v>
      </c>
      <c r="Q536" s="5" t="s">
        <v>766</v>
      </c>
      <c r="R536" s="11" t="s">
        <v>1021</v>
      </c>
      <c r="S536" s="5">
        <v>0</v>
      </c>
    </row>
    <row r="537" spans="1:19" ht="63.75">
      <c r="A537" s="5">
        <v>522</v>
      </c>
      <c r="B537" s="29" t="s">
        <v>710</v>
      </c>
      <c r="C537" s="30" t="s">
        <v>711</v>
      </c>
      <c r="D537" s="31" t="s">
        <v>426</v>
      </c>
      <c r="E537" s="57" t="s">
        <v>838</v>
      </c>
      <c r="F537" s="57" t="s">
        <v>19</v>
      </c>
      <c r="G537" s="57" t="s">
        <v>839</v>
      </c>
      <c r="H537" s="57" t="s">
        <v>428</v>
      </c>
      <c r="I537" s="57" t="s">
        <v>838</v>
      </c>
      <c r="J537" s="57" t="s">
        <v>19</v>
      </c>
      <c r="K537" s="57" t="s">
        <v>591</v>
      </c>
      <c r="L537" s="5" t="s">
        <v>669</v>
      </c>
      <c r="M537" s="22">
        <v>22</v>
      </c>
      <c r="N537" s="46">
        <v>313</v>
      </c>
      <c r="O537" s="49">
        <f t="shared" si="11"/>
        <v>6886</v>
      </c>
      <c r="P537" s="5" t="s">
        <v>393</v>
      </c>
      <c r="Q537" s="5" t="s">
        <v>766</v>
      </c>
      <c r="R537" s="11" t="s">
        <v>1021</v>
      </c>
      <c r="S537" s="5">
        <v>0</v>
      </c>
    </row>
    <row r="538" spans="1:19" ht="51">
      <c r="A538" s="5">
        <v>523</v>
      </c>
      <c r="B538" s="29" t="s">
        <v>710</v>
      </c>
      <c r="C538" s="30" t="s">
        <v>711</v>
      </c>
      <c r="D538" s="10" t="s">
        <v>429</v>
      </c>
      <c r="E538" s="57" t="s">
        <v>840</v>
      </c>
      <c r="F538" s="57" t="s">
        <v>430</v>
      </c>
      <c r="G538" s="57" t="s">
        <v>841</v>
      </c>
      <c r="H538" s="57" t="s">
        <v>431</v>
      </c>
      <c r="I538" s="57" t="s">
        <v>840</v>
      </c>
      <c r="J538" s="57" t="s">
        <v>231</v>
      </c>
      <c r="K538" s="57" t="s">
        <v>591</v>
      </c>
      <c r="L538" s="11" t="s">
        <v>909</v>
      </c>
      <c r="M538" s="22">
        <v>44</v>
      </c>
      <c r="N538" s="46">
        <v>223</v>
      </c>
      <c r="O538" s="49">
        <f t="shared" si="11"/>
        <v>9812</v>
      </c>
      <c r="P538" s="5" t="s">
        <v>393</v>
      </c>
      <c r="Q538" s="5" t="s">
        <v>766</v>
      </c>
      <c r="R538" s="11" t="s">
        <v>1021</v>
      </c>
      <c r="S538" s="5">
        <v>0</v>
      </c>
    </row>
    <row r="539" spans="1:19" ht="51">
      <c r="A539" s="5">
        <v>524</v>
      </c>
      <c r="B539" s="29" t="s">
        <v>710</v>
      </c>
      <c r="C539" s="30" t="s">
        <v>711</v>
      </c>
      <c r="D539" s="11" t="s">
        <v>894</v>
      </c>
      <c r="E539" s="57" t="s">
        <v>767</v>
      </c>
      <c r="F539" s="57" t="s">
        <v>18</v>
      </c>
      <c r="G539" s="57" t="s">
        <v>2180</v>
      </c>
      <c r="H539" s="57" t="s">
        <v>670</v>
      </c>
      <c r="I539" s="57" t="s">
        <v>767</v>
      </c>
      <c r="J539" s="57" t="s">
        <v>18</v>
      </c>
      <c r="K539" s="57" t="s">
        <v>591</v>
      </c>
      <c r="L539" s="5" t="s">
        <v>480</v>
      </c>
      <c r="M539" s="22">
        <v>44</v>
      </c>
      <c r="N539" s="46">
        <v>179</v>
      </c>
      <c r="O539" s="49">
        <f t="shared" ref="O539:O602" si="13">M539*N539</f>
        <v>7876</v>
      </c>
      <c r="P539" s="5" t="s">
        <v>393</v>
      </c>
      <c r="Q539" s="5" t="s">
        <v>766</v>
      </c>
      <c r="R539" s="11" t="s">
        <v>1021</v>
      </c>
      <c r="S539" s="5">
        <v>0</v>
      </c>
    </row>
    <row r="540" spans="1:19" ht="51">
      <c r="A540" s="5">
        <v>525</v>
      </c>
      <c r="B540" s="15" t="s">
        <v>710</v>
      </c>
      <c r="C540" s="30" t="s">
        <v>711</v>
      </c>
      <c r="D540" s="11" t="s">
        <v>1033</v>
      </c>
      <c r="E540" s="57" t="s">
        <v>20</v>
      </c>
      <c r="F540" s="57" t="s">
        <v>20</v>
      </c>
      <c r="G540" s="57" t="s">
        <v>2229</v>
      </c>
      <c r="H540" s="57" t="s">
        <v>896</v>
      </c>
      <c r="I540" s="57" t="s">
        <v>20</v>
      </c>
      <c r="J540" s="57" t="s">
        <v>20</v>
      </c>
      <c r="K540" s="57" t="s">
        <v>591</v>
      </c>
      <c r="L540" s="31" t="s">
        <v>644</v>
      </c>
      <c r="M540" s="22">
        <v>44</v>
      </c>
      <c r="N540" s="46">
        <v>107</v>
      </c>
      <c r="O540" s="49">
        <f t="shared" si="13"/>
        <v>4708</v>
      </c>
      <c r="P540" s="5" t="s">
        <v>393</v>
      </c>
      <c r="Q540" s="5" t="s">
        <v>766</v>
      </c>
      <c r="R540" s="11" t="s">
        <v>1021</v>
      </c>
      <c r="S540" s="5">
        <v>0</v>
      </c>
    </row>
    <row r="541" spans="1:19" ht="51">
      <c r="A541" s="5">
        <v>526</v>
      </c>
      <c r="B541" s="29" t="s">
        <v>710</v>
      </c>
      <c r="C541" s="30" t="s">
        <v>711</v>
      </c>
      <c r="D541" s="11" t="s">
        <v>1034</v>
      </c>
      <c r="E541" s="57" t="s">
        <v>21</v>
      </c>
      <c r="F541" s="57" t="s">
        <v>21</v>
      </c>
      <c r="G541" s="57" t="s">
        <v>2247</v>
      </c>
      <c r="H541" s="57" t="s">
        <v>1035</v>
      </c>
      <c r="I541" s="57" t="s">
        <v>21</v>
      </c>
      <c r="J541" s="57" t="s">
        <v>21</v>
      </c>
      <c r="K541" s="57" t="s">
        <v>591</v>
      </c>
      <c r="L541" s="31" t="s">
        <v>644</v>
      </c>
      <c r="M541" s="22">
        <v>11</v>
      </c>
      <c r="N541" s="46">
        <v>1339</v>
      </c>
      <c r="O541" s="49">
        <f t="shared" si="13"/>
        <v>14729</v>
      </c>
      <c r="P541" s="5" t="s">
        <v>393</v>
      </c>
      <c r="Q541" s="5" t="s">
        <v>766</v>
      </c>
      <c r="R541" s="11" t="s">
        <v>1021</v>
      </c>
      <c r="S541" s="5">
        <v>0</v>
      </c>
    </row>
    <row r="542" spans="1:19" ht="63.75">
      <c r="A542" s="5">
        <v>527</v>
      </c>
      <c r="B542" s="15" t="s">
        <v>710</v>
      </c>
      <c r="C542" s="30" t="s">
        <v>711</v>
      </c>
      <c r="D542" s="10" t="s">
        <v>675</v>
      </c>
      <c r="E542" s="57" t="s">
        <v>2077</v>
      </c>
      <c r="F542" s="57" t="s">
        <v>22</v>
      </c>
      <c r="G542" s="57" t="s">
        <v>843</v>
      </c>
      <c r="H542" s="57" t="s">
        <v>769</v>
      </c>
      <c r="I542" s="57" t="s">
        <v>2077</v>
      </c>
      <c r="J542" s="57" t="s">
        <v>22</v>
      </c>
      <c r="K542" s="57" t="s">
        <v>591</v>
      </c>
      <c r="L542" s="5" t="s">
        <v>480</v>
      </c>
      <c r="M542" s="22">
        <v>264</v>
      </c>
      <c r="N542" s="46">
        <v>13</v>
      </c>
      <c r="O542" s="49">
        <f t="shared" si="13"/>
        <v>3432</v>
      </c>
      <c r="P542" s="5" t="s">
        <v>393</v>
      </c>
      <c r="Q542" s="5" t="s">
        <v>766</v>
      </c>
      <c r="R542" s="11" t="s">
        <v>1021</v>
      </c>
      <c r="S542" s="5">
        <v>0</v>
      </c>
    </row>
    <row r="543" spans="1:19" ht="51">
      <c r="A543" s="5">
        <v>528</v>
      </c>
      <c r="B543" s="29" t="s">
        <v>710</v>
      </c>
      <c r="C543" s="30" t="s">
        <v>711</v>
      </c>
      <c r="D543" s="5" t="s">
        <v>443</v>
      </c>
      <c r="E543" s="57" t="s">
        <v>444</v>
      </c>
      <c r="F543" s="57" t="s">
        <v>444</v>
      </c>
      <c r="G543" s="57" t="s">
        <v>445</v>
      </c>
      <c r="H543" s="57" t="s">
        <v>446</v>
      </c>
      <c r="I543" s="57" t="s">
        <v>232</v>
      </c>
      <c r="J543" s="57" t="s">
        <v>232</v>
      </c>
      <c r="K543" s="57" t="s">
        <v>591</v>
      </c>
      <c r="L543" s="31" t="s">
        <v>644</v>
      </c>
      <c r="M543" s="22">
        <v>66</v>
      </c>
      <c r="N543" s="46">
        <v>446</v>
      </c>
      <c r="O543" s="49">
        <f t="shared" si="13"/>
        <v>29436</v>
      </c>
      <c r="P543" s="5" t="s">
        <v>393</v>
      </c>
      <c r="Q543" s="5" t="s">
        <v>766</v>
      </c>
      <c r="R543" s="11" t="s">
        <v>1021</v>
      </c>
      <c r="S543" s="5">
        <v>0</v>
      </c>
    </row>
    <row r="544" spans="1:19" ht="51">
      <c r="A544" s="5">
        <v>529</v>
      </c>
      <c r="B544" s="29" t="s">
        <v>710</v>
      </c>
      <c r="C544" s="30" t="s">
        <v>711</v>
      </c>
      <c r="D544" s="10" t="s">
        <v>677</v>
      </c>
      <c r="E544" s="57" t="s">
        <v>2276</v>
      </c>
      <c r="F544" s="57" t="s">
        <v>23</v>
      </c>
      <c r="G544" s="57" t="s">
        <v>844</v>
      </c>
      <c r="H544" s="57" t="s">
        <v>678</v>
      </c>
      <c r="I544" s="57" t="s">
        <v>2276</v>
      </c>
      <c r="J544" s="57" t="s">
        <v>23</v>
      </c>
      <c r="K544" s="57" t="s">
        <v>591</v>
      </c>
      <c r="L544" s="31" t="s">
        <v>644</v>
      </c>
      <c r="M544" s="22">
        <v>66</v>
      </c>
      <c r="N544" s="46">
        <v>268</v>
      </c>
      <c r="O544" s="49">
        <f t="shared" si="13"/>
        <v>17688</v>
      </c>
      <c r="P544" s="5" t="s">
        <v>393</v>
      </c>
      <c r="Q544" s="5" t="s">
        <v>766</v>
      </c>
      <c r="R544" s="11" t="s">
        <v>1021</v>
      </c>
      <c r="S544" s="5">
        <v>0</v>
      </c>
    </row>
    <row r="545" spans="1:19" ht="51">
      <c r="A545" s="5">
        <v>530</v>
      </c>
      <c r="B545" s="29" t="s">
        <v>710</v>
      </c>
      <c r="C545" s="30" t="s">
        <v>711</v>
      </c>
      <c r="D545" s="10" t="s">
        <v>679</v>
      </c>
      <c r="E545" s="57" t="s">
        <v>24</v>
      </c>
      <c r="F545" s="57" t="s">
        <v>24</v>
      </c>
      <c r="G545" s="57" t="s">
        <v>2279</v>
      </c>
      <c r="H545" s="57" t="s">
        <v>680</v>
      </c>
      <c r="I545" s="57" t="s">
        <v>24</v>
      </c>
      <c r="J545" s="57" t="s">
        <v>24</v>
      </c>
      <c r="K545" s="57" t="s">
        <v>591</v>
      </c>
      <c r="L545" s="31" t="s">
        <v>644</v>
      </c>
      <c r="M545" s="22">
        <v>11</v>
      </c>
      <c r="N545" s="46">
        <v>223</v>
      </c>
      <c r="O545" s="49">
        <f t="shared" si="13"/>
        <v>2453</v>
      </c>
      <c r="P545" s="5" t="s">
        <v>393</v>
      </c>
      <c r="Q545" s="5" t="s">
        <v>766</v>
      </c>
      <c r="R545" s="11" t="s">
        <v>1021</v>
      </c>
      <c r="S545" s="5">
        <v>0</v>
      </c>
    </row>
    <row r="546" spans="1:19" ht="51">
      <c r="A546" s="5">
        <v>531</v>
      </c>
      <c r="B546" s="29" t="s">
        <v>710</v>
      </c>
      <c r="C546" s="30" t="s">
        <v>711</v>
      </c>
      <c r="D546" s="11" t="s">
        <v>1036</v>
      </c>
      <c r="E546" s="57" t="s">
        <v>2278</v>
      </c>
      <c r="F546" s="57" t="s">
        <v>450</v>
      </c>
      <c r="G546" s="57" t="s">
        <v>2282</v>
      </c>
      <c r="H546" s="57" t="s">
        <v>1037</v>
      </c>
      <c r="I546" s="57" t="s">
        <v>2278</v>
      </c>
      <c r="J546" s="57" t="s">
        <v>233</v>
      </c>
      <c r="K546" s="57" t="s">
        <v>591</v>
      </c>
      <c r="L546" s="5" t="s">
        <v>480</v>
      </c>
      <c r="M546" s="22">
        <v>66</v>
      </c>
      <c r="N546" s="46">
        <v>223</v>
      </c>
      <c r="O546" s="49">
        <f t="shared" si="13"/>
        <v>14718</v>
      </c>
      <c r="P546" s="5" t="s">
        <v>393</v>
      </c>
      <c r="Q546" s="5" t="s">
        <v>766</v>
      </c>
      <c r="R546" s="11" t="s">
        <v>1021</v>
      </c>
      <c r="S546" s="5">
        <v>0</v>
      </c>
    </row>
    <row r="547" spans="1:19" ht="51">
      <c r="A547" s="5">
        <v>532</v>
      </c>
      <c r="B547" s="29" t="s">
        <v>710</v>
      </c>
      <c r="C547" s="30" t="s">
        <v>711</v>
      </c>
      <c r="D547" s="5" t="s">
        <v>452</v>
      </c>
      <c r="E547" s="57" t="s">
        <v>453</v>
      </c>
      <c r="F547" s="57" t="s">
        <v>454</v>
      </c>
      <c r="G547" s="57" t="s">
        <v>455</v>
      </c>
      <c r="H547" s="57" t="s">
        <v>456</v>
      </c>
      <c r="I547" s="57" t="s">
        <v>453</v>
      </c>
      <c r="J547" s="57" t="s">
        <v>234</v>
      </c>
      <c r="K547" s="57" t="s">
        <v>591</v>
      </c>
      <c r="L547" s="5" t="s">
        <v>480</v>
      </c>
      <c r="M547" s="22">
        <v>66</v>
      </c>
      <c r="N547" s="46">
        <v>179</v>
      </c>
      <c r="O547" s="49">
        <f t="shared" si="13"/>
        <v>11814</v>
      </c>
      <c r="P547" s="5" t="s">
        <v>393</v>
      </c>
      <c r="Q547" s="5" t="s">
        <v>766</v>
      </c>
      <c r="R547" s="11" t="s">
        <v>1021</v>
      </c>
      <c r="S547" s="5">
        <v>0</v>
      </c>
    </row>
    <row r="548" spans="1:19" ht="51">
      <c r="A548" s="5">
        <v>533</v>
      </c>
      <c r="B548" s="29" t="s">
        <v>710</v>
      </c>
      <c r="C548" s="30" t="s">
        <v>711</v>
      </c>
      <c r="D548" s="5" t="s">
        <v>457</v>
      </c>
      <c r="E548" s="57" t="s">
        <v>17</v>
      </c>
      <c r="F548" s="57" t="s">
        <v>17</v>
      </c>
      <c r="G548" s="57" t="s">
        <v>2289</v>
      </c>
      <c r="H548" s="57" t="s">
        <v>2290</v>
      </c>
      <c r="I548" s="57" t="s">
        <v>17</v>
      </c>
      <c r="J548" s="57" t="s">
        <v>17</v>
      </c>
      <c r="K548" s="57" t="s">
        <v>591</v>
      </c>
      <c r="L548" s="31" t="s">
        <v>644</v>
      </c>
      <c r="M548" s="22">
        <v>22</v>
      </c>
      <c r="N548" s="46">
        <v>714</v>
      </c>
      <c r="O548" s="49">
        <f t="shared" si="13"/>
        <v>15708</v>
      </c>
      <c r="P548" s="5" t="s">
        <v>393</v>
      </c>
      <c r="Q548" s="5" t="s">
        <v>766</v>
      </c>
      <c r="R548" s="11" t="s">
        <v>1021</v>
      </c>
      <c r="S548" s="5">
        <v>0</v>
      </c>
    </row>
    <row r="549" spans="1:19" ht="51">
      <c r="A549" s="5">
        <v>534</v>
      </c>
      <c r="B549" s="29" t="s">
        <v>710</v>
      </c>
      <c r="C549" s="30" t="s">
        <v>711</v>
      </c>
      <c r="D549" s="11" t="s">
        <v>459</v>
      </c>
      <c r="E549" s="57" t="s">
        <v>1691</v>
      </c>
      <c r="F549" s="57" t="s">
        <v>460</v>
      </c>
      <c r="G549" s="57" t="s">
        <v>2214</v>
      </c>
      <c r="H549" s="57" t="s">
        <v>2215</v>
      </c>
      <c r="I549" s="57" t="s">
        <v>235</v>
      </c>
      <c r="J549" s="57" t="s">
        <v>235</v>
      </c>
      <c r="K549" s="57" t="s">
        <v>591</v>
      </c>
      <c r="L549" s="31" t="s">
        <v>644</v>
      </c>
      <c r="M549" s="22">
        <v>44</v>
      </c>
      <c r="N549" s="46">
        <v>161</v>
      </c>
      <c r="O549" s="49">
        <f t="shared" si="13"/>
        <v>7084</v>
      </c>
      <c r="P549" s="5" t="s">
        <v>393</v>
      </c>
      <c r="Q549" s="5" t="s">
        <v>766</v>
      </c>
      <c r="R549" s="11" t="s">
        <v>1021</v>
      </c>
      <c r="S549" s="5">
        <v>0</v>
      </c>
    </row>
    <row r="550" spans="1:19" ht="51">
      <c r="A550" s="5">
        <v>535</v>
      </c>
      <c r="B550" s="15" t="s">
        <v>710</v>
      </c>
      <c r="C550" s="30" t="s">
        <v>711</v>
      </c>
      <c r="D550" s="11" t="s">
        <v>462</v>
      </c>
      <c r="E550" s="57" t="s">
        <v>466</v>
      </c>
      <c r="F550" s="57" t="s">
        <v>463</v>
      </c>
      <c r="G550" s="57" t="s">
        <v>2269</v>
      </c>
      <c r="H550" s="57" t="s">
        <v>465</v>
      </c>
      <c r="I550" s="57" t="s">
        <v>466</v>
      </c>
      <c r="J550" s="57" t="s">
        <v>463</v>
      </c>
      <c r="K550" s="57" t="s">
        <v>591</v>
      </c>
      <c r="L550" s="31" t="s">
        <v>644</v>
      </c>
      <c r="M550" s="22">
        <v>44</v>
      </c>
      <c r="N550" s="46">
        <v>161</v>
      </c>
      <c r="O550" s="49">
        <f t="shared" si="13"/>
        <v>7084</v>
      </c>
      <c r="P550" s="5" t="s">
        <v>393</v>
      </c>
      <c r="Q550" s="5" t="s">
        <v>766</v>
      </c>
      <c r="R550" s="11" t="s">
        <v>1021</v>
      </c>
      <c r="S550" s="5">
        <v>0</v>
      </c>
    </row>
    <row r="551" spans="1:19" ht="51">
      <c r="A551" s="5">
        <v>536</v>
      </c>
      <c r="B551" s="29" t="s">
        <v>710</v>
      </c>
      <c r="C551" s="30" t="s">
        <v>711</v>
      </c>
      <c r="D551" s="10" t="s">
        <v>684</v>
      </c>
      <c r="E551" s="57" t="s">
        <v>466</v>
      </c>
      <c r="F551" s="57" t="s">
        <v>25</v>
      </c>
      <c r="G551" s="57" t="s">
        <v>2191</v>
      </c>
      <c r="H551" s="57" t="s">
        <v>685</v>
      </c>
      <c r="I551" s="57" t="s">
        <v>466</v>
      </c>
      <c r="J551" s="57" t="s">
        <v>25</v>
      </c>
      <c r="K551" s="57" t="s">
        <v>591</v>
      </c>
      <c r="L551" s="31" t="s">
        <v>644</v>
      </c>
      <c r="M551" s="22">
        <v>44</v>
      </c>
      <c r="N551" s="46">
        <v>45</v>
      </c>
      <c r="O551" s="49">
        <f t="shared" si="13"/>
        <v>1980</v>
      </c>
      <c r="P551" s="5" t="s">
        <v>393</v>
      </c>
      <c r="Q551" s="5" t="s">
        <v>766</v>
      </c>
      <c r="R551" s="11" t="s">
        <v>1021</v>
      </c>
      <c r="S551" s="5">
        <v>0</v>
      </c>
    </row>
    <row r="552" spans="1:19" ht="51">
      <c r="A552" s="5">
        <v>537</v>
      </c>
      <c r="B552" s="15" t="s">
        <v>710</v>
      </c>
      <c r="C552" s="30" t="s">
        <v>711</v>
      </c>
      <c r="D552" s="10" t="s">
        <v>686</v>
      </c>
      <c r="E552" s="57" t="s">
        <v>2304</v>
      </c>
      <c r="F552" s="57" t="s">
        <v>26</v>
      </c>
      <c r="G552" s="57" t="s">
        <v>2305</v>
      </c>
      <c r="H552" s="57" t="s">
        <v>687</v>
      </c>
      <c r="I552" s="57" t="s">
        <v>2304</v>
      </c>
      <c r="J552" s="57" t="s">
        <v>26</v>
      </c>
      <c r="K552" s="57" t="s">
        <v>591</v>
      </c>
      <c r="L552" s="11" t="s">
        <v>909</v>
      </c>
      <c r="M552" s="22">
        <v>22</v>
      </c>
      <c r="N552" s="46">
        <v>134</v>
      </c>
      <c r="O552" s="49">
        <f t="shared" si="13"/>
        <v>2948</v>
      </c>
      <c r="P552" s="5" t="s">
        <v>393</v>
      </c>
      <c r="Q552" s="5" t="s">
        <v>766</v>
      </c>
      <c r="R552" s="11" t="s">
        <v>1021</v>
      </c>
      <c r="S552" s="5">
        <v>0</v>
      </c>
    </row>
    <row r="553" spans="1:19" ht="127.5">
      <c r="A553" s="5">
        <v>538</v>
      </c>
      <c r="B553" s="29" t="s">
        <v>710</v>
      </c>
      <c r="C553" s="30" t="s">
        <v>711</v>
      </c>
      <c r="D553" s="5" t="s">
        <v>470</v>
      </c>
      <c r="E553" s="57" t="s">
        <v>27</v>
      </c>
      <c r="F553" s="57" t="s">
        <v>27</v>
      </c>
      <c r="G553" s="57" t="s">
        <v>471</v>
      </c>
      <c r="H553" s="57" t="s">
        <v>472</v>
      </c>
      <c r="I553" s="57" t="s">
        <v>27</v>
      </c>
      <c r="J553" s="57" t="s">
        <v>27</v>
      </c>
      <c r="K553" s="57" t="s">
        <v>591</v>
      </c>
      <c r="L553" s="31" t="s">
        <v>644</v>
      </c>
      <c r="M553" s="22">
        <v>2</v>
      </c>
      <c r="N553" s="46">
        <v>2679</v>
      </c>
      <c r="O553" s="49">
        <f t="shared" si="13"/>
        <v>5358</v>
      </c>
      <c r="P553" s="5" t="s">
        <v>393</v>
      </c>
      <c r="Q553" s="5" t="s">
        <v>766</v>
      </c>
      <c r="R553" s="11" t="s">
        <v>1021</v>
      </c>
      <c r="S553" s="5">
        <v>0</v>
      </c>
    </row>
    <row r="554" spans="1:19" ht="51">
      <c r="A554" s="5">
        <v>539</v>
      </c>
      <c r="B554" s="29" t="s">
        <v>710</v>
      </c>
      <c r="C554" s="30" t="s">
        <v>711</v>
      </c>
      <c r="D554" s="10" t="s">
        <v>688</v>
      </c>
      <c r="E554" s="57" t="s">
        <v>846</v>
      </c>
      <c r="F554" s="57" t="s">
        <v>846</v>
      </c>
      <c r="G554" s="57" t="s">
        <v>771</v>
      </c>
      <c r="H554" s="57" t="s">
        <v>771</v>
      </c>
      <c r="I554" s="57" t="s">
        <v>846</v>
      </c>
      <c r="J554" s="57" t="s">
        <v>236</v>
      </c>
      <c r="K554" s="57" t="s">
        <v>591</v>
      </c>
      <c r="L554" s="31" t="s">
        <v>644</v>
      </c>
      <c r="M554" s="22">
        <v>264</v>
      </c>
      <c r="N554" s="46">
        <v>45</v>
      </c>
      <c r="O554" s="49">
        <f t="shared" si="13"/>
        <v>11880</v>
      </c>
      <c r="P554" s="5" t="s">
        <v>393</v>
      </c>
      <c r="Q554" s="5" t="s">
        <v>766</v>
      </c>
      <c r="R554" s="11" t="s">
        <v>1021</v>
      </c>
      <c r="S554" s="5">
        <v>0</v>
      </c>
    </row>
    <row r="555" spans="1:19" ht="51">
      <c r="A555" s="5">
        <v>540</v>
      </c>
      <c r="B555" s="29" t="s">
        <v>710</v>
      </c>
      <c r="C555" s="30" t="s">
        <v>711</v>
      </c>
      <c r="D555" s="5" t="s">
        <v>476</v>
      </c>
      <c r="E555" s="57" t="s">
        <v>477</v>
      </c>
      <c r="F555" s="57" t="s">
        <v>28</v>
      </c>
      <c r="G555" s="57" t="s">
        <v>478</v>
      </c>
      <c r="H555" s="57" t="s">
        <v>479</v>
      </c>
      <c r="I555" s="57" t="s">
        <v>477</v>
      </c>
      <c r="J555" s="57" t="s">
        <v>28</v>
      </c>
      <c r="K555" s="57" t="s">
        <v>591</v>
      </c>
      <c r="L555" s="31" t="s">
        <v>644</v>
      </c>
      <c r="M555" s="22">
        <v>11</v>
      </c>
      <c r="N555" s="46">
        <v>759</v>
      </c>
      <c r="O555" s="49">
        <f t="shared" si="13"/>
        <v>8349</v>
      </c>
      <c r="P555" s="5" t="s">
        <v>393</v>
      </c>
      <c r="Q555" s="5" t="s">
        <v>766</v>
      </c>
      <c r="R555" s="11" t="s">
        <v>1021</v>
      </c>
      <c r="S555" s="5">
        <v>0</v>
      </c>
    </row>
    <row r="556" spans="1:19" ht="51">
      <c r="A556" s="5">
        <v>541</v>
      </c>
      <c r="B556" s="29" t="s">
        <v>710</v>
      </c>
      <c r="C556" s="30" t="s">
        <v>711</v>
      </c>
      <c r="D556" s="10" t="s">
        <v>690</v>
      </c>
      <c r="E556" s="57" t="s">
        <v>2183</v>
      </c>
      <c r="F556" s="57" t="s">
        <v>29</v>
      </c>
      <c r="G556" s="57" t="s">
        <v>847</v>
      </c>
      <c r="H556" s="57" t="s">
        <v>772</v>
      </c>
      <c r="I556" s="57" t="s">
        <v>2183</v>
      </c>
      <c r="J556" s="57" t="s">
        <v>29</v>
      </c>
      <c r="K556" s="57" t="s">
        <v>591</v>
      </c>
      <c r="L556" s="5" t="s">
        <v>480</v>
      </c>
      <c r="M556" s="22">
        <v>132</v>
      </c>
      <c r="N556" s="46">
        <v>27</v>
      </c>
      <c r="O556" s="49">
        <f t="shared" si="13"/>
        <v>3564</v>
      </c>
      <c r="P556" s="5" t="s">
        <v>393</v>
      </c>
      <c r="Q556" s="5" t="s">
        <v>766</v>
      </c>
      <c r="R556" s="11" t="s">
        <v>1021</v>
      </c>
      <c r="S556" s="5">
        <v>0</v>
      </c>
    </row>
    <row r="557" spans="1:19" ht="51">
      <c r="A557" s="5">
        <v>542</v>
      </c>
      <c r="B557" s="29" t="s">
        <v>710</v>
      </c>
      <c r="C557" s="30" t="s">
        <v>711</v>
      </c>
      <c r="D557" s="31" t="s">
        <v>691</v>
      </c>
      <c r="E557" s="57" t="s">
        <v>119</v>
      </c>
      <c r="F557" s="57" t="s">
        <v>119</v>
      </c>
      <c r="G557" s="57" t="s">
        <v>848</v>
      </c>
      <c r="H557" s="57" t="s">
        <v>692</v>
      </c>
      <c r="I557" s="57" t="s">
        <v>119</v>
      </c>
      <c r="J557" s="57" t="s">
        <v>119</v>
      </c>
      <c r="K557" s="57" t="s">
        <v>591</v>
      </c>
      <c r="L557" s="31" t="s">
        <v>644</v>
      </c>
      <c r="M557" s="22">
        <v>66</v>
      </c>
      <c r="N557" s="46">
        <v>103</v>
      </c>
      <c r="O557" s="49">
        <f t="shared" si="13"/>
        <v>6798</v>
      </c>
      <c r="P557" s="5" t="s">
        <v>515</v>
      </c>
      <c r="Q557" s="5" t="s">
        <v>939</v>
      </c>
      <c r="R557" s="11" t="s">
        <v>1021</v>
      </c>
      <c r="S557" s="5">
        <v>100</v>
      </c>
    </row>
    <row r="558" spans="1:19" s="13" customFormat="1" ht="25.5">
      <c r="A558" s="5">
        <v>543</v>
      </c>
      <c r="B558" s="29" t="s">
        <v>710</v>
      </c>
      <c r="C558" s="30" t="s">
        <v>711</v>
      </c>
      <c r="D558" s="33" t="s">
        <v>422</v>
      </c>
      <c r="E558" s="57" t="s">
        <v>423</v>
      </c>
      <c r="F558" s="57" t="s">
        <v>424</v>
      </c>
      <c r="G558" s="57" t="s">
        <v>837</v>
      </c>
      <c r="H558" s="57" t="s">
        <v>425</v>
      </c>
      <c r="I558" s="57" t="s">
        <v>2303</v>
      </c>
      <c r="J558" s="57" t="s">
        <v>230</v>
      </c>
      <c r="K558" s="57" t="s">
        <v>591</v>
      </c>
      <c r="L558" s="11" t="s">
        <v>909</v>
      </c>
      <c r="M558" s="22">
        <f>264+1196</f>
        <v>1460</v>
      </c>
      <c r="N558" s="46">
        <f>O558/M558</f>
        <v>558.04999999999995</v>
      </c>
      <c r="O558" s="49">
        <f>176880+637873</f>
        <v>814753</v>
      </c>
      <c r="P558" s="5" t="s">
        <v>698</v>
      </c>
      <c r="Q558" s="15" t="s">
        <v>588</v>
      </c>
      <c r="R558" s="11" t="s">
        <v>2023</v>
      </c>
      <c r="S558" s="22">
        <v>100</v>
      </c>
    </row>
    <row r="559" spans="1:19" s="13" customFormat="1" ht="63.75">
      <c r="A559" s="5">
        <v>544</v>
      </c>
      <c r="B559" s="29" t="s">
        <v>710</v>
      </c>
      <c r="C559" s="30" t="s">
        <v>711</v>
      </c>
      <c r="D559" s="31" t="s">
        <v>426</v>
      </c>
      <c r="E559" s="57" t="s">
        <v>838</v>
      </c>
      <c r="F559" s="57" t="s">
        <v>19</v>
      </c>
      <c r="G559" s="57" t="s">
        <v>839</v>
      </c>
      <c r="H559" s="57" t="s">
        <v>428</v>
      </c>
      <c r="I559" s="57" t="s">
        <v>838</v>
      </c>
      <c r="J559" s="57" t="s">
        <v>19</v>
      </c>
      <c r="K559" s="57" t="s">
        <v>591</v>
      </c>
      <c r="L559" s="5" t="s">
        <v>669</v>
      </c>
      <c r="M559" s="22">
        <v>22</v>
      </c>
      <c r="N559" s="46">
        <v>313</v>
      </c>
      <c r="O559" s="49">
        <f t="shared" si="13"/>
        <v>6886</v>
      </c>
      <c r="P559" s="5" t="s">
        <v>391</v>
      </c>
      <c r="Q559" s="15" t="s">
        <v>1024</v>
      </c>
      <c r="R559" s="11" t="s">
        <v>2023</v>
      </c>
      <c r="S559" s="22">
        <v>100</v>
      </c>
    </row>
    <row r="560" spans="1:19" s="13" customFormat="1" ht="51">
      <c r="A560" s="5">
        <v>545</v>
      </c>
      <c r="B560" s="29" t="s">
        <v>710</v>
      </c>
      <c r="C560" s="30" t="s">
        <v>711</v>
      </c>
      <c r="D560" s="10" t="s">
        <v>429</v>
      </c>
      <c r="E560" s="57" t="s">
        <v>840</v>
      </c>
      <c r="F560" s="57" t="s">
        <v>430</v>
      </c>
      <c r="G560" s="57" t="s">
        <v>841</v>
      </c>
      <c r="H560" s="57" t="s">
        <v>431</v>
      </c>
      <c r="I560" s="57" t="s">
        <v>840</v>
      </c>
      <c r="J560" s="57" t="s">
        <v>231</v>
      </c>
      <c r="K560" s="57" t="s">
        <v>591</v>
      </c>
      <c r="L560" s="11" t="s">
        <v>909</v>
      </c>
      <c r="M560" s="22">
        <v>44</v>
      </c>
      <c r="N560" s="46">
        <v>223</v>
      </c>
      <c r="O560" s="49">
        <f t="shared" si="13"/>
        <v>9812</v>
      </c>
      <c r="P560" s="5" t="s">
        <v>391</v>
      </c>
      <c r="Q560" s="5" t="s">
        <v>766</v>
      </c>
      <c r="R560" s="11" t="s">
        <v>2023</v>
      </c>
      <c r="S560" s="22">
        <v>100</v>
      </c>
    </row>
    <row r="561" spans="1:19" s="13" customFormat="1" ht="25.5">
      <c r="A561" s="5">
        <v>546</v>
      </c>
      <c r="B561" s="29" t="s">
        <v>710</v>
      </c>
      <c r="C561" s="30" t="s">
        <v>711</v>
      </c>
      <c r="D561" s="11" t="s">
        <v>894</v>
      </c>
      <c r="E561" s="57" t="s">
        <v>767</v>
      </c>
      <c r="F561" s="57" t="s">
        <v>18</v>
      </c>
      <c r="G561" s="57" t="s">
        <v>2180</v>
      </c>
      <c r="H561" s="57" t="s">
        <v>670</v>
      </c>
      <c r="I561" s="57" t="s">
        <v>767</v>
      </c>
      <c r="J561" s="57" t="s">
        <v>18</v>
      </c>
      <c r="K561" s="57" t="s">
        <v>591</v>
      </c>
      <c r="L561" s="5" t="s">
        <v>480</v>
      </c>
      <c r="M561" s="22">
        <v>44</v>
      </c>
      <c r="N561" s="46">
        <v>179</v>
      </c>
      <c r="O561" s="49">
        <f t="shared" si="13"/>
        <v>7876</v>
      </c>
      <c r="P561" s="5" t="s">
        <v>391</v>
      </c>
      <c r="Q561" s="15" t="s">
        <v>1024</v>
      </c>
      <c r="R561" s="11" t="s">
        <v>2023</v>
      </c>
      <c r="S561" s="22">
        <v>100</v>
      </c>
    </row>
    <row r="562" spans="1:19" s="13" customFormat="1" ht="38.25">
      <c r="A562" s="5">
        <v>547</v>
      </c>
      <c r="B562" s="15" t="s">
        <v>710</v>
      </c>
      <c r="C562" s="30" t="s">
        <v>711</v>
      </c>
      <c r="D562" s="5" t="s">
        <v>671</v>
      </c>
      <c r="E562" s="57" t="s">
        <v>20</v>
      </c>
      <c r="F562" s="57" t="s">
        <v>1009</v>
      </c>
      <c r="G562" s="57" t="s">
        <v>2228</v>
      </c>
      <c r="H562" s="57" t="s">
        <v>768</v>
      </c>
      <c r="I562" s="57" t="s">
        <v>20</v>
      </c>
      <c r="J562" s="57" t="s">
        <v>20</v>
      </c>
      <c r="K562" s="57" t="s">
        <v>591</v>
      </c>
      <c r="L562" s="31" t="s">
        <v>644</v>
      </c>
      <c r="M562" s="22">
        <v>44</v>
      </c>
      <c r="N562" s="46">
        <v>107</v>
      </c>
      <c r="O562" s="49">
        <f t="shared" si="13"/>
        <v>4708</v>
      </c>
      <c r="P562" s="5" t="s">
        <v>391</v>
      </c>
      <c r="Q562" s="15" t="s">
        <v>1024</v>
      </c>
      <c r="R562" s="11" t="s">
        <v>2023</v>
      </c>
      <c r="S562" s="22">
        <v>100</v>
      </c>
    </row>
    <row r="563" spans="1:19" s="13" customFormat="1" ht="38.25">
      <c r="A563" s="5">
        <v>548</v>
      </c>
      <c r="B563" s="29" t="s">
        <v>710</v>
      </c>
      <c r="C563" s="30" t="s">
        <v>711</v>
      </c>
      <c r="D563" s="10" t="s">
        <v>673</v>
      </c>
      <c r="E563" s="57" t="s">
        <v>21</v>
      </c>
      <c r="F563" s="57" t="s">
        <v>21</v>
      </c>
      <c r="G563" s="57" t="s">
        <v>2246</v>
      </c>
      <c r="H563" s="57" t="s">
        <v>674</v>
      </c>
      <c r="I563" s="57" t="s">
        <v>21</v>
      </c>
      <c r="J563" s="57" t="s">
        <v>21</v>
      </c>
      <c r="K563" s="57" t="s">
        <v>591</v>
      </c>
      <c r="L563" s="31" t="s">
        <v>644</v>
      </c>
      <c r="M563" s="22">
        <v>11</v>
      </c>
      <c r="N563" s="46">
        <v>1339</v>
      </c>
      <c r="O563" s="49">
        <f t="shared" si="13"/>
        <v>14729</v>
      </c>
      <c r="P563" s="5" t="s">
        <v>391</v>
      </c>
      <c r="Q563" s="15" t="s">
        <v>1024</v>
      </c>
      <c r="R563" s="11" t="s">
        <v>2023</v>
      </c>
      <c r="S563" s="22">
        <v>100</v>
      </c>
    </row>
    <row r="564" spans="1:19" s="13" customFormat="1" ht="63.75">
      <c r="A564" s="5">
        <v>549</v>
      </c>
      <c r="B564" s="15" t="s">
        <v>710</v>
      </c>
      <c r="C564" s="30" t="s">
        <v>711</v>
      </c>
      <c r="D564" s="10" t="s">
        <v>675</v>
      </c>
      <c r="E564" s="57" t="s">
        <v>2077</v>
      </c>
      <c r="F564" s="57" t="s">
        <v>22</v>
      </c>
      <c r="G564" s="57" t="s">
        <v>843</v>
      </c>
      <c r="H564" s="57" t="s">
        <v>769</v>
      </c>
      <c r="I564" s="57" t="s">
        <v>2077</v>
      </c>
      <c r="J564" s="57" t="s">
        <v>22</v>
      </c>
      <c r="K564" s="57" t="s">
        <v>591</v>
      </c>
      <c r="L564" s="5" t="s">
        <v>480</v>
      </c>
      <c r="M564" s="22">
        <v>264</v>
      </c>
      <c r="N564" s="46">
        <v>13</v>
      </c>
      <c r="O564" s="49">
        <f t="shared" si="13"/>
        <v>3432</v>
      </c>
      <c r="P564" s="5" t="s">
        <v>391</v>
      </c>
      <c r="Q564" s="15" t="s">
        <v>1024</v>
      </c>
      <c r="R564" s="11" t="s">
        <v>2023</v>
      </c>
      <c r="S564" s="22">
        <v>100</v>
      </c>
    </row>
    <row r="565" spans="1:19" s="13" customFormat="1" ht="51">
      <c r="A565" s="5">
        <v>550</v>
      </c>
      <c r="B565" s="29" t="s">
        <v>710</v>
      </c>
      <c r="C565" s="30" t="s">
        <v>711</v>
      </c>
      <c r="D565" s="5" t="s">
        <v>443</v>
      </c>
      <c r="E565" s="57" t="s">
        <v>444</v>
      </c>
      <c r="F565" s="57" t="s">
        <v>444</v>
      </c>
      <c r="G565" s="57" t="s">
        <v>445</v>
      </c>
      <c r="H565" s="57" t="s">
        <v>446</v>
      </c>
      <c r="I565" s="57" t="s">
        <v>232</v>
      </c>
      <c r="J565" s="57" t="s">
        <v>232</v>
      </c>
      <c r="K565" s="57" t="s">
        <v>591</v>
      </c>
      <c r="L565" s="31" t="s">
        <v>644</v>
      </c>
      <c r="M565" s="22">
        <v>66</v>
      </c>
      <c r="N565" s="46">
        <v>446</v>
      </c>
      <c r="O565" s="49">
        <f t="shared" si="13"/>
        <v>29436</v>
      </c>
      <c r="P565" s="5" t="s">
        <v>391</v>
      </c>
      <c r="Q565" s="5" t="s">
        <v>766</v>
      </c>
      <c r="R565" s="11" t="s">
        <v>2023</v>
      </c>
      <c r="S565" s="22">
        <v>100</v>
      </c>
    </row>
    <row r="566" spans="1:19" s="13" customFormat="1" ht="51">
      <c r="A566" s="5">
        <v>551</v>
      </c>
      <c r="B566" s="29" t="s">
        <v>710</v>
      </c>
      <c r="C566" s="30" t="s">
        <v>711</v>
      </c>
      <c r="D566" s="10" t="s">
        <v>677</v>
      </c>
      <c r="E566" s="57" t="s">
        <v>2276</v>
      </c>
      <c r="F566" s="57" t="s">
        <v>23</v>
      </c>
      <c r="G566" s="57" t="s">
        <v>844</v>
      </c>
      <c r="H566" s="57" t="s">
        <v>678</v>
      </c>
      <c r="I566" s="57" t="s">
        <v>2276</v>
      </c>
      <c r="J566" s="57" t="s">
        <v>23</v>
      </c>
      <c r="K566" s="57" t="s">
        <v>591</v>
      </c>
      <c r="L566" s="31" t="s">
        <v>644</v>
      </c>
      <c r="M566" s="22">
        <v>66</v>
      </c>
      <c r="N566" s="46">
        <v>268</v>
      </c>
      <c r="O566" s="49">
        <f t="shared" si="13"/>
        <v>17688</v>
      </c>
      <c r="P566" s="5" t="s">
        <v>391</v>
      </c>
      <c r="Q566" s="5" t="s">
        <v>766</v>
      </c>
      <c r="R566" s="11" t="s">
        <v>2023</v>
      </c>
      <c r="S566" s="22">
        <v>100</v>
      </c>
    </row>
    <row r="567" spans="1:19" s="13" customFormat="1" ht="51">
      <c r="A567" s="5">
        <v>552</v>
      </c>
      <c r="B567" s="29" t="s">
        <v>710</v>
      </c>
      <c r="C567" s="30" t="s">
        <v>711</v>
      </c>
      <c r="D567" s="10" t="s">
        <v>679</v>
      </c>
      <c r="E567" s="57" t="s">
        <v>24</v>
      </c>
      <c r="F567" s="57" t="s">
        <v>24</v>
      </c>
      <c r="G567" s="57" t="s">
        <v>2279</v>
      </c>
      <c r="H567" s="57" t="s">
        <v>680</v>
      </c>
      <c r="I567" s="57" t="s">
        <v>24</v>
      </c>
      <c r="J567" s="57" t="s">
        <v>24</v>
      </c>
      <c r="K567" s="57" t="s">
        <v>591</v>
      </c>
      <c r="L567" s="31" t="s">
        <v>644</v>
      </c>
      <c r="M567" s="22">
        <v>11</v>
      </c>
      <c r="N567" s="46">
        <v>223</v>
      </c>
      <c r="O567" s="49">
        <f t="shared" si="13"/>
        <v>2453</v>
      </c>
      <c r="P567" s="5" t="s">
        <v>391</v>
      </c>
      <c r="Q567" s="5" t="s">
        <v>766</v>
      </c>
      <c r="R567" s="11" t="s">
        <v>2023</v>
      </c>
      <c r="S567" s="22">
        <v>100</v>
      </c>
    </row>
    <row r="568" spans="1:19" s="13" customFormat="1" ht="51">
      <c r="A568" s="5">
        <v>553</v>
      </c>
      <c r="B568" s="29" t="s">
        <v>710</v>
      </c>
      <c r="C568" s="30" t="s">
        <v>711</v>
      </c>
      <c r="D568" s="5" t="s">
        <v>449</v>
      </c>
      <c r="E568" s="57" t="s">
        <v>2278</v>
      </c>
      <c r="F568" s="57" t="s">
        <v>450</v>
      </c>
      <c r="G568" s="57" t="s">
        <v>2281</v>
      </c>
      <c r="H568" s="57" t="s">
        <v>451</v>
      </c>
      <c r="I568" s="57" t="s">
        <v>2278</v>
      </c>
      <c r="J568" s="57" t="s">
        <v>233</v>
      </c>
      <c r="K568" s="57" t="s">
        <v>591</v>
      </c>
      <c r="L568" s="5" t="s">
        <v>480</v>
      </c>
      <c r="M568" s="22">
        <v>66</v>
      </c>
      <c r="N568" s="46">
        <v>223</v>
      </c>
      <c r="O568" s="49">
        <f t="shared" si="13"/>
        <v>14718</v>
      </c>
      <c r="P568" s="5" t="s">
        <v>391</v>
      </c>
      <c r="Q568" s="5" t="s">
        <v>766</v>
      </c>
      <c r="R568" s="11" t="s">
        <v>2023</v>
      </c>
      <c r="S568" s="22">
        <v>100</v>
      </c>
    </row>
    <row r="569" spans="1:19" s="13" customFormat="1" ht="51">
      <c r="A569" s="5">
        <v>554</v>
      </c>
      <c r="B569" s="29" t="s">
        <v>710</v>
      </c>
      <c r="C569" s="30" t="s">
        <v>711</v>
      </c>
      <c r="D569" s="5" t="s">
        <v>452</v>
      </c>
      <c r="E569" s="57" t="s">
        <v>453</v>
      </c>
      <c r="F569" s="57" t="s">
        <v>454</v>
      </c>
      <c r="G569" s="57" t="s">
        <v>455</v>
      </c>
      <c r="H569" s="57" t="s">
        <v>456</v>
      </c>
      <c r="I569" s="57" t="s">
        <v>453</v>
      </c>
      <c r="J569" s="57" t="s">
        <v>234</v>
      </c>
      <c r="K569" s="57" t="s">
        <v>591</v>
      </c>
      <c r="L569" s="5" t="s">
        <v>480</v>
      </c>
      <c r="M569" s="22">
        <v>66</v>
      </c>
      <c r="N569" s="46">
        <v>179</v>
      </c>
      <c r="O569" s="49">
        <f t="shared" si="13"/>
        <v>11814</v>
      </c>
      <c r="P569" s="5" t="s">
        <v>391</v>
      </c>
      <c r="Q569" s="5" t="s">
        <v>766</v>
      </c>
      <c r="R569" s="11" t="s">
        <v>2023</v>
      </c>
      <c r="S569" s="22">
        <v>100</v>
      </c>
    </row>
    <row r="570" spans="1:19" s="13" customFormat="1" ht="51">
      <c r="A570" s="5">
        <v>555</v>
      </c>
      <c r="B570" s="29" t="s">
        <v>710</v>
      </c>
      <c r="C570" s="30" t="s">
        <v>711</v>
      </c>
      <c r="D570" s="5" t="s">
        <v>457</v>
      </c>
      <c r="E570" s="57" t="s">
        <v>17</v>
      </c>
      <c r="F570" s="57" t="s">
        <v>17</v>
      </c>
      <c r="G570" s="57" t="s">
        <v>2289</v>
      </c>
      <c r="H570" s="57" t="s">
        <v>2290</v>
      </c>
      <c r="I570" s="57" t="s">
        <v>17</v>
      </c>
      <c r="J570" s="57" t="s">
        <v>17</v>
      </c>
      <c r="K570" s="57" t="s">
        <v>591</v>
      </c>
      <c r="L570" s="31" t="s">
        <v>644</v>
      </c>
      <c r="M570" s="22">
        <v>22</v>
      </c>
      <c r="N570" s="46">
        <v>714</v>
      </c>
      <c r="O570" s="49">
        <f t="shared" si="13"/>
        <v>15708</v>
      </c>
      <c r="P570" s="5" t="s">
        <v>391</v>
      </c>
      <c r="Q570" s="5" t="s">
        <v>766</v>
      </c>
      <c r="R570" s="11" t="s">
        <v>2023</v>
      </c>
      <c r="S570" s="22">
        <v>100</v>
      </c>
    </row>
    <row r="571" spans="1:19" s="13" customFormat="1" ht="25.5">
      <c r="A571" s="5">
        <v>556</v>
      </c>
      <c r="B571" s="29" t="s">
        <v>710</v>
      </c>
      <c r="C571" s="30" t="s">
        <v>711</v>
      </c>
      <c r="D571" s="11" t="s">
        <v>459</v>
      </c>
      <c r="E571" s="57" t="s">
        <v>1691</v>
      </c>
      <c r="F571" s="57" t="s">
        <v>460</v>
      </c>
      <c r="G571" s="57" t="s">
        <v>2214</v>
      </c>
      <c r="H571" s="57" t="s">
        <v>2215</v>
      </c>
      <c r="I571" s="57" t="s">
        <v>235</v>
      </c>
      <c r="J571" s="57" t="s">
        <v>235</v>
      </c>
      <c r="K571" s="57" t="s">
        <v>591</v>
      </c>
      <c r="L571" s="31" t="s">
        <v>644</v>
      </c>
      <c r="M571" s="22">
        <v>44</v>
      </c>
      <c r="N571" s="46">
        <v>161</v>
      </c>
      <c r="O571" s="49">
        <f t="shared" si="13"/>
        <v>7084</v>
      </c>
      <c r="P571" s="5" t="s">
        <v>391</v>
      </c>
      <c r="Q571" s="15" t="s">
        <v>1024</v>
      </c>
      <c r="R571" s="11" t="s">
        <v>2023</v>
      </c>
      <c r="S571" s="22">
        <v>100</v>
      </c>
    </row>
    <row r="572" spans="1:19" s="13" customFormat="1" ht="51">
      <c r="A572" s="5">
        <v>557</v>
      </c>
      <c r="B572" s="15" t="s">
        <v>710</v>
      </c>
      <c r="C572" s="30" t="s">
        <v>711</v>
      </c>
      <c r="D572" s="10" t="s">
        <v>683</v>
      </c>
      <c r="E572" s="57" t="s">
        <v>466</v>
      </c>
      <c r="F572" s="57" t="s">
        <v>463</v>
      </c>
      <c r="G572" s="57" t="s">
        <v>845</v>
      </c>
      <c r="H572" s="57" t="s">
        <v>770</v>
      </c>
      <c r="I572" s="57" t="s">
        <v>466</v>
      </c>
      <c r="J572" s="57" t="s">
        <v>463</v>
      </c>
      <c r="K572" s="57" t="s">
        <v>591</v>
      </c>
      <c r="L572" s="31" t="s">
        <v>644</v>
      </c>
      <c r="M572" s="22">
        <v>44</v>
      </c>
      <c r="N572" s="46">
        <v>161</v>
      </c>
      <c r="O572" s="49">
        <f t="shared" si="13"/>
        <v>7084</v>
      </c>
      <c r="P572" s="5" t="s">
        <v>391</v>
      </c>
      <c r="Q572" s="5" t="s">
        <v>766</v>
      </c>
      <c r="R572" s="11" t="s">
        <v>2023</v>
      </c>
      <c r="S572" s="22">
        <v>100</v>
      </c>
    </row>
    <row r="573" spans="1:19" s="13" customFormat="1" ht="25.5">
      <c r="A573" s="5">
        <v>558</v>
      </c>
      <c r="B573" s="29" t="s">
        <v>710</v>
      </c>
      <c r="C573" s="30" t="s">
        <v>711</v>
      </c>
      <c r="D573" s="10" t="s">
        <v>684</v>
      </c>
      <c r="E573" s="57" t="s">
        <v>466</v>
      </c>
      <c r="F573" s="57" t="s">
        <v>25</v>
      </c>
      <c r="G573" s="57" t="s">
        <v>2191</v>
      </c>
      <c r="H573" s="57" t="s">
        <v>685</v>
      </c>
      <c r="I573" s="57" t="s">
        <v>466</v>
      </c>
      <c r="J573" s="57" t="s">
        <v>25</v>
      </c>
      <c r="K573" s="57" t="s">
        <v>591</v>
      </c>
      <c r="L573" s="31" t="s">
        <v>644</v>
      </c>
      <c r="M573" s="22">
        <v>44</v>
      </c>
      <c r="N573" s="46">
        <v>45</v>
      </c>
      <c r="O573" s="49">
        <f t="shared" si="13"/>
        <v>1980</v>
      </c>
      <c r="P573" s="5" t="s">
        <v>391</v>
      </c>
      <c r="Q573" s="15" t="s">
        <v>1024</v>
      </c>
      <c r="R573" s="11" t="s">
        <v>2023</v>
      </c>
      <c r="S573" s="22">
        <v>100</v>
      </c>
    </row>
    <row r="574" spans="1:19" s="13" customFormat="1" ht="25.5">
      <c r="A574" s="5">
        <v>559</v>
      </c>
      <c r="B574" s="15" t="s">
        <v>710</v>
      </c>
      <c r="C574" s="30" t="s">
        <v>711</v>
      </c>
      <c r="D574" s="10" t="s">
        <v>686</v>
      </c>
      <c r="E574" s="57" t="s">
        <v>2304</v>
      </c>
      <c r="F574" s="57" t="s">
        <v>26</v>
      </c>
      <c r="G574" s="57" t="s">
        <v>2305</v>
      </c>
      <c r="H574" s="57" t="s">
        <v>687</v>
      </c>
      <c r="I574" s="57" t="s">
        <v>2304</v>
      </c>
      <c r="J574" s="57" t="s">
        <v>26</v>
      </c>
      <c r="K574" s="57" t="s">
        <v>591</v>
      </c>
      <c r="L574" s="11" t="s">
        <v>909</v>
      </c>
      <c r="M574" s="22">
        <v>22</v>
      </c>
      <c r="N574" s="46">
        <v>134</v>
      </c>
      <c r="O574" s="49">
        <f t="shared" si="13"/>
        <v>2948</v>
      </c>
      <c r="P574" s="5" t="s">
        <v>391</v>
      </c>
      <c r="Q574" s="15" t="s">
        <v>1024</v>
      </c>
      <c r="R574" s="11" t="s">
        <v>2023</v>
      </c>
      <c r="S574" s="22">
        <v>100</v>
      </c>
    </row>
    <row r="575" spans="1:19" s="13" customFormat="1" ht="127.5">
      <c r="A575" s="5">
        <v>560</v>
      </c>
      <c r="B575" s="29" t="s">
        <v>710</v>
      </c>
      <c r="C575" s="30" t="s">
        <v>711</v>
      </c>
      <c r="D575" s="5" t="s">
        <v>470</v>
      </c>
      <c r="E575" s="57" t="s">
        <v>27</v>
      </c>
      <c r="F575" s="57" t="s">
        <v>27</v>
      </c>
      <c r="G575" s="57" t="s">
        <v>471</v>
      </c>
      <c r="H575" s="57" t="s">
        <v>472</v>
      </c>
      <c r="I575" s="57" t="s">
        <v>27</v>
      </c>
      <c r="J575" s="57" t="s">
        <v>27</v>
      </c>
      <c r="K575" s="57" t="s">
        <v>591</v>
      </c>
      <c r="L575" s="31" t="s">
        <v>644</v>
      </c>
      <c r="M575" s="22">
        <v>2</v>
      </c>
      <c r="N575" s="46">
        <v>2679</v>
      </c>
      <c r="O575" s="49">
        <f t="shared" si="13"/>
        <v>5358</v>
      </c>
      <c r="P575" s="5" t="s">
        <v>391</v>
      </c>
      <c r="Q575" s="15" t="s">
        <v>1024</v>
      </c>
      <c r="R575" s="11" t="s">
        <v>2023</v>
      </c>
      <c r="S575" s="22">
        <v>100</v>
      </c>
    </row>
    <row r="576" spans="1:19" s="13" customFormat="1" ht="25.5">
      <c r="A576" s="5">
        <v>561</v>
      </c>
      <c r="B576" s="29" t="s">
        <v>710</v>
      </c>
      <c r="C576" s="30" t="s">
        <v>711</v>
      </c>
      <c r="D576" s="10" t="s">
        <v>688</v>
      </c>
      <c r="E576" s="57" t="s">
        <v>846</v>
      </c>
      <c r="F576" s="57" t="s">
        <v>846</v>
      </c>
      <c r="G576" s="57" t="s">
        <v>771</v>
      </c>
      <c r="H576" s="57" t="s">
        <v>771</v>
      </c>
      <c r="I576" s="57" t="s">
        <v>846</v>
      </c>
      <c r="J576" s="57" t="s">
        <v>236</v>
      </c>
      <c r="K576" s="57" t="s">
        <v>591</v>
      </c>
      <c r="L576" s="31" t="s">
        <v>644</v>
      </c>
      <c r="M576" s="22">
        <v>264</v>
      </c>
      <c r="N576" s="46">
        <v>45</v>
      </c>
      <c r="O576" s="49">
        <f t="shared" si="13"/>
        <v>11880</v>
      </c>
      <c r="P576" s="5" t="s">
        <v>391</v>
      </c>
      <c r="Q576" s="15" t="s">
        <v>1024</v>
      </c>
      <c r="R576" s="11" t="s">
        <v>2023</v>
      </c>
      <c r="S576" s="22">
        <v>100</v>
      </c>
    </row>
    <row r="577" spans="1:19" s="13" customFormat="1" ht="38.25">
      <c r="A577" s="5">
        <v>562</v>
      </c>
      <c r="B577" s="29" t="s">
        <v>710</v>
      </c>
      <c r="C577" s="30" t="s">
        <v>711</v>
      </c>
      <c r="D577" s="5" t="s">
        <v>476</v>
      </c>
      <c r="E577" s="57" t="s">
        <v>477</v>
      </c>
      <c r="F577" s="57" t="s">
        <v>28</v>
      </c>
      <c r="G577" s="57" t="s">
        <v>478</v>
      </c>
      <c r="H577" s="57" t="s">
        <v>479</v>
      </c>
      <c r="I577" s="57" t="s">
        <v>477</v>
      </c>
      <c r="J577" s="57" t="s">
        <v>28</v>
      </c>
      <c r="K577" s="57" t="s">
        <v>591</v>
      </c>
      <c r="L577" s="31" t="s">
        <v>644</v>
      </c>
      <c r="M577" s="22">
        <v>11</v>
      </c>
      <c r="N577" s="46">
        <v>759</v>
      </c>
      <c r="O577" s="49">
        <f t="shared" si="13"/>
        <v>8349</v>
      </c>
      <c r="P577" s="5" t="s">
        <v>391</v>
      </c>
      <c r="Q577" s="15" t="s">
        <v>1024</v>
      </c>
      <c r="R577" s="11" t="s">
        <v>2023</v>
      </c>
      <c r="S577" s="22">
        <v>100</v>
      </c>
    </row>
    <row r="578" spans="1:19" s="13" customFormat="1" ht="25.5">
      <c r="A578" s="5">
        <v>563</v>
      </c>
      <c r="B578" s="29" t="s">
        <v>710</v>
      </c>
      <c r="C578" s="30" t="s">
        <v>711</v>
      </c>
      <c r="D578" s="10" t="s">
        <v>690</v>
      </c>
      <c r="E578" s="57" t="s">
        <v>2183</v>
      </c>
      <c r="F578" s="57" t="s">
        <v>29</v>
      </c>
      <c r="G578" s="57" t="s">
        <v>847</v>
      </c>
      <c r="H578" s="57" t="s">
        <v>772</v>
      </c>
      <c r="I578" s="57" t="s">
        <v>2183</v>
      </c>
      <c r="J578" s="57" t="s">
        <v>29</v>
      </c>
      <c r="K578" s="57" t="s">
        <v>591</v>
      </c>
      <c r="L578" s="5" t="s">
        <v>480</v>
      </c>
      <c r="M578" s="22">
        <v>132</v>
      </c>
      <c r="N578" s="46">
        <v>27</v>
      </c>
      <c r="O578" s="49">
        <f t="shared" si="13"/>
        <v>3564</v>
      </c>
      <c r="P578" s="5" t="s">
        <v>391</v>
      </c>
      <c r="Q578" s="15" t="s">
        <v>1024</v>
      </c>
      <c r="R578" s="11" t="s">
        <v>2023</v>
      </c>
      <c r="S578" s="22">
        <v>100</v>
      </c>
    </row>
    <row r="579" spans="1:19" s="13" customFormat="1" ht="51">
      <c r="A579" s="5">
        <v>564</v>
      </c>
      <c r="B579" s="29" t="s">
        <v>710</v>
      </c>
      <c r="C579" s="30" t="s">
        <v>711</v>
      </c>
      <c r="D579" s="31" t="s">
        <v>691</v>
      </c>
      <c r="E579" s="57" t="s">
        <v>119</v>
      </c>
      <c r="F579" s="57" t="s">
        <v>119</v>
      </c>
      <c r="G579" s="57" t="s">
        <v>848</v>
      </c>
      <c r="H579" s="57" t="s">
        <v>692</v>
      </c>
      <c r="I579" s="57" t="s">
        <v>119</v>
      </c>
      <c r="J579" s="57" t="s">
        <v>119</v>
      </c>
      <c r="K579" s="57" t="s">
        <v>591</v>
      </c>
      <c r="L579" s="31" t="s">
        <v>644</v>
      </c>
      <c r="M579" s="22">
        <v>66</v>
      </c>
      <c r="N579" s="46">
        <v>103</v>
      </c>
      <c r="O579" s="49">
        <f t="shared" si="13"/>
        <v>6798</v>
      </c>
      <c r="P579" s="5" t="s">
        <v>391</v>
      </c>
      <c r="Q579" s="15" t="s">
        <v>1024</v>
      </c>
      <c r="R579" s="11" t="s">
        <v>2023</v>
      </c>
      <c r="S579" s="22">
        <v>100</v>
      </c>
    </row>
    <row r="580" spans="1:19" ht="51">
      <c r="A580" s="5">
        <v>565</v>
      </c>
      <c r="B580" s="29" t="s">
        <v>710</v>
      </c>
      <c r="C580" s="30" t="s">
        <v>711</v>
      </c>
      <c r="D580" s="33" t="s">
        <v>422</v>
      </c>
      <c r="E580" s="57" t="s">
        <v>423</v>
      </c>
      <c r="F580" s="57" t="s">
        <v>424</v>
      </c>
      <c r="G580" s="57" t="s">
        <v>837</v>
      </c>
      <c r="H580" s="57" t="s">
        <v>425</v>
      </c>
      <c r="I580" s="57" t="s">
        <v>2303</v>
      </c>
      <c r="J580" s="57" t="s">
        <v>230</v>
      </c>
      <c r="K580" s="57" t="s">
        <v>591</v>
      </c>
      <c r="L580" s="11" t="s">
        <v>909</v>
      </c>
      <c r="M580" s="22">
        <v>288</v>
      </c>
      <c r="N580" s="46">
        <v>670</v>
      </c>
      <c r="O580" s="49">
        <f t="shared" si="13"/>
        <v>192960</v>
      </c>
      <c r="P580" s="5" t="s">
        <v>515</v>
      </c>
      <c r="Q580" s="5" t="s">
        <v>766</v>
      </c>
      <c r="R580" s="11" t="s">
        <v>633</v>
      </c>
      <c r="S580" s="22">
        <v>0</v>
      </c>
    </row>
    <row r="581" spans="1:19" ht="63.75">
      <c r="A581" s="5">
        <v>566</v>
      </c>
      <c r="B581" s="29" t="s">
        <v>710</v>
      </c>
      <c r="C581" s="30" t="s">
        <v>711</v>
      </c>
      <c r="D581" s="31" t="s">
        <v>426</v>
      </c>
      <c r="E581" s="57" t="s">
        <v>838</v>
      </c>
      <c r="F581" s="57" t="s">
        <v>19</v>
      </c>
      <c r="G581" s="57" t="s">
        <v>839</v>
      </c>
      <c r="H581" s="57" t="s">
        <v>428</v>
      </c>
      <c r="I581" s="57" t="s">
        <v>838</v>
      </c>
      <c r="J581" s="57" t="s">
        <v>19</v>
      </c>
      <c r="K581" s="57" t="s">
        <v>591</v>
      </c>
      <c r="L581" s="5" t="s">
        <v>669</v>
      </c>
      <c r="M581" s="22">
        <v>24</v>
      </c>
      <c r="N581" s="46">
        <v>313</v>
      </c>
      <c r="O581" s="49">
        <f t="shared" si="13"/>
        <v>7512</v>
      </c>
      <c r="P581" s="5" t="s">
        <v>393</v>
      </c>
      <c r="Q581" s="5" t="s">
        <v>766</v>
      </c>
      <c r="R581" s="11" t="s">
        <v>633</v>
      </c>
      <c r="S581" s="22">
        <v>0</v>
      </c>
    </row>
    <row r="582" spans="1:19" ht="51">
      <c r="A582" s="5">
        <v>567</v>
      </c>
      <c r="B582" s="29" t="s">
        <v>710</v>
      </c>
      <c r="C582" s="30" t="s">
        <v>711</v>
      </c>
      <c r="D582" s="10" t="s">
        <v>429</v>
      </c>
      <c r="E582" s="57" t="s">
        <v>840</v>
      </c>
      <c r="F582" s="57" t="s">
        <v>430</v>
      </c>
      <c r="G582" s="57" t="s">
        <v>841</v>
      </c>
      <c r="H582" s="57" t="s">
        <v>431</v>
      </c>
      <c r="I582" s="57" t="s">
        <v>840</v>
      </c>
      <c r="J582" s="57" t="s">
        <v>231</v>
      </c>
      <c r="K582" s="57" t="s">
        <v>591</v>
      </c>
      <c r="L582" s="11" t="s">
        <v>909</v>
      </c>
      <c r="M582" s="22">
        <v>48</v>
      </c>
      <c r="N582" s="46">
        <v>223</v>
      </c>
      <c r="O582" s="49">
        <f t="shared" si="13"/>
        <v>10704</v>
      </c>
      <c r="P582" s="5" t="s">
        <v>393</v>
      </c>
      <c r="Q582" s="5" t="s">
        <v>766</v>
      </c>
      <c r="R582" s="11" t="s">
        <v>633</v>
      </c>
      <c r="S582" s="22">
        <v>0</v>
      </c>
    </row>
    <row r="583" spans="1:19" ht="51">
      <c r="A583" s="5">
        <v>568</v>
      </c>
      <c r="B583" s="29" t="s">
        <v>710</v>
      </c>
      <c r="C583" s="30" t="s">
        <v>711</v>
      </c>
      <c r="D583" s="11" t="s">
        <v>894</v>
      </c>
      <c r="E583" s="57" t="s">
        <v>767</v>
      </c>
      <c r="F583" s="57" t="s">
        <v>18</v>
      </c>
      <c r="G583" s="57" t="s">
        <v>2180</v>
      </c>
      <c r="H583" s="57" t="s">
        <v>670</v>
      </c>
      <c r="I583" s="57" t="s">
        <v>767</v>
      </c>
      <c r="J583" s="57" t="s">
        <v>18</v>
      </c>
      <c r="K583" s="57" t="s">
        <v>591</v>
      </c>
      <c r="L583" s="5" t="s">
        <v>480</v>
      </c>
      <c r="M583" s="22">
        <v>48</v>
      </c>
      <c r="N583" s="46">
        <v>179</v>
      </c>
      <c r="O583" s="49">
        <f t="shared" si="13"/>
        <v>8592</v>
      </c>
      <c r="P583" s="5" t="s">
        <v>393</v>
      </c>
      <c r="Q583" s="5" t="s">
        <v>766</v>
      </c>
      <c r="R583" s="11" t="s">
        <v>633</v>
      </c>
      <c r="S583" s="22">
        <v>0</v>
      </c>
    </row>
    <row r="584" spans="1:19" ht="51">
      <c r="A584" s="5">
        <v>569</v>
      </c>
      <c r="B584" s="15" t="s">
        <v>710</v>
      </c>
      <c r="C584" s="30" t="s">
        <v>711</v>
      </c>
      <c r="D584" s="5" t="s">
        <v>671</v>
      </c>
      <c r="E584" s="57" t="s">
        <v>20</v>
      </c>
      <c r="F584" s="57" t="s">
        <v>20</v>
      </c>
      <c r="G584" s="57" t="s">
        <v>2228</v>
      </c>
      <c r="H584" s="57" t="s">
        <v>672</v>
      </c>
      <c r="I584" s="57" t="s">
        <v>20</v>
      </c>
      <c r="J584" s="57" t="s">
        <v>20</v>
      </c>
      <c r="K584" s="57" t="s">
        <v>591</v>
      </c>
      <c r="L584" s="31" t="s">
        <v>644</v>
      </c>
      <c r="M584" s="22">
        <v>48</v>
      </c>
      <c r="N584" s="46">
        <v>107</v>
      </c>
      <c r="O584" s="49">
        <f t="shared" si="13"/>
        <v>5136</v>
      </c>
      <c r="P584" s="5" t="s">
        <v>393</v>
      </c>
      <c r="Q584" s="5" t="s">
        <v>766</v>
      </c>
      <c r="R584" s="11" t="s">
        <v>633</v>
      </c>
      <c r="S584" s="22">
        <v>0</v>
      </c>
    </row>
    <row r="585" spans="1:19" ht="51">
      <c r="A585" s="5">
        <v>570</v>
      </c>
      <c r="B585" s="29" t="s">
        <v>710</v>
      </c>
      <c r="C585" s="30" t="s">
        <v>711</v>
      </c>
      <c r="D585" s="10" t="s">
        <v>673</v>
      </c>
      <c r="E585" s="57" t="s">
        <v>21</v>
      </c>
      <c r="F585" s="57" t="s">
        <v>21</v>
      </c>
      <c r="G585" s="57" t="s">
        <v>2246</v>
      </c>
      <c r="H585" s="57" t="s">
        <v>674</v>
      </c>
      <c r="I585" s="57" t="s">
        <v>21</v>
      </c>
      <c r="J585" s="57" t="s">
        <v>21</v>
      </c>
      <c r="K585" s="57" t="s">
        <v>591</v>
      </c>
      <c r="L585" s="31" t="s">
        <v>644</v>
      </c>
      <c r="M585" s="22">
        <v>12</v>
      </c>
      <c r="N585" s="46">
        <v>1339</v>
      </c>
      <c r="O585" s="49">
        <f t="shared" si="13"/>
        <v>16068</v>
      </c>
      <c r="P585" s="5" t="s">
        <v>393</v>
      </c>
      <c r="Q585" s="5" t="s">
        <v>766</v>
      </c>
      <c r="R585" s="11" t="s">
        <v>633</v>
      </c>
      <c r="S585" s="22">
        <v>0</v>
      </c>
    </row>
    <row r="586" spans="1:19" ht="63.75">
      <c r="A586" s="5">
        <v>571</v>
      </c>
      <c r="B586" s="15" t="s">
        <v>710</v>
      </c>
      <c r="C586" s="30" t="s">
        <v>711</v>
      </c>
      <c r="D586" s="10" t="s">
        <v>675</v>
      </c>
      <c r="E586" s="57" t="s">
        <v>2077</v>
      </c>
      <c r="F586" s="57" t="s">
        <v>22</v>
      </c>
      <c r="G586" s="57" t="s">
        <v>843</v>
      </c>
      <c r="H586" s="57" t="s">
        <v>769</v>
      </c>
      <c r="I586" s="57" t="s">
        <v>2077</v>
      </c>
      <c r="J586" s="57" t="s">
        <v>22</v>
      </c>
      <c r="K586" s="57" t="s">
        <v>591</v>
      </c>
      <c r="L586" s="5" t="s">
        <v>480</v>
      </c>
      <c r="M586" s="22">
        <v>288</v>
      </c>
      <c r="N586" s="46">
        <v>13</v>
      </c>
      <c r="O586" s="49">
        <f t="shared" si="13"/>
        <v>3744</v>
      </c>
      <c r="P586" s="5" t="s">
        <v>393</v>
      </c>
      <c r="Q586" s="5" t="s">
        <v>766</v>
      </c>
      <c r="R586" s="11" t="s">
        <v>633</v>
      </c>
      <c r="S586" s="22">
        <v>0</v>
      </c>
    </row>
    <row r="587" spans="1:19" ht="51">
      <c r="A587" s="5">
        <v>572</v>
      </c>
      <c r="B587" s="29" t="s">
        <v>710</v>
      </c>
      <c r="C587" s="30" t="s">
        <v>711</v>
      </c>
      <c r="D587" s="5" t="s">
        <v>443</v>
      </c>
      <c r="E587" s="57" t="s">
        <v>444</v>
      </c>
      <c r="F587" s="57" t="s">
        <v>444</v>
      </c>
      <c r="G587" s="57" t="s">
        <v>445</v>
      </c>
      <c r="H587" s="57" t="s">
        <v>446</v>
      </c>
      <c r="I587" s="57" t="s">
        <v>232</v>
      </c>
      <c r="J587" s="57" t="s">
        <v>232</v>
      </c>
      <c r="K587" s="57" t="s">
        <v>591</v>
      </c>
      <c r="L587" s="31" t="s">
        <v>644</v>
      </c>
      <c r="M587" s="22">
        <v>72</v>
      </c>
      <c r="N587" s="46">
        <v>446</v>
      </c>
      <c r="O587" s="49">
        <f t="shared" si="13"/>
        <v>32112</v>
      </c>
      <c r="P587" s="5" t="s">
        <v>393</v>
      </c>
      <c r="Q587" s="5" t="s">
        <v>766</v>
      </c>
      <c r="R587" s="11" t="s">
        <v>633</v>
      </c>
      <c r="S587" s="22">
        <v>0</v>
      </c>
    </row>
    <row r="588" spans="1:19" ht="51">
      <c r="A588" s="5">
        <v>573</v>
      </c>
      <c r="B588" s="29" t="s">
        <v>710</v>
      </c>
      <c r="C588" s="30" t="s">
        <v>711</v>
      </c>
      <c r="D588" s="10" t="s">
        <v>677</v>
      </c>
      <c r="E588" s="57" t="s">
        <v>2276</v>
      </c>
      <c r="F588" s="57" t="s">
        <v>23</v>
      </c>
      <c r="G588" s="57" t="s">
        <v>844</v>
      </c>
      <c r="H588" s="57" t="s">
        <v>678</v>
      </c>
      <c r="I588" s="57" t="s">
        <v>2276</v>
      </c>
      <c r="J588" s="57" t="s">
        <v>23</v>
      </c>
      <c r="K588" s="57" t="s">
        <v>591</v>
      </c>
      <c r="L588" s="31" t="s">
        <v>644</v>
      </c>
      <c r="M588" s="22">
        <v>72</v>
      </c>
      <c r="N588" s="46">
        <v>268</v>
      </c>
      <c r="O588" s="49">
        <f t="shared" si="13"/>
        <v>19296</v>
      </c>
      <c r="P588" s="5" t="s">
        <v>393</v>
      </c>
      <c r="Q588" s="5" t="s">
        <v>766</v>
      </c>
      <c r="R588" s="11" t="s">
        <v>633</v>
      </c>
      <c r="S588" s="22">
        <v>0</v>
      </c>
    </row>
    <row r="589" spans="1:19" ht="51">
      <c r="A589" s="5">
        <v>574</v>
      </c>
      <c r="B589" s="29" t="s">
        <v>710</v>
      </c>
      <c r="C589" s="30" t="s">
        <v>711</v>
      </c>
      <c r="D589" s="10" t="s">
        <v>679</v>
      </c>
      <c r="E589" s="57" t="s">
        <v>24</v>
      </c>
      <c r="F589" s="57" t="s">
        <v>24</v>
      </c>
      <c r="G589" s="57" t="s">
        <v>2279</v>
      </c>
      <c r="H589" s="57" t="s">
        <v>680</v>
      </c>
      <c r="I589" s="57" t="s">
        <v>24</v>
      </c>
      <c r="J589" s="57" t="s">
        <v>24</v>
      </c>
      <c r="K589" s="57" t="s">
        <v>591</v>
      </c>
      <c r="L589" s="31" t="s">
        <v>644</v>
      </c>
      <c r="M589" s="22">
        <v>12</v>
      </c>
      <c r="N589" s="46">
        <v>223</v>
      </c>
      <c r="O589" s="49">
        <f t="shared" si="13"/>
        <v>2676</v>
      </c>
      <c r="P589" s="5" t="s">
        <v>393</v>
      </c>
      <c r="Q589" s="5" t="s">
        <v>766</v>
      </c>
      <c r="R589" s="11" t="s">
        <v>633</v>
      </c>
      <c r="S589" s="22">
        <v>0</v>
      </c>
    </row>
    <row r="590" spans="1:19" ht="51">
      <c r="A590" s="5">
        <v>575</v>
      </c>
      <c r="B590" s="29" t="s">
        <v>710</v>
      </c>
      <c r="C590" s="30" t="s">
        <v>711</v>
      </c>
      <c r="D590" s="5" t="s">
        <v>449</v>
      </c>
      <c r="E590" s="57" t="s">
        <v>2278</v>
      </c>
      <c r="F590" s="57" t="s">
        <v>450</v>
      </c>
      <c r="G590" s="57" t="s">
        <v>2281</v>
      </c>
      <c r="H590" s="57" t="s">
        <v>451</v>
      </c>
      <c r="I590" s="57" t="s">
        <v>2278</v>
      </c>
      <c r="J590" s="57" t="s">
        <v>233</v>
      </c>
      <c r="K590" s="57" t="s">
        <v>591</v>
      </c>
      <c r="L590" s="5" t="s">
        <v>480</v>
      </c>
      <c r="M590" s="22">
        <v>72</v>
      </c>
      <c r="N590" s="46">
        <v>223</v>
      </c>
      <c r="O590" s="49">
        <f t="shared" si="13"/>
        <v>16056</v>
      </c>
      <c r="P590" s="5" t="s">
        <v>393</v>
      </c>
      <c r="Q590" s="5" t="s">
        <v>766</v>
      </c>
      <c r="R590" s="11" t="s">
        <v>633</v>
      </c>
      <c r="S590" s="22">
        <v>0</v>
      </c>
    </row>
    <row r="591" spans="1:19" ht="51">
      <c r="A591" s="5">
        <v>576</v>
      </c>
      <c r="B591" s="29" t="s">
        <v>710</v>
      </c>
      <c r="C591" s="30" t="s">
        <v>711</v>
      </c>
      <c r="D591" s="5" t="s">
        <v>452</v>
      </c>
      <c r="E591" s="57" t="s">
        <v>453</v>
      </c>
      <c r="F591" s="57" t="s">
        <v>454</v>
      </c>
      <c r="G591" s="57" t="s">
        <v>455</v>
      </c>
      <c r="H591" s="57" t="s">
        <v>456</v>
      </c>
      <c r="I591" s="57" t="s">
        <v>453</v>
      </c>
      <c r="J591" s="57" t="s">
        <v>234</v>
      </c>
      <c r="K591" s="57" t="s">
        <v>591</v>
      </c>
      <c r="L591" s="5" t="s">
        <v>480</v>
      </c>
      <c r="M591" s="22">
        <v>72</v>
      </c>
      <c r="N591" s="46">
        <v>179</v>
      </c>
      <c r="O591" s="49">
        <f t="shared" si="13"/>
        <v>12888</v>
      </c>
      <c r="P591" s="5" t="s">
        <v>393</v>
      </c>
      <c r="Q591" s="5" t="s">
        <v>766</v>
      </c>
      <c r="R591" s="11" t="s">
        <v>633</v>
      </c>
      <c r="S591" s="22">
        <v>0</v>
      </c>
    </row>
    <row r="592" spans="1:19" ht="51">
      <c r="A592" s="5">
        <v>577</v>
      </c>
      <c r="B592" s="29" t="s">
        <v>710</v>
      </c>
      <c r="C592" s="30" t="s">
        <v>711</v>
      </c>
      <c r="D592" s="5" t="s">
        <v>457</v>
      </c>
      <c r="E592" s="57" t="s">
        <v>17</v>
      </c>
      <c r="F592" s="57" t="s">
        <v>17</v>
      </c>
      <c r="G592" s="57" t="s">
        <v>2289</v>
      </c>
      <c r="H592" s="57" t="s">
        <v>2290</v>
      </c>
      <c r="I592" s="57" t="s">
        <v>17</v>
      </c>
      <c r="J592" s="57" t="s">
        <v>17</v>
      </c>
      <c r="K592" s="57" t="s">
        <v>591</v>
      </c>
      <c r="L592" s="31" t="s">
        <v>644</v>
      </c>
      <c r="M592" s="22">
        <v>24</v>
      </c>
      <c r="N592" s="46">
        <v>714</v>
      </c>
      <c r="O592" s="49">
        <f t="shared" si="13"/>
        <v>17136</v>
      </c>
      <c r="P592" s="5" t="s">
        <v>393</v>
      </c>
      <c r="Q592" s="5" t="s">
        <v>766</v>
      </c>
      <c r="R592" s="11" t="s">
        <v>633</v>
      </c>
      <c r="S592" s="22">
        <v>0</v>
      </c>
    </row>
    <row r="593" spans="1:19" ht="51">
      <c r="A593" s="5">
        <v>578</v>
      </c>
      <c r="B593" s="29" t="s">
        <v>710</v>
      </c>
      <c r="C593" s="30" t="s">
        <v>711</v>
      </c>
      <c r="D593" s="11" t="s">
        <v>459</v>
      </c>
      <c r="E593" s="57" t="s">
        <v>1691</v>
      </c>
      <c r="F593" s="57" t="s">
        <v>460</v>
      </c>
      <c r="G593" s="57" t="s">
        <v>2214</v>
      </c>
      <c r="H593" s="57" t="s">
        <v>2215</v>
      </c>
      <c r="I593" s="57" t="s">
        <v>235</v>
      </c>
      <c r="J593" s="57" t="s">
        <v>235</v>
      </c>
      <c r="K593" s="57" t="s">
        <v>591</v>
      </c>
      <c r="L593" s="31" t="s">
        <v>644</v>
      </c>
      <c r="M593" s="22">
        <v>48</v>
      </c>
      <c r="N593" s="46">
        <v>161</v>
      </c>
      <c r="O593" s="49">
        <f t="shared" si="13"/>
        <v>7728</v>
      </c>
      <c r="P593" s="5" t="s">
        <v>393</v>
      </c>
      <c r="Q593" s="5" t="s">
        <v>766</v>
      </c>
      <c r="R593" s="11" t="s">
        <v>633</v>
      </c>
      <c r="S593" s="22">
        <v>0</v>
      </c>
    </row>
    <row r="594" spans="1:19" ht="51">
      <c r="A594" s="5">
        <v>579</v>
      </c>
      <c r="B594" s="15" t="s">
        <v>710</v>
      </c>
      <c r="C594" s="30" t="s">
        <v>711</v>
      </c>
      <c r="D594" s="10" t="s">
        <v>683</v>
      </c>
      <c r="E594" s="57" t="s">
        <v>466</v>
      </c>
      <c r="F594" s="57" t="s">
        <v>463</v>
      </c>
      <c r="G594" s="57" t="s">
        <v>845</v>
      </c>
      <c r="H594" s="57" t="s">
        <v>770</v>
      </c>
      <c r="I594" s="57" t="s">
        <v>466</v>
      </c>
      <c r="J594" s="57" t="s">
        <v>463</v>
      </c>
      <c r="K594" s="57" t="s">
        <v>591</v>
      </c>
      <c r="L594" s="31" t="s">
        <v>644</v>
      </c>
      <c r="M594" s="22">
        <v>48</v>
      </c>
      <c r="N594" s="46">
        <v>161</v>
      </c>
      <c r="O594" s="49">
        <f t="shared" si="13"/>
        <v>7728</v>
      </c>
      <c r="P594" s="5" t="s">
        <v>393</v>
      </c>
      <c r="Q594" s="5" t="s">
        <v>766</v>
      </c>
      <c r="R594" s="11" t="s">
        <v>633</v>
      </c>
      <c r="S594" s="22">
        <v>0</v>
      </c>
    </row>
    <row r="595" spans="1:19" ht="51">
      <c r="A595" s="5">
        <v>580</v>
      </c>
      <c r="B595" s="29" t="s">
        <v>710</v>
      </c>
      <c r="C595" s="30" t="s">
        <v>711</v>
      </c>
      <c r="D595" s="10" t="s">
        <v>684</v>
      </c>
      <c r="E595" s="57" t="s">
        <v>466</v>
      </c>
      <c r="F595" s="57" t="s">
        <v>25</v>
      </c>
      <c r="G595" s="57" t="s">
        <v>2191</v>
      </c>
      <c r="H595" s="57" t="s">
        <v>685</v>
      </c>
      <c r="I595" s="57" t="s">
        <v>466</v>
      </c>
      <c r="J595" s="57" t="s">
        <v>25</v>
      </c>
      <c r="K595" s="57" t="s">
        <v>591</v>
      </c>
      <c r="L595" s="31" t="s">
        <v>644</v>
      </c>
      <c r="M595" s="22">
        <v>48</v>
      </c>
      <c r="N595" s="46">
        <v>45</v>
      </c>
      <c r="O595" s="49">
        <f t="shared" si="13"/>
        <v>2160</v>
      </c>
      <c r="P595" s="5" t="s">
        <v>393</v>
      </c>
      <c r="Q595" s="5" t="s">
        <v>766</v>
      </c>
      <c r="R595" s="11" t="s">
        <v>633</v>
      </c>
      <c r="S595" s="22">
        <v>0</v>
      </c>
    </row>
    <row r="596" spans="1:19" ht="51">
      <c r="A596" s="5">
        <v>581</v>
      </c>
      <c r="B596" s="15" t="s">
        <v>710</v>
      </c>
      <c r="C596" s="30" t="s">
        <v>711</v>
      </c>
      <c r="D596" s="10" t="s">
        <v>686</v>
      </c>
      <c r="E596" s="57" t="s">
        <v>2304</v>
      </c>
      <c r="F596" s="57" t="s">
        <v>26</v>
      </c>
      <c r="G596" s="57" t="s">
        <v>2305</v>
      </c>
      <c r="H596" s="57" t="s">
        <v>687</v>
      </c>
      <c r="I596" s="57" t="s">
        <v>2304</v>
      </c>
      <c r="J596" s="57" t="s">
        <v>26</v>
      </c>
      <c r="K596" s="57" t="s">
        <v>591</v>
      </c>
      <c r="L596" s="11" t="s">
        <v>909</v>
      </c>
      <c r="M596" s="22">
        <v>24</v>
      </c>
      <c r="N596" s="46">
        <v>134</v>
      </c>
      <c r="O596" s="49">
        <f t="shared" si="13"/>
        <v>3216</v>
      </c>
      <c r="P596" s="5" t="s">
        <v>393</v>
      </c>
      <c r="Q596" s="5" t="s">
        <v>766</v>
      </c>
      <c r="R596" s="11" t="s">
        <v>633</v>
      </c>
      <c r="S596" s="22">
        <v>0</v>
      </c>
    </row>
    <row r="597" spans="1:19" ht="127.5">
      <c r="A597" s="5">
        <v>582</v>
      </c>
      <c r="B597" s="29" t="s">
        <v>710</v>
      </c>
      <c r="C597" s="30" t="s">
        <v>711</v>
      </c>
      <c r="D597" s="5" t="s">
        <v>470</v>
      </c>
      <c r="E597" s="57" t="s">
        <v>27</v>
      </c>
      <c r="F597" s="57" t="s">
        <v>27</v>
      </c>
      <c r="G597" s="57" t="s">
        <v>471</v>
      </c>
      <c r="H597" s="57" t="s">
        <v>472</v>
      </c>
      <c r="I597" s="57" t="s">
        <v>27</v>
      </c>
      <c r="J597" s="57" t="s">
        <v>27</v>
      </c>
      <c r="K597" s="57" t="s">
        <v>591</v>
      </c>
      <c r="L597" s="31" t="s">
        <v>644</v>
      </c>
      <c r="M597" s="22">
        <v>2</v>
      </c>
      <c r="N597" s="46">
        <v>2679</v>
      </c>
      <c r="O597" s="49">
        <f t="shared" si="13"/>
        <v>5358</v>
      </c>
      <c r="P597" s="5" t="s">
        <v>393</v>
      </c>
      <c r="Q597" s="5" t="s">
        <v>766</v>
      </c>
      <c r="R597" s="11" t="s">
        <v>633</v>
      </c>
      <c r="S597" s="22">
        <v>0</v>
      </c>
    </row>
    <row r="598" spans="1:19" ht="51">
      <c r="A598" s="5">
        <v>583</v>
      </c>
      <c r="B598" s="29" t="s">
        <v>710</v>
      </c>
      <c r="C598" s="30" t="s">
        <v>711</v>
      </c>
      <c r="D598" s="5" t="s">
        <v>688</v>
      </c>
      <c r="E598" s="57" t="s">
        <v>846</v>
      </c>
      <c r="F598" s="57" t="s">
        <v>474</v>
      </c>
      <c r="G598" s="57" t="s">
        <v>689</v>
      </c>
      <c r="H598" s="57" t="s">
        <v>689</v>
      </c>
      <c r="I598" s="57" t="s">
        <v>846</v>
      </c>
      <c r="J598" s="57" t="s">
        <v>236</v>
      </c>
      <c r="K598" s="57" t="s">
        <v>591</v>
      </c>
      <c r="L598" s="31" t="s">
        <v>644</v>
      </c>
      <c r="M598" s="22">
        <v>288</v>
      </c>
      <c r="N598" s="46">
        <v>45</v>
      </c>
      <c r="O598" s="49">
        <f t="shared" si="13"/>
        <v>12960</v>
      </c>
      <c r="P598" s="5" t="s">
        <v>393</v>
      </c>
      <c r="Q598" s="5" t="s">
        <v>766</v>
      </c>
      <c r="R598" s="11" t="s">
        <v>633</v>
      </c>
      <c r="S598" s="22">
        <v>0</v>
      </c>
    </row>
    <row r="599" spans="1:19" ht="51">
      <c r="A599" s="5">
        <v>584</v>
      </c>
      <c r="B599" s="29" t="s">
        <v>710</v>
      </c>
      <c r="C599" s="30" t="s">
        <v>711</v>
      </c>
      <c r="D599" s="5" t="s">
        <v>476</v>
      </c>
      <c r="E599" s="57" t="s">
        <v>477</v>
      </c>
      <c r="F599" s="57" t="s">
        <v>28</v>
      </c>
      <c r="G599" s="57" t="s">
        <v>478</v>
      </c>
      <c r="H599" s="57" t="s">
        <v>479</v>
      </c>
      <c r="I599" s="57" t="s">
        <v>477</v>
      </c>
      <c r="J599" s="57" t="s">
        <v>28</v>
      </c>
      <c r="K599" s="57" t="s">
        <v>591</v>
      </c>
      <c r="L599" s="31" t="s">
        <v>644</v>
      </c>
      <c r="M599" s="22">
        <v>12</v>
      </c>
      <c r="N599" s="46">
        <v>759</v>
      </c>
      <c r="O599" s="49">
        <f t="shared" si="13"/>
        <v>9108</v>
      </c>
      <c r="P599" s="5" t="s">
        <v>393</v>
      </c>
      <c r="Q599" s="5" t="s">
        <v>766</v>
      </c>
      <c r="R599" s="11" t="s">
        <v>633</v>
      </c>
      <c r="S599" s="22">
        <v>0</v>
      </c>
    </row>
    <row r="600" spans="1:19" ht="51">
      <c r="A600" s="5">
        <v>585</v>
      </c>
      <c r="B600" s="29" t="s">
        <v>710</v>
      </c>
      <c r="C600" s="30" t="s">
        <v>711</v>
      </c>
      <c r="D600" s="10" t="s">
        <v>690</v>
      </c>
      <c r="E600" s="57" t="s">
        <v>2183</v>
      </c>
      <c r="F600" s="57" t="s">
        <v>29</v>
      </c>
      <c r="G600" s="57" t="s">
        <v>847</v>
      </c>
      <c r="H600" s="57" t="s">
        <v>772</v>
      </c>
      <c r="I600" s="57" t="s">
        <v>2183</v>
      </c>
      <c r="J600" s="57" t="s">
        <v>29</v>
      </c>
      <c r="K600" s="57" t="s">
        <v>591</v>
      </c>
      <c r="L600" s="5" t="s">
        <v>480</v>
      </c>
      <c r="M600" s="22">
        <v>144</v>
      </c>
      <c r="N600" s="46">
        <v>27</v>
      </c>
      <c r="O600" s="49">
        <f t="shared" si="13"/>
        <v>3888</v>
      </c>
      <c r="P600" s="5" t="s">
        <v>393</v>
      </c>
      <c r="Q600" s="5" t="s">
        <v>766</v>
      </c>
      <c r="R600" s="11" t="s">
        <v>633</v>
      </c>
      <c r="S600" s="22">
        <v>0</v>
      </c>
    </row>
    <row r="601" spans="1:19" ht="51">
      <c r="A601" s="5">
        <v>586</v>
      </c>
      <c r="B601" s="29" t="s">
        <v>710</v>
      </c>
      <c r="C601" s="30" t="s">
        <v>711</v>
      </c>
      <c r="D601" s="31" t="s">
        <v>691</v>
      </c>
      <c r="E601" s="57" t="s">
        <v>119</v>
      </c>
      <c r="F601" s="57" t="s">
        <v>119</v>
      </c>
      <c r="G601" s="57" t="s">
        <v>848</v>
      </c>
      <c r="H601" s="57" t="s">
        <v>692</v>
      </c>
      <c r="I601" s="57" t="s">
        <v>119</v>
      </c>
      <c r="J601" s="57" t="s">
        <v>119</v>
      </c>
      <c r="K601" s="57" t="s">
        <v>591</v>
      </c>
      <c r="L601" s="31" t="s">
        <v>644</v>
      </c>
      <c r="M601" s="22">
        <v>72</v>
      </c>
      <c r="N601" s="46">
        <v>103</v>
      </c>
      <c r="O601" s="49">
        <f t="shared" si="13"/>
        <v>7416</v>
      </c>
      <c r="P601" s="5" t="s">
        <v>393</v>
      </c>
      <c r="Q601" s="5" t="s">
        <v>766</v>
      </c>
      <c r="R601" s="11" t="s">
        <v>633</v>
      </c>
      <c r="S601" s="22">
        <v>0</v>
      </c>
    </row>
    <row r="602" spans="1:19" ht="51">
      <c r="A602" s="5">
        <v>587</v>
      </c>
      <c r="B602" s="29" t="s">
        <v>710</v>
      </c>
      <c r="C602" s="30" t="s">
        <v>711</v>
      </c>
      <c r="D602" s="33" t="s">
        <v>422</v>
      </c>
      <c r="E602" s="57" t="s">
        <v>423</v>
      </c>
      <c r="F602" s="57" t="s">
        <v>424</v>
      </c>
      <c r="G602" s="57" t="s">
        <v>837</v>
      </c>
      <c r="H602" s="57" t="s">
        <v>425</v>
      </c>
      <c r="I602" s="57" t="s">
        <v>2303</v>
      </c>
      <c r="J602" s="57" t="s">
        <v>230</v>
      </c>
      <c r="K602" s="57" t="s">
        <v>591</v>
      </c>
      <c r="L602" s="11" t="s">
        <v>909</v>
      </c>
      <c r="M602" s="22">
        <v>312</v>
      </c>
      <c r="N602" s="46">
        <v>670</v>
      </c>
      <c r="O602" s="49">
        <f t="shared" si="13"/>
        <v>209040</v>
      </c>
      <c r="P602" s="5" t="s">
        <v>393</v>
      </c>
      <c r="Q602" s="5" t="s">
        <v>766</v>
      </c>
      <c r="R602" s="11">
        <v>311000000</v>
      </c>
      <c r="S602" s="22">
        <v>100</v>
      </c>
    </row>
    <row r="603" spans="1:19" ht="63.75">
      <c r="A603" s="5">
        <v>588</v>
      </c>
      <c r="B603" s="29" t="s">
        <v>710</v>
      </c>
      <c r="C603" s="30" t="s">
        <v>711</v>
      </c>
      <c r="D603" s="31" t="s">
        <v>426</v>
      </c>
      <c r="E603" s="57" t="s">
        <v>838</v>
      </c>
      <c r="F603" s="57" t="s">
        <v>19</v>
      </c>
      <c r="G603" s="57" t="s">
        <v>839</v>
      </c>
      <c r="H603" s="57" t="s">
        <v>428</v>
      </c>
      <c r="I603" s="57" t="s">
        <v>838</v>
      </c>
      <c r="J603" s="57" t="s">
        <v>19</v>
      </c>
      <c r="K603" s="57" t="s">
        <v>591</v>
      </c>
      <c r="L603" s="5" t="s">
        <v>669</v>
      </c>
      <c r="M603" s="22">
        <v>26</v>
      </c>
      <c r="N603" s="46">
        <v>313</v>
      </c>
      <c r="O603" s="49">
        <f t="shared" ref="O603:O666" si="14">M603*N603</f>
        <v>8138</v>
      </c>
      <c r="P603" s="5" t="s">
        <v>393</v>
      </c>
      <c r="Q603" s="5" t="s">
        <v>766</v>
      </c>
      <c r="R603" s="11">
        <v>311000000</v>
      </c>
      <c r="S603" s="22">
        <v>100</v>
      </c>
    </row>
    <row r="604" spans="1:19" ht="51">
      <c r="A604" s="5">
        <v>589</v>
      </c>
      <c r="B604" s="29" t="s">
        <v>710</v>
      </c>
      <c r="C604" s="30" t="s">
        <v>711</v>
      </c>
      <c r="D604" s="10" t="s">
        <v>429</v>
      </c>
      <c r="E604" s="57" t="s">
        <v>840</v>
      </c>
      <c r="F604" s="57" t="s">
        <v>430</v>
      </c>
      <c r="G604" s="57" t="s">
        <v>841</v>
      </c>
      <c r="H604" s="57" t="s">
        <v>431</v>
      </c>
      <c r="I604" s="57" t="s">
        <v>840</v>
      </c>
      <c r="J604" s="57" t="s">
        <v>231</v>
      </c>
      <c r="K604" s="57" t="s">
        <v>591</v>
      </c>
      <c r="L604" s="11" t="s">
        <v>909</v>
      </c>
      <c r="M604" s="22">
        <v>52</v>
      </c>
      <c r="N604" s="46">
        <v>223</v>
      </c>
      <c r="O604" s="49">
        <f t="shared" si="14"/>
        <v>11596</v>
      </c>
      <c r="P604" s="5" t="s">
        <v>393</v>
      </c>
      <c r="Q604" s="5" t="s">
        <v>766</v>
      </c>
      <c r="R604" s="11">
        <v>311000000</v>
      </c>
      <c r="S604" s="22">
        <v>100</v>
      </c>
    </row>
    <row r="605" spans="1:19" ht="51">
      <c r="A605" s="5">
        <v>590</v>
      </c>
      <c r="B605" s="29" t="s">
        <v>710</v>
      </c>
      <c r="C605" s="30" t="s">
        <v>711</v>
      </c>
      <c r="D605" s="11" t="s">
        <v>894</v>
      </c>
      <c r="E605" s="57" t="s">
        <v>767</v>
      </c>
      <c r="F605" s="57" t="s">
        <v>18</v>
      </c>
      <c r="G605" s="57" t="s">
        <v>2180</v>
      </c>
      <c r="H605" s="57" t="s">
        <v>670</v>
      </c>
      <c r="I605" s="57" t="s">
        <v>767</v>
      </c>
      <c r="J605" s="57" t="s">
        <v>18</v>
      </c>
      <c r="K605" s="57" t="s">
        <v>591</v>
      </c>
      <c r="L605" s="5" t="s">
        <v>480</v>
      </c>
      <c r="M605" s="22">
        <v>52</v>
      </c>
      <c r="N605" s="46">
        <v>179</v>
      </c>
      <c r="O605" s="49">
        <f t="shared" si="14"/>
        <v>9308</v>
      </c>
      <c r="P605" s="5" t="s">
        <v>393</v>
      </c>
      <c r="Q605" s="5" t="s">
        <v>766</v>
      </c>
      <c r="R605" s="11">
        <v>311000000</v>
      </c>
      <c r="S605" s="22">
        <v>100</v>
      </c>
    </row>
    <row r="606" spans="1:19" ht="51">
      <c r="A606" s="5">
        <v>591</v>
      </c>
      <c r="B606" s="15" t="s">
        <v>710</v>
      </c>
      <c r="C606" s="30" t="s">
        <v>711</v>
      </c>
      <c r="D606" s="5" t="s">
        <v>671</v>
      </c>
      <c r="E606" s="57" t="s">
        <v>20</v>
      </c>
      <c r="F606" s="57" t="s">
        <v>20</v>
      </c>
      <c r="G606" s="57" t="s">
        <v>2228</v>
      </c>
      <c r="H606" s="57" t="s">
        <v>768</v>
      </c>
      <c r="I606" s="57" t="s">
        <v>20</v>
      </c>
      <c r="J606" s="57" t="s">
        <v>20</v>
      </c>
      <c r="K606" s="57" t="s">
        <v>591</v>
      </c>
      <c r="L606" s="31" t="s">
        <v>644</v>
      </c>
      <c r="M606" s="22">
        <v>52</v>
      </c>
      <c r="N606" s="46">
        <v>107</v>
      </c>
      <c r="O606" s="49">
        <f t="shared" si="14"/>
        <v>5564</v>
      </c>
      <c r="P606" s="5" t="s">
        <v>393</v>
      </c>
      <c r="Q606" s="5" t="s">
        <v>766</v>
      </c>
      <c r="R606" s="11">
        <v>311000000</v>
      </c>
      <c r="S606" s="22">
        <v>100</v>
      </c>
    </row>
    <row r="607" spans="1:19" ht="51">
      <c r="A607" s="5">
        <v>592</v>
      </c>
      <c r="B607" s="29" t="s">
        <v>710</v>
      </c>
      <c r="C607" s="30" t="s">
        <v>711</v>
      </c>
      <c r="D607" s="10" t="s">
        <v>673</v>
      </c>
      <c r="E607" s="57" t="s">
        <v>21</v>
      </c>
      <c r="F607" s="57" t="s">
        <v>21</v>
      </c>
      <c r="G607" s="57" t="s">
        <v>2246</v>
      </c>
      <c r="H607" s="57" t="s">
        <v>674</v>
      </c>
      <c r="I607" s="57" t="s">
        <v>21</v>
      </c>
      <c r="J607" s="57" t="s">
        <v>21</v>
      </c>
      <c r="K607" s="57" t="s">
        <v>591</v>
      </c>
      <c r="L607" s="31" t="s">
        <v>644</v>
      </c>
      <c r="M607" s="22">
        <v>13</v>
      </c>
      <c r="N607" s="46">
        <v>1339</v>
      </c>
      <c r="O607" s="49">
        <f t="shared" si="14"/>
        <v>17407</v>
      </c>
      <c r="P607" s="5" t="s">
        <v>393</v>
      </c>
      <c r="Q607" s="5" t="s">
        <v>766</v>
      </c>
      <c r="R607" s="11">
        <v>311000000</v>
      </c>
      <c r="S607" s="22">
        <v>100</v>
      </c>
    </row>
    <row r="608" spans="1:19" ht="63.75">
      <c r="A608" s="5">
        <v>593</v>
      </c>
      <c r="B608" s="15" t="s">
        <v>710</v>
      </c>
      <c r="C608" s="30" t="s">
        <v>711</v>
      </c>
      <c r="D608" s="10" t="s">
        <v>675</v>
      </c>
      <c r="E608" s="57" t="s">
        <v>2077</v>
      </c>
      <c r="F608" s="57" t="s">
        <v>22</v>
      </c>
      <c r="G608" s="57" t="s">
        <v>843</v>
      </c>
      <c r="H608" s="57" t="s">
        <v>769</v>
      </c>
      <c r="I608" s="57" t="s">
        <v>2077</v>
      </c>
      <c r="J608" s="57" t="s">
        <v>22</v>
      </c>
      <c r="K608" s="57" t="s">
        <v>591</v>
      </c>
      <c r="L608" s="5" t="s">
        <v>480</v>
      </c>
      <c r="M608" s="22">
        <v>312</v>
      </c>
      <c r="N608" s="46">
        <v>13</v>
      </c>
      <c r="O608" s="49">
        <f t="shared" si="14"/>
        <v>4056</v>
      </c>
      <c r="P608" s="5" t="s">
        <v>393</v>
      </c>
      <c r="Q608" s="5" t="s">
        <v>766</v>
      </c>
      <c r="R608" s="11">
        <v>311000000</v>
      </c>
      <c r="S608" s="22">
        <v>100</v>
      </c>
    </row>
    <row r="609" spans="1:19" ht="51">
      <c r="A609" s="5">
        <v>594</v>
      </c>
      <c r="B609" s="29" t="s">
        <v>710</v>
      </c>
      <c r="C609" s="30" t="s">
        <v>711</v>
      </c>
      <c r="D609" s="5" t="s">
        <v>443</v>
      </c>
      <c r="E609" s="57" t="s">
        <v>444</v>
      </c>
      <c r="F609" s="57" t="s">
        <v>444</v>
      </c>
      <c r="G609" s="57" t="s">
        <v>445</v>
      </c>
      <c r="H609" s="57" t="s">
        <v>446</v>
      </c>
      <c r="I609" s="57" t="s">
        <v>232</v>
      </c>
      <c r="J609" s="57" t="s">
        <v>232</v>
      </c>
      <c r="K609" s="57" t="s">
        <v>591</v>
      </c>
      <c r="L609" s="31" t="s">
        <v>644</v>
      </c>
      <c r="M609" s="22">
        <v>78</v>
      </c>
      <c r="N609" s="46">
        <v>446</v>
      </c>
      <c r="O609" s="49">
        <f t="shared" si="14"/>
        <v>34788</v>
      </c>
      <c r="P609" s="5" t="s">
        <v>393</v>
      </c>
      <c r="Q609" s="5" t="s">
        <v>766</v>
      </c>
      <c r="R609" s="11">
        <v>311000000</v>
      </c>
      <c r="S609" s="22">
        <v>100</v>
      </c>
    </row>
    <row r="610" spans="1:19" ht="51">
      <c r="A610" s="5">
        <v>595</v>
      </c>
      <c r="B610" s="29" t="s">
        <v>710</v>
      </c>
      <c r="C610" s="30" t="s">
        <v>711</v>
      </c>
      <c r="D610" s="10" t="s">
        <v>677</v>
      </c>
      <c r="E610" s="57" t="s">
        <v>2276</v>
      </c>
      <c r="F610" s="57" t="s">
        <v>23</v>
      </c>
      <c r="G610" s="57" t="s">
        <v>844</v>
      </c>
      <c r="H610" s="57" t="s">
        <v>678</v>
      </c>
      <c r="I610" s="57" t="s">
        <v>2276</v>
      </c>
      <c r="J610" s="57" t="s">
        <v>23</v>
      </c>
      <c r="K610" s="57" t="s">
        <v>591</v>
      </c>
      <c r="L610" s="31" t="s">
        <v>644</v>
      </c>
      <c r="M610" s="22">
        <v>78</v>
      </c>
      <c r="N610" s="46">
        <v>268</v>
      </c>
      <c r="O610" s="49">
        <f t="shared" si="14"/>
        <v>20904</v>
      </c>
      <c r="P610" s="5" t="s">
        <v>393</v>
      </c>
      <c r="Q610" s="5" t="s">
        <v>766</v>
      </c>
      <c r="R610" s="11">
        <v>311000000</v>
      </c>
      <c r="S610" s="22">
        <v>100</v>
      </c>
    </row>
    <row r="611" spans="1:19" ht="51">
      <c r="A611" s="5">
        <v>596</v>
      </c>
      <c r="B611" s="29" t="s">
        <v>710</v>
      </c>
      <c r="C611" s="30" t="s">
        <v>711</v>
      </c>
      <c r="D611" s="10" t="s">
        <v>679</v>
      </c>
      <c r="E611" s="57" t="s">
        <v>24</v>
      </c>
      <c r="F611" s="57" t="s">
        <v>24</v>
      </c>
      <c r="G611" s="57" t="s">
        <v>2279</v>
      </c>
      <c r="H611" s="57" t="s">
        <v>680</v>
      </c>
      <c r="I611" s="57" t="s">
        <v>24</v>
      </c>
      <c r="J611" s="57" t="s">
        <v>24</v>
      </c>
      <c r="K611" s="57" t="s">
        <v>591</v>
      </c>
      <c r="L611" s="31" t="s">
        <v>644</v>
      </c>
      <c r="M611" s="22">
        <v>13</v>
      </c>
      <c r="N611" s="46">
        <v>223</v>
      </c>
      <c r="O611" s="49">
        <f t="shared" si="14"/>
        <v>2899</v>
      </c>
      <c r="P611" s="5" t="s">
        <v>393</v>
      </c>
      <c r="Q611" s="5" t="s">
        <v>766</v>
      </c>
      <c r="R611" s="11">
        <v>311000000</v>
      </c>
      <c r="S611" s="22">
        <v>100</v>
      </c>
    </row>
    <row r="612" spans="1:19" ht="51">
      <c r="A612" s="5">
        <v>597</v>
      </c>
      <c r="B612" s="29" t="s">
        <v>710</v>
      </c>
      <c r="C612" s="30" t="s">
        <v>711</v>
      </c>
      <c r="D612" s="5" t="s">
        <v>449</v>
      </c>
      <c r="E612" s="57" t="s">
        <v>2278</v>
      </c>
      <c r="F612" s="57" t="s">
        <v>450</v>
      </c>
      <c r="G612" s="57" t="s">
        <v>2281</v>
      </c>
      <c r="H612" s="57" t="s">
        <v>451</v>
      </c>
      <c r="I612" s="57" t="s">
        <v>2278</v>
      </c>
      <c r="J612" s="57" t="s">
        <v>233</v>
      </c>
      <c r="K612" s="57" t="s">
        <v>591</v>
      </c>
      <c r="L612" s="5" t="s">
        <v>480</v>
      </c>
      <c r="M612" s="22">
        <v>78</v>
      </c>
      <c r="N612" s="46">
        <v>223</v>
      </c>
      <c r="O612" s="49">
        <f t="shared" si="14"/>
        <v>17394</v>
      </c>
      <c r="P612" s="5" t="s">
        <v>393</v>
      </c>
      <c r="Q612" s="5" t="s">
        <v>766</v>
      </c>
      <c r="R612" s="11">
        <v>311000000</v>
      </c>
      <c r="S612" s="22">
        <v>100</v>
      </c>
    </row>
    <row r="613" spans="1:19" ht="51">
      <c r="A613" s="5">
        <v>598</v>
      </c>
      <c r="B613" s="29" t="s">
        <v>710</v>
      </c>
      <c r="C613" s="30" t="s">
        <v>711</v>
      </c>
      <c r="D613" s="5" t="s">
        <v>452</v>
      </c>
      <c r="E613" s="57" t="s">
        <v>453</v>
      </c>
      <c r="F613" s="57" t="s">
        <v>454</v>
      </c>
      <c r="G613" s="57" t="s">
        <v>455</v>
      </c>
      <c r="H613" s="57" t="s">
        <v>456</v>
      </c>
      <c r="I613" s="57" t="s">
        <v>453</v>
      </c>
      <c r="J613" s="57" t="s">
        <v>234</v>
      </c>
      <c r="K613" s="57" t="s">
        <v>591</v>
      </c>
      <c r="L613" s="5" t="s">
        <v>480</v>
      </c>
      <c r="M613" s="22">
        <v>78</v>
      </c>
      <c r="N613" s="46">
        <v>179</v>
      </c>
      <c r="O613" s="49">
        <f t="shared" si="14"/>
        <v>13962</v>
      </c>
      <c r="P613" s="5" t="s">
        <v>393</v>
      </c>
      <c r="Q613" s="5" t="s">
        <v>766</v>
      </c>
      <c r="R613" s="11">
        <v>311000000</v>
      </c>
      <c r="S613" s="22">
        <v>100</v>
      </c>
    </row>
    <row r="614" spans="1:19" ht="51">
      <c r="A614" s="5">
        <v>599</v>
      </c>
      <c r="B614" s="29" t="s">
        <v>710</v>
      </c>
      <c r="C614" s="30" t="s">
        <v>711</v>
      </c>
      <c r="D614" s="5" t="s">
        <v>457</v>
      </c>
      <c r="E614" s="57" t="s">
        <v>17</v>
      </c>
      <c r="F614" s="57" t="s">
        <v>17</v>
      </c>
      <c r="G614" s="57" t="s">
        <v>2289</v>
      </c>
      <c r="H614" s="57" t="s">
        <v>2290</v>
      </c>
      <c r="I614" s="57" t="s">
        <v>17</v>
      </c>
      <c r="J614" s="57" t="s">
        <v>17</v>
      </c>
      <c r="K614" s="57" t="s">
        <v>591</v>
      </c>
      <c r="L614" s="31" t="s">
        <v>644</v>
      </c>
      <c r="M614" s="22">
        <v>26</v>
      </c>
      <c r="N614" s="46">
        <v>714</v>
      </c>
      <c r="O614" s="49">
        <f t="shared" si="14"/>
        <v>18564</v>
      </c>
      <c r="P614" s="5" t="s">
        <v>393</v>
      </c>
      <c r="Q614" s="5" t="s">
        <v>766</v>
      </c>
      <c r="R614" s="11">
        <v>311000000</v>
      </c>
      <c r="S614" s="22">
        <v>100</v>
      </c>
    </row>
    <row r="615" spans="1:19" ht="51">
      <c r="A615" s="5">
        <v>600</v>
      </c>
      <c r="B615" s="29" t="s">
        <v>710</v>
      </c>
      <c r="C615" s="30" t="s">
        <v>711</v>
      </c>
      <c r="D615" s="11" t="s">
        <v>459</v>
      </c>
      <c r="E615" s="57" t="s">
        <v>1691</v>
      </c>
      <c r="F615" s="57" t="s">
        <v>460</v>
      </c>
      <c r="G615" s="57" t="s">
        <v>2214</v>
      </c>
      <c r="H615" s="57" t="s">
        <v>2215</v>
      </c>
      <c r="I615" s="57" t="s">
        <v>235</v>
      </c>
      <c r="J615" s="57" t="s">
        <v>235</v>
      </c>
      <c r="K615" s="57" t="s">
        <v>591</v>
      </c>
      <c r="L615" s="31" t="s">
        <v>644</v>
      </c>
      <c r="M615" s="22">
        <v>52</v>
      </c>
      <c r="N615" s="46">
        <v>161</v>
      </c>
      <c r="O615" s="49">
        <f t="shared" si="14"/>
        <v>8372</v>
      </c>
      <c r="P615" s="5" t="s">
        <v>393</v>
      </c>
      <c r="Q615" s="5" t="s">
        <v>766</v>
      </c>
      <c r="R615" s="11">
        <v>311000000</v>
      </c>
      <c r="S615" s="22">
        <v>100</v>
      </c>
    </row>
    <row r="616" spans="1:19" ht="51">
      <c r="A616" s="5">
        <v>601</v>
      </c>
      <c r="B616" s="15" t="s">
        <v>710</v>
      </c>
      <c r="C616" s="30" t="s">
        <v>711</v>
      </c>
      <c r="D616" s="10" t="s">
        <v>683</v>
      </c>
      <c r="E616" s="57" t="s">
        <v>466</v>
      </c>
      <c r="F616" s="57" t="s">
        <v>463</v>
      </c>
      <c r="G616" s="57" t="s">
        <v>845</v>
      </c>
      <c r="H616" s="57" t="s">
        <v>770</v>
      </c>
      <c r="I616" s="57" t="s">
        <v>466</v>
      </c>
      <c r="J616" s="57" t="s">
        <v>463</v>
      </c>
      <c r="K616" s="57" t="s">
        <v>591</v>
      </c>
      <c r="L616" s="31" t="s">
        <v>644</v>
      </c>
      <c r="M616" s="22">
        <v>52</v>
      </c>
      <c r="N616" s="46">
        <v>161</v>
      </c>
      <c r="O616" s="49">
        <f t="shared" si="14"/>
        <v>8372</v>
      </c>
      <c r="P616" s="5" t="s">
        <v>393</v>
      </c>
      <c r="Q616" s="5" t="s">
        <v>766</v>
      </c>
      <c r="R616" s="11">
        <v>311000000</v>
      </c>
      <c r="S616" s="22">
        <v>100</v>
      </c>
    </row>
    <row r="617" spans="1:19" ht="51">
      <c r="A617" s="5">
        <v>602</v>
      </c>
      <c r="B617" s="29" t="s">
        <v>710</v>
      </c>
      <c r="C617" s="30" t="s">
        <v>711</v>
      </c>
      <c r="D617" s="10" t="s">
        <v>684</v>
      </c>
      <c r="E617" s="57" t="s">
        <v>466</v>
      </c>
      <c r="F617" s="57" t="s">
        <v>25</v>
      </c>
      <c r="G617" s="57" t="s">
        <v>2191</v>
      </c>
      <c r="H617" s="57" t="s">
        <v>685</v>
      </c>
      <c r="I617" s="57" t="s">
        <v>466</v>
      </c>
      <c r="J617" s="57" t="s">
        <v>25</v>
      </c>
      <c r="K617" s="57" t="s">
        <v>591</v>
      </c>
      <c r="L617" s="31" t="s">
        <v>644</v>
      </c>
      <c r="M617" s="22">
        <v>52</v>
      </c>
      <c r="N617" s="46">
        <v>45</v>
      </c>
      <c r="O617" s="49">
        <f t="shared" si="14"/>
        <v>2340</v>
      </c>
      <c r="P617" s="5" t="s">
        <v>393</v>
      </c>
      <c r="Q617" s="5" t="s">
        <v>766</v>
      </c>
      <c r="R617" s="11">
        <v>311000000</v>
      </c>
      <c r="S617" s="22">
        <v>100</v>
      </c>
    </row>
    <row r="618" spans="1:19" ht="51">
      <c r="A618" s="5">
        <v>603</v>
      </c>
      <c r="B618" s="15" t="s">
        <v>710</v>
      </c>
      <c r="C618" s="30" t="s">
        <v>711</v>
      </c>
      <c r="D618" s="10" t="s">
        <v>686</v>
      </c>
      <c r="E618" s="57" t="s">
        <v>2304</v>
      </c>
      <c r="F618" s="57" t="s">
        <v>26</v>
      </c>
      <c r="G618" s="57" t="s">
        <v>2305</v>
      </c>
      <c r="H618" s="57" t="s">
        <v>687</v>
      </c>
      <c r="I618" s="57" t="s">
        <v>2304</v>
      </c>
      <c r="J618" s="57" t="s">
        <v>26</v>
      </c>
      <c r="K618" s="57" t="s">
        <v>591</v>
      </c>
      <c r="L618" s="11" t="s">
        <v>909</v>
      </c>
      <c r="M618" s="22">
        <v>26</v>
      </c>
      <c r="N618" s="46">
        <v>134</v>
      </c>
      <c r="O618" s="49">
        <f t="shared" si="14"/>
        <v>3484</v>
      </c>
      <c r="P618" s="5" t="s">
        <v>393</v>
      </c>
      <c r="Q618" s="5" t="s">
        <v>766</v>
      </c>
      <c r="R618" s="11">
        <v>311000000</v>
      </c>
      <c r="S618" s="22">
        <v>100</v>
      </c>
    </row>
    <row r="619" spans="1:19" ht="127.5">
      <c r="A619" s="5">
        <v>604</v>
      </c>
      <c r="B619" s="29" t="s">
        <v>710</v>
      </c>
      <c r="C619" s="30" t="s">
        <v>711</v>
      </c>
      <c r="D619" s="5" t="s">
        <v>470</v>
      </c>
      <c r="E619" s="57" t="s">
        <v>27</v>
      </c>
      <c r="F619" s="57" t="s">
        <v>27</v>
      </c>
      <c r="G619" s="57" t="s">
        <v>471</v>
      </c>
      <c r="H619" s="57" t="s">
        <v>472</v>
      </c>
      <c r="I619" s="57" t="s">
        <v>27</v>
      </c>
      <c r="J619" s="57" t="s">
        <v>27</v>
      </c>
      <c r="K619" s="57" t="s">
        <v>591</v>
      </c>
      <c r="L619" s="31" t="s">
        <v>644</v>
      </c>
      <c r="M619" s="22">
        <v>3</v>
      </c>
      <c r="N619" s="46">
        <v>2679</v>
      </c>
      <c r="O619" s="49">
        <f t="shared" si="14"/>
        <v>8037</v>
      </c>
      <c r="P619" s="5" t="s">
        <v>393</v>
      </c>
      <c r="Q619" s="5" t="s">
        <v>766</v>
      </c>
      <c r="R619" s="11">
        <v>311000000</v>
      </c>
      <c r="S619" s="22">
        <v>100</v>
      </c>
    </row>
    <row r="620" spans="1:19" ht="51">
      <c r="A620" s="5">
        <v>605</v>
      </c>
      <c r="B620" s="29" t="s">
        <v>710</v>
      </c>
      <c r="C620" s="30" t="s">
        <v>711</v>
      </c>
      <c r="D620" s="10" t="s">
        <v>688</v>
      </c>
      <c r="E620" s="57" t="s">
        <v>846</v>
      </c>
      <c r="F620" s="57" t="s">
        <v>846</v>
      </c>
      <c r="G620" s="57" t="s">
        <v>771</v>
      </c>
      <c r="H620" s="57" t="s">
        <v>771</v>
      </c>
      <c r="I620" s="57" t="s">
        <v>846</v>
      </c>
      <c r="J620" s="57" t="s">
        <v>236</v>
      </c>
      <c r="K620" s="57" t="s">
        <v>591</v>
      </c>
      <c r="L620" s="31" t="s">
        <v>644</v>
      </c>
      <c r="M620" s="22">
        <v>312</v>
      </c>
      <c r="N620" s="46">
        <v>45</v>
      </c>
      <c r="O620" s="49">
        <f t="shared" si="14"/>
        <v>14040</v>
      </c>
      <c r="P620" s="5" t="s">
        <v>393</v>
      </c>
      <c r="Q620" s="5" t="s">
        <v>766</v>
      </c>
      <c r="R620" s="11">
        <v>311000000</v>
      </c>
      <c r="S620" s="22">
        <v>100</v>
      </c>
    </row>
    <row r="621" spans="1:19" ht="51">
      <c r="A621" s="5">
        <v>606</v>
      </c>
      <c r="B621" s="29" t="s">
        <v>710</v>
      </c>
      <c r="C621" s="30" t="s">
        <v>711</v>
      </c>
      <c r="D621" s="5" t="s">
        <v>476</v>
      </c>
      <c r="E621" s="57" t="s">
        <v>477</v>
      </c>
      <c r="F621" s="57" t="s">
        <v>28</v>
      </c>
      <c r="G621" s="57" t="s">
        <v>478</v>
      </c>
      <c r="H621" s="57" t="s">
        <v>479</v>
      </c>
      <c r="I621" s="57" t="s">
        <v>477</v>
      </c>
      <c r="J621" s="57" t="s">
        <v>28</v>
      </c>
      <c r="K621" s="57" t="s">
        <v>591</v>
      </c>
      <c r="L621" s="31" t="s">
        <v>644</v>
      </c>
      <c r="M621" s="22">
        <v>13</v>
      </c>
      <c r="N621" s="46">
        <v>759</v>
      </c>
      <c r="O621" s="49">
        <f t="shared" si="14"/>
        <v>9867</v>
      </c>
      <c r="P621" s="5" t="s">
        <v>393</v>
      </c>
      <c r="Q621" s="5" t="s">
        <v>766</v>
      </c>
      <c r="R621" s="11">
        <v>311000000</v>
      </c>
      <c r="S621" s="22">
        <v>100</v>
      </c>
    </row>
    <row r="622" spans="1:19" ht="51">
      <c r="A622" s="5">
        <v>607</v>
      </c>
      <c r="B622" s="29" t="s">
        <v>710</v>
      </c>
      <c r="C622" s="30" t="s">
        <v>711</v>
      </c>
      <c r="D622" s="10" t="s">
        <v>690</v>
      </c>
      <c r="E622" s="57" t="s">
        <v>2183</v>
      </c>
      <c r="F622" s="57" t="s">
        <v>29</v>
      </c>
      <c r="G622" s="57" t="s">
        <v>847</v>
      </c>
      <c r="H622" s="57" t="s">
        <v>772</v>
      </c>
      <c r="I622" s="57" t="s">
        <v>2183</v>
      </c>
      <c r="J622" s="57" t="s">
        <v>29</v>
      </c>
      <c r="K622" s="57" t="s">
        <v>591</v>
      </c>
      <c r="L622" s="5" t="s">
        <v>480</v>
      </c>
      <c r="M622" s="22">
        <v>156</v>
      </c>
      <c r="N622" s="46">
        <v>27</v>
      </c>
      <c r="O622" s="49">
        <f t="shared" si="14"/>
        <v>4212</v>
      </c>
      <c r="P622" s="5" t="s">
        <v>393</v>
      </c>
      <c r="Q622" s="5" t="s">
        <v>766</v>
      </c>
      <c r="R622" s="11">
        <v>311000000</v>
      </c>
      <c r="S622" s="22">
        <v>100</v>
      </c>
    </row>
    <row r="623" spans="1:19" ht="51">
      <c r="A623" s="5">
        <v>608</v>
      </c>
      <c r="B623" s="29" t="s">
        <v>710</v>
      </c>
      <c r="C623" s="30" t="s">
        <v>711</v>
      </c>
      <c r="D623" s="31" t="s">
        <v>691</v>
      </c>
      <c r="E623" s="57" t="s">
        <v>119</v>
      </c>
      <c r="F623" s="57" t="s">
        <v>119</v>
      </c>
      <c r="G623" s="57" t="s">
        <v>848</v>
      </c>
      <c r="H623" s="57" t="s">
        <v>692</v>
      </c>
      <c r="I623" s="57" t="s">
        <v>119</v>
      </c>
      <c r="J623" s="57" t="s">
        <v>119</v>
      </c>
      <c r="K623" s="57" t="s">
        <v>591</v>
      </c>
      <c r="L623" s="31" t="s">
        <v>644</v>
      </c>
      <c r="M623" s="22">
        <v>78</v>
      </c>
      <c r="N623" s="46">
        <v>103</v>
      </c>
      <c r="O623" s="49">
        <f t="shared" si="14"/>
        <v>8034</v>
      </c>
      <c r="P623" s="5" t="s">
        <v>515</v>
      </c>
      <c r="Q623" s="5" t="s">
        <v>766</v>
      </c>
      <c r="R623" s="11">
        <v>311000000</v>
      </c>
      <c r="S623" s="22">
        <v>100</v>
      </c>
    </row>
    <row r="624" spans="1:19" ht="51">
      <c r="A624" s="5">
        <v>609</v>
      </c>
      <c r="B624" s="29" t="s">
        <v>710</v>
      </c>
      <c r="C624" s="30" t="s">
        <v>711</v>
      </c>
      <c r="D624" s="33" t="s">
        <v>422</v>
      </c>
      <c r="E624" s="57" t="s">
        <v>423</v>
      </c>
      <c r="F624" s="57" t="s">
        <v>424</v>
      </c>
      <c r="G624" s="57" t="s">
        <v>837</v>
      </c>
      <c r="H624" s="57" t="s">
        <v>425</v>
      </c>
      <c r="I624" s="57" t="s">
        <v>2303</v>
      </c>
      <c r="J624" s="57" t="s">
        <v>230</v>
      </c>
      <c r="K624" s="57" t="s">
        <v>591</v>
      </c>
      <c r="L624" s="11" t="s">
        <v>909</v>
      </c>
      <c r="M624" s="22">
        <v>240</v>
      </c>
      <c r="N624" s="46">
        <v>670</v>
      </c>
      <c r="O624" s="49">
        <f t="shared" si="14"/>
        <v>160800</v>
      </c>
      <c r="P624" s="5" t="s">
        <v>515</v>
      </c>
      <c r="Q624" s="5" t="s">
        <v>766</v>
      </c>
      <c r="R624" s="11" t="s">
        <v>2024</v>
      </c>
      <c r="S624" s="5">
        <v>0</v>
      </c>
    </row>
    <row r="625" spans="1:19" ht="63.75">
      <c r="A625" s="5">
        <v>610</v>
      </c>
      <c r="B625" s="29" t="s">
        <v>710</v>
      </c>
      <c r="C625" s="30" t="s">
        <v>711</v>
      </c>
      <c r="D625" s="31" t="s">
        <v>426</v>
      </c>
      <c r="E625" s="57" t="s">
        <v>838</v>
      </c>
      <c r="F625" s="57" t="s">
        <v>19</v>
      </c>
      <c r="G625" s="57" t="s">
        <v>839</v>
      </c>
      <c r="H625" s="57" t="s">
        <v>428</v>
      </c>
      <c r="I625" s="57" t="s">
        <v>838</v>
      </c>
      <c r="J625" s="57" t="s">
        <v>19</v>
      </c>
      <c r="K625" s="57" t="s">
        <v>591</v>
      </c>
      <c r="L625" s="5" t="s">
        <v>669</v>
      </c>
      <c r="M625" s="22">
        <v>20</v>
      </c>
      <c r="N625" s="46">
        <v>313</v>
      </c>
      <c r="O625" s="49">
        <f t="shared" si="14"/>
        <v>6260</v>
      </c>
      <c r="P625" s="5" t="s">
        <v>515</v>
      </c>
      <c r="Q625" s="5" t="s">
        <v>766</v>
      </c>
      <c r="R625" s="11" t="s">
        <v>2024</v>
      </c>
      <c r="S625" s="5">
        <v>30</v>
      </c>
    </row>
    <row r="626" spans="1:19" ht="51">
      <c r="A626" s="5">
        <v>611</v>
      </c>
      <c r="B626" s="29" t="s">
        <v>710</v>
      </c>
      <c r="C626" s="30" t="s">
        <v>711</v>
      </c>
      <c r="D626" s="10" t="s">
        <v>429</v>
      </c>
      <c r="E626" s="57" t="s">
        <v>840</v>
      </c>
      <c r="F626" s="57" t="s">
        <v>430</v>
      </c>
      <c r="G626" s="57" t="s">
        <v>841</v>
      </c>
      <c r="H626" s="57" t="s">
        <v>431</v>
      </c>
      <c r="I626" s="57" t="s">
        <v>840</v>
      </c>
      <c r="J626" s="57" t="s">
        <v>231</v>
      </c>
      <c r="K626" s="57" t="s">
        <v>591</v>
      </c>
      <c r="L626" s="11" t="s">
        <v>909</v>
      </c>
      <c r="M626" s="22">
        <v>40</v>
      </c>
      <c r="N626" s="46">
        <v>223</v>
      </c>
      <c r="O626" s="49">
        <f t="shared" si="14"/>
        <v>8920</v>
      </c>
      <c r="P626" s="5" t="s">
        <v>393</v>
      </c>
      <c r="Q626" s="5" t="s">
        <v>766</v>
      </c>
      <c r="R626" s="11" t="s">
        <v>2024</v>
      </c>
      <c r="S626" s="5">
        <v>0</v>
      </c>
    </row>
    <row r="627" spans="1:19" ht="51">
      <c r="A627" s="5">
        <v>612</v>
      </c>
      <c r="B627" s="29" t="s">
        <v>710</v>
      </c>
      <c r="C627" s="30" t="s">
        <v>711</v>
      </c>
      <c r="D627" s="11" t="s">
        <v>894</v>
      </c>
      <c r="E627" s="57" t="s">
        <v>767</v>
      </c>
      <c r="F627" s="57" t="s">
        <v>18</v>
      </c>
      <c r="G627" s="57" t="s">
        <v>2180</v>
      </c>
      <c r="H627" s="57" t="s">
        <v>670</v>
      </c>
      <c r="I627" s="57" t="s">
        <v>767</v>
      </c>
      <c r="J627" s="57" t="s">
        <v>18</v>
      </c>
      <c r="K627" s="57" t="s">
        <v>591</v>
      </c>
      <c r="L627" s="5" t="s">
        <v>480</v>
      </c>
      <c r="M627" s="22">
        <v>40</v>
      </c>
      <c r="N627" s="46">
        <v>179</v>
      </c>
      <c r="O627" s="49">
        <f t="shared" si="14"/>
        <v>7160</v>
      </c>
      <c r="P627" s="5" t="s">
        <v>393</v>
      </c>
      <c r="Q627" s="5" t="s">
        <v>766</v>
      </c>
      <c r="R627" s="11" t="s">
        <v>2024</v>
      </c>
      <c r="S627" s="5">
        <v>0</v>
      </c>
    </row>
    <row r="628" spans="1:19" ht="51">
      <c r="A628" s="5">
        <v>613</v>
      </c>
      <c r="B628" s="15" t="s">
        <v>710</v>
      </c>
      <c r="C628" s="30" t="s">
        <v>711</v>
      </c>
      <c r="D628" s="5" t="s">
        <v>671</v>
      </c>
      <c r="E628" s="57" t="s">
        <v>20</v>
      </c>
      <c r="F628" s="57" t="s">
        <v>20</v>
      </c>
      <c r="G628" s="57" t="s">
        <v>2228</v>
      </c>
      <c r="H628" s="57" t="s">
        <v>768</v>
      </c>
      <c r="I628" s="57" t="s">
        <v>20</v>
      </c>
      <c r="J628" s="57" t="s">
        <v>20</v>
      </c>
      <c r="K628" s="57" t="s">
        <v>591</v>
      </c>
      <c r="L628" s="31" t="s">
        <v>644</v>
      </c>
      <c r="M628" s="22">
        <v>40</v>
      </c>
      <c r="N628" s="46">
        <v>107</v>
      </c>
      <c r="O628" s="49">
        <f t="shared" si="14"/>
        <v>4280</v>
      </c>
      <c r="P628" s="5" t="s">
        <v>393</v>
      </c>
      <c r="Q628" s="5" t="s">
        <v>766</v>
      </c>
      <c r="R628" s="11" t="s">
        <v>2024</v>
      </c>
      <c r="S628" s="5">
        <v>0</v>
      </c>
    </row>
    <row r="629" spans="1:19" ht="51">
      <c r="A629" s="5">
        <v>614</v>
      </c>
      <c r="B629" s="29" t="s">
        <v>710</v>
      </c>
      <c r="C629" s="30" t="s">
        <v>711</v>
      </c>
      <c r="D629" s="10" t="s">
        <v>673</v>
      </c>
      <c r="E629" s="57" t="s">
        <v>21</v>
      </c>
      <c r="F629" s="57" t="s">
        <v>21</v>
      </c>
      <c r="G629" s="57" t="s">
        <v>2246</v>
      </c>
      <c r="H629" s="57" t="s">
        <v>674</v>
      </c>
      <c r="I629" s="57" t="s">
        <v>21</v>
      </c>
      <c r="J629" s="57" t="s">
        <v>21</v>
      </c>
      <c r="K629" s="57" t="s">
        <v>591</v>
      </c>
      <c r="L629" s="31" t="s">
        <v>644</v>
      </c>
      <c r="M629" s="22">
        <v>10</v>
      </c>
      <c r="N629" s="46">
        <v>1339</v>
      </c>
      <c r="O629" s="49">
        <f t="shared" si="14"/>
        <v>13390</v>
      </c>
      <c r="P629" s="5" t="s">
        <v>393</v>
      </c>
      <c r="Q629" s="5" t="s">
        <v>766</v>
      </c>
      <c r="R629" s="11" t="s">
        <v>2024</v>
      </c>
      <c r="S629" s="5">
        <v>100</v>
      </c>
    </row>
    <row r="630" spans="1:19" ht="63.75">
      <c r="A630" s="5">
        <v>615</v>
      </c>
      <c r="B630" s="15" t="s">
        <v>710</v>
      </c>
      <c r="C630" s="30" t="s">
        <v>711</v>
      </c>
      <c r="D630" s="10" t="s">
        <v>675</v>
      </c>
      <c r="E630" s="57" t="s">
        <v>2077</v>
      </c>
      <c r="F630" s="57" t="s">
        <v>22</v>
      </c>
      <c r="G630" s="57" t="s">
        <v>843</v>
      </c>
      <c r="H630" s="57" t="s">
        <v>769</v>
      </c>
      <c r="I630" s="57" t="s">
        <v>2077</v>
      </c>
      <c r="J630" s="57" t="s">
        <v>22</v>
      </c>
      <c r="K630" s="57" t="s">
        <v>591</v>
      </c>
      <c r="L630" s="5" t="s">
        <v>480</v>
      </c>
      <c r="M630" s="22">
        <v>240</v>
      </c>
      <c r="N630" s="46">
        <v>13</v>
      </c>
      <c r="O630" s="49">
        <f t="shared" si="14"/>
        <v>3120</v>
      </c>
      <c r="P630" s="5" t="s">
        <v>393</v>
      </c>
      <c r="Q630" s="5" t="s">
        <v>766</v>
      </c>
      <c r="R630" s="11" t="s">
        <v>2024</v>
      </c>
      <c r="S630" s="5">
        <v>30</v>
      </c>
    </row>
    <row r="631" spans="1:19" ht="51">
      <c r="A631" s="5">
        <v>616</v>
      </c>
      <c r="B631" s="29" t="s">
        <v>710</v>
      </c>
      <c r="C631" s="30" t="s">
        <v>711</v>
      </c>
      <c r="D631" s="5" t="s">
        <v>443</v>
      </c>
      <c r="E631" s="57" t="s">
        <v>444</v>
      </c>
      <c r="F631" s="57" t="s">
        <v>444</v>
      </c>
      <c r="G631" s="57" t="s">
        <v>445</v>
      </c>
      <c r="H631" s="57" t="s">
        <v>446</v>
      </c>
      <c r="I631" s="57" t="s">
        <v>232</v>
      </c>
      <c r="J631" s="57" t="s">
        <v>232</v>
      </c>
      <c r="K631" s="57" t="s">
        <v>591</v>
      </c>
      <c r="L631" s="31" t="s">
        <v>644</v>
      </c>
      <c r="M631" s="22">
        <v>60</v>
      </c>
      <c r="N631" s="46">
        <v>446</v>
      </c>
      <c r="O631" s="49">
        <f t="shared" si="14"/>
        <v>26760</v>
      </c>
      <c r="P631" s="5" t="s">
        <v>393</v>
      </c>
      <c r="Q631" s="5" t="s">
        <v>766</v>
      </c>
      <c r="R631" s="11" t="s">
        <v>2024</v>
      </c>
      <c r="S631" s="5">
        <v>30</v>
      </c>
    </row>
    <row r="632" spans="1:19" ht="51">
      <c r="A632" s="5">
        <v>617</v>
      </c>
      <c r="B632" s="29" t="s">
        <v>710</v>
      </c>
      <c r="C632" s="30" t="s">
        <v>711</v>
      </c>
      <c r="D632" s="10" t="s">
        <v>677</v>
      </c>
      <c r="E632" s="57" t="s">
        <v>2276</v>
      </c>
      <c r="F632" s="57" t="s">
        <v>23</v>
      </c>
      <c r="G632" s="57" t="s">
        <v>844</v>
      </c>
      <c r="H632" s="57" t="s">
        <v>678</v>
      </c>
      <c r="I632" s="57" t="s">
        <v>2276</v>
      </c>
      <c r="J632" s="57" t="s">
        <v>23</v>
      </c>
      <c r="K632" s="57" t="s">
        <v>591</v>
      </c>
      <c r="L632" s="31" t="s">
        <v>644</v>
      </c>
      <c r="M632" s="22">
        <v>60</v>
      </c>
      <c r="N632" s="46">
        <v>268</v>
      </c>
      <c r="O632" s="49">
        <f t="shared" si="14"/>
        <v>16080</v>
      </c>
      <c r="P632" s="5" t="s">
        <v>393</v>
      </c>
      <c r="Q632" s="5" t="s">
        <v>766</v>
      </c>
      <c r="R632" s="11" t="s">
        <v>2024</v>
      </c>
      <c r="S632" s="5">
        <v>30</v>
      </c>
    </row>
    <row r="633" spans="1:19" ht="51">
      <c r="A633" s="5">
        <v>618</v>
      </c>
      <c r="B633" s="29" t="s">
        <v>710</v>
      </c>
      <c r="C633" s="30" t="s">
        <v>711</v>
      </c>
      <c r="D633" s="10" t="s">
        <v>679</v>
      </c>
      <c r="E633" s="57" t="s">
        <v>24</v>
      </c>
      <c r="F633" s="57" t="s">
        <v>24</v>
      </c>
      <c r="G633" s="57" t="s">
        <v>2279</v>
      </c>
      <c r="H633" s="57" t="s">
        <v>680</v>
      </c>
      <c r="I633" s="57" t="s">
        <v>24</v>
      </c>
      <c r="J633" s="57" t="s">
        <v>24</v>
      </c>
      <c r="K633" s="57" t="s">
        <v>591</v>
      </c>
      <c r="L633" s="31" t="s">
        <v>644</v>
      </c>
      <c r="M633" s="22">
        <v>10</v>
      </c>
      <c r="N633" s="46">
        <v>223</v>
      </c>
      <c r="O633" s="49">
        <f t="shared" si="14"/>
        <v>2230</v>
      </c>
      <c r="P633" s="5" t="s">
        <v>393</v>
      </c>
      <c r="Q633" s="5" t="s">
        <v>766</v>
      </c>
      <c r="R633" s="11" t="s">
        <v>2024</v>
      </c>
      <c r="S633" s="5">
        <v>100</v>
      </c>
    </row>
    <row r="634" spans="1:19" ht="51">
      <c r="A634" s="5">
        <v>619</v>
      </c>
      <c r="B634" s="29" t="s">
        <v>710</v>
      </c>
      <c r="C634" s="30" t="s">
        <v>711</v>
      </c>
      <c r="D634" s="5" t="s">
        <v>449</v>
      </c>
      <c r="E634" s="57" t="s">
        <v>2278</v>
      </c>
      <c r="F634" s="57" t="s">
        <v>450</v>
      </c>
      <c r="G634" s="57" t="s">
        <v>2281</v>
      </c>
      <c r="H634" s="57" t="s">
        <v>451</v>
      </c>
      <c r="I634" s="57" t="s">
        <v>2278</v>
      </c>
      <c r="J634" s="57" t="s">
        <v>233</v>
      </c>
      <c r="K634" s="57" t="s">
        <v>591</v>
      </c>
      <c r="L634" s="5" t="s">
        <v>480</v>
      </c>
      <c r="M634" s="22">
        <v>60</v>
      </c>
      <c r="N634" s="46">
        <v>223</v>
      </c>
      <c r="O634" s="49">
        <f t="shared" si="14"/>
        <v>13380</v>
      </c>
      <c r="P634" s="5" t="s">
        <v>393</v>
      </c>
      <c r="Q634" s="5" t="s">
        <v>766</v>
      </c>
      <c r="R634" s="11" t="s">
        <v>2024</v>
      </c>
      <c r="S634" s="5">
        <v>100</v>
      </c>
    </row>
    <row r="635" spans="1:19" ht="51">
      <c r="A635" s="5">
        <v>620</v>
      </c>
      <c r="B635" s="29" t="s">
        <v>710</v>
      </c>
      <c r="C635" s="30" t="s">
        <v>711</v>
      </c>
      <c r="D635" s="5" t="s">
        <v>452</v>
      </c>
      <c r="E635" s="57" t="s">
        <v>453</v>
      </c>
      <c r="F635" s="57" t="s">
        <v>454</v>
      </c>
      <c r="G635" s="57" t="s">
        <v>455</v>
      </c>
      <c r="H635" s="57" t="s">
        <v>456</v>
      </c>
      <c r="I635" s="57" t="s">
        <v>453</v>
      </c>
      <c r="J635" s="57" t="s">
        <v>234</v>
      </c>
      <c r="K635" s="57" t="s">
        <v>591</v>
      </c>
      <c r="L635" s="5" t="s">
        <v>480</v>
      </c>
      <c r="M635" s="22">
        <v>60</v>
      </c>
      <c r="N635" s="46">
        <v>179</v>
      </c>
      <c r="O635" s="49">
        <f t="shared" si="14"/>
        <v>10740</v>
      </c>
      <c r="P635" s="5" t="s">
        <v>393</v>
      </c>
      <c r="Q635" s="5" t="s">
        <v>766</v>
      </c>
      <c r="R635" s="11" t="s">
        <v>2024</v>
      </c>
      <c r="S635" s="5">
        <v>0</v>
      </c>
    </row>
    <row r="636" spans="1:19" ht="51">
      <c r="A636" s="5">
        <v>621</v>
      </c>
      <c r="B636" s="29" t="s">
        <v>710</v>
      </c>
      <c r="C636" s="30" t="s">
        <v>711</v>
      </c>
      <c r="D636" s="5" t="s">
        <v>457</v>
      </c>
      <c r="E636" s="57" t="s">
        <v>17</v>
      </c>
      <c r="F636" s="57" t="s">
        <v>17</v>
      </c>
      <c r="G636" s="57" t="s">
        <v>2289</v>
      </c>
      <c r="H636" s="57" t="s">
        <v>2290</v>
      </c>
      <c r="I636" s="57" t="s">
        <v>17</v>
      </c>
      <c r="J636" s="57" t="s">
        <v>17</v>
      </c>
      <c r="K636" s="57" t="s">
        <v>591</v>
      </c>
      <c r="L636" s="31" t="s">
        <v>644</v>
      </c>
      <c r="M636" s="22">
        <v>20</v>
      </c>
      <c r="N636" s="46">
        <v>714</v>
      </c>
      <c r="O636" s="49">
        <f t="shared" si="14"/>
        <v>14280</v>
      </c>
      <c r="P636" s="5" t="s">
        <v>393</v>
      </c>
      <c r="Q636" s="5" t="s">
        <v>766</v>
      </c>
      <c r="R636" s="11" t="s">
        <v>2024</v>
      </c>
      <c r="S636" s="5">
        <v>0</v>
      </c>
    </row>
    <row r="637" spans="1:19" ht="51">
      <c r="A637" s="5">
        <v>622</v>
      </c>
      <c r="B637" s="29" t="s">
        <v>710</v>
      </c>
      <c r="C637" s="30" t="s">
        <v>711</v>
      </c>
      <c r="D637" s="11" t="s">
        <v>459</v>
      </c>
      <c r="E637" s="57" t="s">
        <v>1691</v>
      </c>
      <c r="F637" s="57" t="s">
        <v>460</v>
      </c>
      <c r="G637" s="57" t="s">
        <v>2214</v>
      </c>
      <c r="H637" s="57" t="s">
        <v>2215</v>
      </c>
      <c r="I637" s="57" t="s">
        <v>235</v>
      </c>
      <c r="J637" s="57" t="s">
        <v>235</v>
      </c>
      <c r="K637" s="57" t="s">
        <v>591</v>
      </c>
      <c r="L637" s="31" t="s">
        <v>644</v>
      </c>
      <c r="M637" s="22">
        <v>40</v>
      </c>
      <c r="N637" s="46">
        <v>161</v>
      </c>
      <c r="O637" s="49">
        <f t="shared" si="14"/>
        <v>6440</v>
      </c>
      <c r="P637" s="5" t="s">
        <v>393</v>
      </c>
      <c r="Q637" s="5" t="s">
        <v>766</v>
      </c>
      <c r="R637" s="11" t="s">
        <v>2024</v>
      </c>
      <c r="S637" s="5">
        <v>100</v>
      </c>
    </row>
    <row r="638" spans="1:19" ht="51">
      <c r="A638" s="5">
        <v>623</v>
      </c>
      <c r="B638" s="15" t="s">
        <v>710</v>
      </c>
      <c r="C638" s="30" t="s">
        <v>711</v>
      </c>
      <c r="D638" s="10" t="s">
        <v>683</v>
      </c>
      <c r="E638" s="57" t="s">
        <v>466</v>
      </c>
      <c r="F638" s="57" t="s">
        <v>463</v>
      </c>
      <c r="G638" s="57" t="s">
        <v>845</v>
      </c>
      <c r="H638" s="57" t="s">
        <v>770</v>
      </c>
      <c r="I638" s="57" t="s">
        <v>466</v>
      </c>
      <c r="J638" s="57" t="s">
        <v>463</v>
      </c>
      <c r="K638" s="57" t="s">
        <v>591</v>
      </c>
      <c r="L638" s="31" t="s">
        <v>644</v>
      </c>
      <c r="M638" s="22">
        <v>40</v>
      </c>
      <c r="N638" s="46">
        <v>161</v>
      </c>
      <c r="O638" s="49">
        <f t="shared" si="14"/>
        <v>6440</v>
      </c>
      <c r="P638" s="5" t="s">
        <v>393</v>
      </c>
      <c r="Q638" s="5" t="s">
        <v>766</v>
      </c>
      <c r="R638" s="11" t="s">
        <v>2024</v>
      </c>
      <c r="S638" s="5">
        <v>100</v>
      </c>
    </row>
    <row r="639" spans="1:19" ht="51">
      <c r="A639" s="5">
        <v>624</v>
      </c>
      <c r="B639" s="29" t="s">
        <v>710</v>
      </c>
      <c r="C639" s="30" t="s">
        <v>711</v>
      </c>
      <c r="D639" s="10" t="s">
        <v>684</v>
      </c>
      <c r="E639" s="57" t="s">
        <v>466</v>
      </c>
      <c r="F639" s="57" t="s">
        <v>25</v>
      </c>
      <c r="G639" s="57" t="s">
        <v>2191</v>
      </c>
      <c r="H639" s="57" t="s">
        <v>685</v>
      </c>
      <c r="I639" s="57" t="s">
        <v>466</v>
      </c>
      <c r="J639" s="57" t="s">
        <v>25</v>
      </c>
      <c r="K639" s="57" t="s">
        <v>591</v>
      </c>
      <c r="L639" s="31" t="s">
        <v>644</v>
      </c>
      <c r="M639" s="22">
        <v>40</v>
      </c>
      <c r="N639" s="46">
        <v>45</v>
      </c>
      <c r="O639" s="49">
        <f t="shared" si="14"/>
        <v>1800</v>
      </c>
      <c r="P639" s="5" t="s">
        <v>393</v>
      </c>
      <c r="Q639" s="5" t="s">
        <v>766</v>
      </c>
      <c r="R639" s="11" t="s">
        <v>2024</v>
      </c>
      <c r="S639" s="5">
        <v>100</v>
      </c>
    </row>
    <row r="640" spans="1:19" ht="51">
      <c r="A640" s="5">
        <v>625</v>
      </c>
      <c r="B640" s="15" t="s">
        <v>710</v>
      </c>
      <c r="C640" s="30" t="s">
        <v>711</v>
      </c>
      <c r="D640" s="10" t="s">
        <v>686</v>
      </c>
      <c r="E640" s="57" t="s">
        <v>2304</v>
      </c>
      <c r="F640" s="57" t="s">
        <v>26</v>
      </c>
      <c r="G640" s="57" t="s">
        <v>2305</v>
      </c>
      <c r="H640" s="57" t="s">
        <v>687</v>
      </c>
      <c r="I640" s="57" t="s">
        <v>2304</v>
      </c>
      <c r="J640" s="57" t="s">
        <v>26</v>
      </c>
      <c r="K640" s="57" t="s">
        <v>591</v>
      </c>
      <c r="L640" s="11" t="s">
        <v>909</v>
      </c>
      <c r="M640" s="22">
        <v>20</v>
      </c>
      <c r="N640" s="46">
        <v>134</v>
      </c>
      <c r="O640" s="49">
        <f t="shared" si="14"/>
        <v>2680</v>
      </c>
      <c r="P640" s="5" t="s">
        <v>393</v>
      </c>
      <c r="Q640" s="5" t="s">
        <v>766</v>
      </c>
      <c r="R640" s="11" t="s">
        <v>2024</v>
      </c>
      <c r="S640" s="5">
        <v>100</v>
      </c>
    </row>
    <row r="641" spans="1:19" ht="127.5" outlineLevel="1">
      <c r="A641" s="5">
        <v>626</v>
      </c>
      <c r="B641" s="29" t="s">
        <v>710</v>
      </c>
      <c r="C641" s="30" t="s">
        <v>711</v>
      </c>
      <c r="D641" s="5" t="s">
        <v>470</v>
      </c>
      <c r="E641" s="57" t="s">
        <v>27</v>
      </c>
      <c r="F641" s="57" t="s">
        <v>27</v>
      </c>
      <c r="G641" s="57" t="s">
        <v>471</v>
      </c>
      <c r="H641" s="57" t="s">
        <v>472</v>
      </c>
      <c r="I641" s="57" t="s">
        <v>27</v>
      </c>
      <c r="J641" s="57" t="s">
        <v>27</v>
      </c>
      <c r="K641" s="57" t="s">
        <v>591</v>
      </c>
      <c r="L641" s="31" t="s">
        <v>644</v>
      </c>
      <c r="M641" s="22">
        <v>2</v>
      </c>
      <c r="N641" s="46">
        <v>2679</v>
      </c>
      <c r="O641" s="49">
        <f t="shared" si="14"/>
        <v>5358</v>
      </c>
      <c r="P641" s="5" t="s">
        <v>393</v>
      </c>
      <c r="Q641" s="5" t="s">
        <v>766</v>
      </c>
      <c r="R641" s="11" t="s">
        <v>2024</v>
      </c>
      <c r="S641" s="5">
        <v>100</v>
      </c>
    </row>
    <row r="642" spans="1:19" ht="51">
      <c r="A642" s="5">
        <v>627</v>
      </c>
      <c r="B642" s="29" t="s">
        <v>710</v>
      </c>
      <c r="C642" s="30" t="s">
        <v>711</v>
      </c>
      <c r="D642" s="10" t="s">
        <v>688</v>
      </c>
      <c r="E642" s="57" t="s">
        <v>846</v>
      </c>
      <c r="F642" s="57" t="s">
        <v>846</v>
      </c>
      <c r="G642" s="57" t="s">
        <v>771</v>
      </c>
      <c r="H642" s="57" t="s">
        <v>771</v>
      </c>
      <c r="I642" s="57" t="s">
        <v>846</v>
      </c>
      <c r="J642" s="57" t="s">
        <v>236</v>
      </c>
      <c r="K642" s="57" t="s">
        <v>591</v>
      </c>
      <c r="L642" s="31" t="s">
        <v>644</v>
      </c>
      <c r="M642" s="22">
        <v>240</v>
      </c>
      <c r="N642" s="46">
        <v>45</v>
      </c>
      <c r="O642" s="49">
        <f t="shared" si="14"/>
        <v>10800</v>
      </c>
      <c r="P642" s="5" t="s">
        <v>393</v>
      </c>
      <c r="Q642" s="5" t="s">
        <v>766</v>
      </c>
      <c r="R642" s="11" t="s">
        <v>2024</v>
      </c>
      <c r="S642" s="5">
        <v>100</v>
      </c>
    </row>
    <row r="643" spans="1:19" ht="51">
      <c r="A643" s="5">
        <v>628</v>
      </c>
      <c r="B643" s="29" t="s">
        <v>710</v>
      </c>
      <c r="C643" s="30" t="s">
        <v>711</v>
      </c>
      <c r="D643" s="5" t="s">
        <v>476</v>
      </c>
      <c r="E643" s="57" t="s">
        <v>477</v>
      </c>
      <c r="F643" s="57" t="s">
        <v>28</v>
      </c>
      <c r="G643" s="57" t="s">
        <v>478</v>
      </c>
      <c r="H643" s="57" t="s">
        <v>479</v>
      </c>
      <c r="I643" s="57" t="s">
        <v>477</v>
      </c>
      <c r="J643" s="57" t="s">
        <v>28</v>
      </c>
      <c r="K643" s="57" t="s">
        <v>591</v>
      </c>
      <c r="L643" s="31" t="s">
        <v>644</v>
      </c>
      <c r="M643" s="22">
        <v>10</v>
      </c>
      <c r="N643" s="46">
        <v>759</v>
      </c>
      <c r="O643" s="49">
        <f t="shared" si="14"/>
        <v>7590</v>
      </c>
      <c r="P643" s="5" t="s">
        <v>393</v>
      </c>
      <c r="Q643" s="5" t="s">
        <v>766</v>
      </c>
      <c r="R643" s="11" t="s">
        <v>2024</v>
      </c>
      <c r="S643" s="5">
        <v>100</v>
      </c>
    </row>
    <row r="644" spans="1:19" ht="51">
      <c r="A644" s="5">
        <v>629</v>
      </c>
      <c r="B644" s="29" t="s">
        <v>710</v>
      </c>
      <c r="C644" s="30" t="s">
        <v>711</v>
      </c>
      <c r="D644" s="10" t="s">
        <v>690</v>
      </c>
      <c r="E644" s="57" t="s">
        <v>2183</v>
      </c>
      <c r="F644" s="57" t="s">
        <v>29</v>
      </c>
      <c r="G644" s="57" t="s">
        <v>847</v>
      </c>
      <c r="H644" s="57" t="s">
        <v>772</v>
      </c>
      <c r="I644" s="57" t="s">
        <v>2183</v>
      </c>
      <c r="J644" s="57" t="s">
        <v>29</v>
      </c>
      <c r="K644" s="57" t="s">
        <v>591</v>
      </c>
      <c r="L644" s="5" t="s">
        <v>480</v>
      </c>
      <c r="M644" s="22">
        <v>120</v>
      </c>
      <c r="N644" s="46">
        <v>27</v>
      </c>
      <c r="O644" s="49">
        <f t="shared" si="14"/>
        <v>3240</v>
      </c>
      <c r="P644" s="5" t="s">
        <v>393</v>
      </c>
      <c r="Q644" s="5" t="s">
        <v>766</v>
      </c>
      <c r="R644" s="11" t="s">
        <v>2024</v>
      </c>
      <c r="S644" s="5">
        <v>100</v>
      </c>
    </row>
    <row r="645" spans="1:19" ht="51">
      <c r="A645" s="5">
        <v>630</v>
      </c>
      <c r="B645" s="29" t="s">
        <v>710</v>
      </c>
      <c r="C645" s="30" t="s">
        <v>711</v>
      </c>
      <c r="D645" s="31" t="s">
        <v>691</v>
      </c>
      <c r="E645" s="57" t="s">
        <v>119</v>
      </c>
      <c r="F645" s="57" t="s">
        <v>119</v>
      </c>
      <c r="G645" s="57" t="s">
        <v>848</v>
      </c>
      <c r="H645" s="57" t="s">
        <v>692</v>
      </c>
      <c r="I645" s="57" t="s">
        <v>119</v>
      </c>
      <c r="J645" s="57" t="s">
        <v>119</v>
      </c>
      <c r="K645" s="57" t="s">
        <v>591</v>
      </c>
      <c r="L645" s="31" t="s">
        <v>644</v>
      </c>
      <c r="M645" s="22">
        <v>60</v>
      </c>
      <c r="N645" s="46">
        <v>103</v>
      </c>
      <c r="O645" s="49">
        <f t="shared" si="14"/>
        <v>6180</v>
      </c>
      <c r="P645" s="5" t="s">
        <v>393</v>
      </c>
      <c r="Q645" s="5" t="s">
        <v>766</v>
      </c>
      <c r="R645" s="11" t="s">
        <v>2024</v>
      </c>
      <c r="S645" s="5">
        <v>100</v>
      </c>
    </row>
    <row r="646" spans="1:19" ht="51">
      <c r="A646" s="5">
        <v>631</v>
      </c>
      <c r="B646" s="29" t="s">
        <v>710</v>
      </c>
      <c r="C646" s="30" t="s">
        <v>711</v>
      </c>
      <c r="D646" s="33" t="s">
        <v>422</v>
      </c>
      <c r="E646" s="57" t="s">
        <v>423</v>
      </c>
      <c r="F646" s="57" t="s">
        <v>424</v>
      </c>
      <c r="G646" s="57" t="s">
        <v>837</v>
      </c>
      <c r="H646" s="57" t="s">
        <v>425</v>
      </c>
      <c r="I646" s="57" t="s">
        <v>2303</v>
      </c>
      <c r="J646" s="57" t="s">
        <v>230</v>
      </c>
      <c r="K646" s="57" t="s">
        <v>591</v>
      </c>
      <c r="L646" s="11" t="s">
        <v>909</v>
      </c>
      <c r="M646" s="22">
        <v>336</v>
      </c>
      <c r="N646" s="46">
        <v>670</v>
      </c>
      <c r="O646" s="49">
        <f t="shared" si="14"/>
        <v>225120</v>
      </c>
      <c r="P646" s="5" t="s">
        <v>393</v>
      </c>
      <c r="Q646" s="5" t="s">
        <v>766</v>
      </c>
      <c r="R646" s="11">
        <v>351000000</v>
      </c>
      <c r="S646" s="22">
        <v>0</v>
      </c>
    </row>
    <row r="647" spans="1:19" ht="63.75">
      <c r="A647" s="5">
        <v>632</v>
      </c>
      <c r="B647" s="29" t="s">
        <v>710</v>
      </c>
      <c r="C647" s="30" t="s">
        <v>711</v>
      </c>
      <c r="D647" s="31" t="s">
        <v>426</v>
      </c>
      <c r="E647" s="57" t="s">
        <v>838</v>
      </c>
      <c r="F647" s="57" t="s">
        <v>19</v>
      </c>
      <c r="G647" s="57" t="s">
        <v>839</v>
      </c>
      <c r="H647" s="57" t="s">
        <v>428</v>
      </c>
      <c r="I647" s="57" t="s">
        <v>838</v>
      </c>
      <c r="J647" s="57" t="s">
        <v>19</v>
      </c>
      <c r="K647" s="57" t="s">
        <v>591</v>
      </c>
      <c r="L647" s="5" t="s">
        <v>669</v>
      </c>
      <c r="M647" s="22">
        <v>28</v>
      </c>
      <c r="N647" s="46">
        <v>313</v>
      </c>
      <c r="O647" s="49">
        <f t="shared" si="14"/>
        <v>8764</v>
      </c>
      <c r="P647" s="5" t="s">
        <v>393</v>
      </c>
      <c r="Q647" s="5" t="s">
        <v>766</v>
      </c>
      <c r="R647" s="11">
        <v>351000000</v>
      </c>
      <c r="S647" s="22">
        <v>0</v>
      </c>
    </row>
    <row r="648" spans="1:19" ht="51">
      <c r="A648" s="5">
        <v>633</v>
      </c>
      <c r="B648" s="29" t="s">
        <v>710</v>
      </c>
      <c r="C648" s="30" t="s">
        <v>711</v>
      </c>
      <c r="D648" s="10" t="s">
        <v>429</v>
      </c>
      <c r="E648" s="57" t="s">
        <v>840</v>
      </c>
      <c r="F648" s="57" t="s">
        <v>430</v>
      </c>
      <c r="G648" s="57" t="s">
        <v>841</v>
      </c>
      <c r="H648" s="57" t="s">
        <v>431</v>
      </c>
      <c r="I648" s="57" t="s">
        <v>840</v>
      </c>
      <c r="J648" s="57" t="s">
        <v>231</v>
      </c>
      <c r="K648" s="57" t="s">
        <v>591</v>
      </c>
      <c r="L648" s="11" t="s">
        <v>909</v>
      </c>
      <c r="M648" s="22">
        <v>56</v>
      </c>
      <c r="N648" s="46">
        <v>223</v>
      </c>
      <c r="O648" s="49">
        <f t="shared" si="14"/>
        <v>12488</v>
      </c>
      <c r="P648" s="5" t="s">
        <v>393</v>
      </c>
      <c r="Q648" s="5" t="s">
        <v>766</v>
      </c>
      <c r="R648" s="11">
        <v>351000000</v>
      </c>
      <c r="S648" s="22">
        <v>0</v>
      </c>
    </row>
    <row r="649" spans="1:19" ht="51">
      <c r="A649" s="5">
        <v>634</v>
      </c>
      <c r="B649" s="29" t="s">
        <v>710</v>
      </c>
      <c r="C649" s="30" t="s">
        <v>711</v>
      </c>
      <c r="D649" s="11" t="s">
        <v>894</v>
      </c>
      <c r="E649" s="57" t="s">
        <v>767</v>
      </c>
      <c r="F649" s="57" t="s">
        <v>18</v>
      </c>
      <c r="G649" s="57" t="s">
        <v>2180</v>
      </c>
      <c r="H649" s="57" t="s">
        <v>670</v>
      </c>
      <c r="I649" s="57" t="s">
        <v>767</v>
      </c>
      <c r="J649" s="57" t="s">
        <v>18</v>
      </c>
      <c r="K649" s="57" t="s">
        <v>591</v>
      </c>
      <c r="L649" s="5" t="s">
        <v>480</v>
      </c>
      <c r="M649" s="22">
        <v>56</v>
      </c>
      <c r="N649" s="46">
        <v>179</v>
      </c>
      <c r="O649" s="49">
        <f t="shared" si="14"/>
        <v>10024</v>
      </c>
      <c r="P649" s="5" t="s">
        <v>393</v>
      </c>
      <c r="Q649" s="5" t="s">
        <v>766</v>
      </c>
      <c r="R649" s="11">
        <v>351000000</v>
      </c>
      <c r="S649" s="22">
        <v>0</v>
      </c>
    </row>
    <row r="650" spans="1:19" ht="51">
      <c r="A650" s="5">
        <v>635</v>
      </c>
      <c r="B650" s="15" t="s">
        <v>710</v>
      </c>
      <c r="C650" s="30" t="s">
        <v>711</v>
      </c>
      <c r="D650" s="5" t="s">
        <v>671</v>
      </c>
      <c r="E650" s="57" t="s">
        <v>20</v>
      </c>
      <c r="F650" s="57" t="s">
        <v>20</v>
      </c>
      <c r="G650" s="57" t="s">
        <v>2228</v>
      </c>
      <c r="H650" s="57" t="s">
        <v>768</v>
      </c>
      <c r="I650" s="57" t="s">
        <v>20</v>
      </c>
      <c r="J650" s="57" t="s">
        <v>20</v>
      </c>
      <c r="K650" s="57" t="s">
        <v>591</v>
      </c>
      <c r="L650" s="31" t="s">
        <v>644</v>
      </c>
      <c r="M650" s="22">
        <v>56</v>
      </c>
      <c r="N650" s="46">
        <v>107</v>
      </c>
      <c r="O650" s="49">
        <f t="shared" si="14"/>
        <v>5992</v>
      </c>
      <c r="P650" s="5" t="s">
        <v>393</v>
      </c>
      <c r="Q650" s="5" t="s">
        <v>766</v>
      </c>
      <c r="R650" s="11">
        <v>351000000</v>
      </c>
      <c r="S650" s="22">
        <v>0</v>
      </c>
    </row>
    <row r="651" spans="1:19" ht="51">
      <c r="A651" s="5">
        <v>636</v>
      </c>
      <c r="B651" s="29" t="s">
        <v>710</v>
      </c>
      <c r="C651" s="30" t="s">
        <v>711</v>
      </c>
      <c r="D651" s="10" t="s">
        <v>673</v>
      </c>
      <c r="E651" s="57" t="s">
        <v>21</v>
      </c>
      <c r="F651" s="57" t="s">
        <v>21</v>
      </c>
      <c r="G651" s="57" t="s">
        <v>2246</v>
      </c>
      <c r="H651" s="57" t="s">
        <v>674</v>
      </c>
      <c r="I651" s="57" t="s">
        <v>21</v>
      </c>
      <c r="J651" s="57" t="s">
        <v>21</v>
      </c>
      <c r="K651" s="57" t="s">
        <v>591</v>
      </c>
      <c r="L651" s="31" t="s">
        <v>644</v>
      </c>
      <c r="M651" s="22">
        <v>14</v>
      </c>
      <c r="N651" s="46">
        <v>1339</v>
      </c>
      <c r="O651" s="49">
        <f t="shared" si="14"/>
        <v>18746</v>
      </c>
      <c r="P651" s="5" t="s">
        <v>393</v>
      </c>
      <c r="Q651" s="5" t="s">
        <v>766</v>
      </c>
      <c r="R651" s="11">
        <v>351000000</v>
      </c>
      <c r="S651" s="22">
        <v>0</v>
      </c>
    </row>
    <row r="652" spans="1:19" ht="63.75">
      <c r="A652" s="5">
        <v>637</v>
      </c>
      <c r="B652" s="15" t="s">
        <v>710</v>
      </c>
      <c r="C652" s="30" t="s">
        <v>711</v>
      </c>
      <c r="D652" s="10" t="s">
        <v>675</v>
      </c>
      <c r="E652" s="57" t="s">
        <v>2077</v>
      </c>
      <c r="F652" s="57" t="s">
        <v>22</v>
      </c>
      <c r="G652" s="57" t="s">
        <v>843</v>
      </c>
      <c r="H652" s="57" t="s">
        <v>769</v>
      </c>
      <c r="I652" s="57" t="s">
        <v>2077</v>
      </c>
      <c r="J652" s="57" t="s">
        <v>22</v>
      </c>
      <c r="K652" s="57" t="s">
        <v>591</v>
      </c>
      <c r="L652" s="5" t="s">
        <v>480</v>
      </c>
      <c r="M652" s="22">
        <v>336</v>
      </c>
      <c r="N652" s="46">
        <v>13</v>
      </c>
      <c r="O652" s="49">
        <f t="shared" si="14"/>
        <v>4368</v>
      </c>
      <c r="P652" s="5" t="s">
        <v>393</v>
      </c>
      <c r="Q652" s="5" t="s">
        <v>766</v>
      </c>
      <c r="R652" s="11">
        <v>351000000</v>
      </c>
      <c r="S652" s="22">
        <v>0</v>
      </c>
    </row>
    <row r="653" spans="1:19" ht="51">
      <c r="A653" s="5">
        <v>638</v>
      </c>
      <c r="B653" s="29" t="s">
        <v>710</v>
      </c>
      <c r="C653" s="30" t="s">
        <v>711</v>
      </c>
      <c r="D653" s="5" t="s">
        <v>443</v>
      </c>
      <c r="E653" s="57" t="s">
        <v>444</v>
      </c>
      <c r="F653" s="57" t="s">
        <v>444</v>
      </c>
      <c r="G653" s="57" t="s">
        <v>445</v>
      </c>
      <c r="H653" s="57" t="s">
        <v>446</v>
      </c>
      <c r="I653" s="57" t="s">
        <v>232</v>
      </c>
      <c r="J653" s="57" t="s">
        <v>232</v>
      </c>
      <c r="K653" s="57" t="s">
        <v>591</v>
      </c>
      <c r="L653" s="31" t="s">
        <v>644</v>
      </c>
      <c r="M653" s="22">
        <v>84</v>
      </c>
      <c r="N653" s="46">
        <v>446</v>
      </c>
      <c r="O653" s="49">
        <f t="shared" si="14"/>
        <v>37464</v>
      </c>
      <c r="P653" s="5" t="s">
        <v>393</v>
      </c>
      <c r="Q653" s="5" t="s">
        <v>766</v>
      </c>
      <c r="R653" s="11">
        <v>351000000</v>
      </c>
      <c r="S653" s="22">
        <v>0</v>
      </c>
    </row>
    <row r="654" spans="1:19" ht="51">
      <c r="A654" s="5">
        <v>639</v>
      </c>
      <c r="B654" s="29" t="s">
        <v>710</v>
      </c>
      <c r="C654" s="30" t="s">
        <v>711</v>
      </c>
      <c r="D654" s="10" t="s">
        <v>677</v>
      </c>
      <c r="E654" s="57" t="s">
        <v>2276</v>
      </c>
      <c r="F654" s="57" t="s">
        <v>23</v>
      </c>
      <c r="G654" s="57" t="s">
        <v>844</v>
      </c>
      <c r="H654" s="57" t="s">
        <v>678</v>
      </c>
      <c r="I654" s="57" t="s">
        <v>2276</v>
      </c>
      <c r="J654" s="57" t="s">
        <v>23</v>
      </c>
      <c r="K654" s="57" t="s">
        <v>591</v>
      </c>
      <c r="L654" s="31" t="s">
        <v>644</v>
      </c>
      <c r="M654" s="22">
        <v>84</v>
      </c>
      <c r="N654" s="46">
        <v>268</v>
      </c>
      <c r="O654" s="49">
        <f t="shared" si="14"/>
        <v>22512</v>
      </c>
      <c r="P654" s="5" t="s">
        <v>393</v>
      </c>
      <c r="Q654" s="5" t="s">
        <v>766</v>
      </c>
      <c r="R654" s="11">
        <v>351000000</v>
      </c>
      <c r="S654" s="22">
        <v>0</v>
      </c>
    </row>
    <row r="655" spans="1:19" ht="51">
      <c r="A655" s="5">
        <v>640</v>
      </c>
      <c r="B655" s="29" t="s">
        <v>710</v>
      </c>
      <c r="C655" s="30" t="s">
        <v>711</v>
      </c>
      <c r="D655" s="10" t="s">
        <v>679</v>
      </c>
      <c r="E655" s="57" t="s">
        <v>24</v>
      </c>
      <c r="F655" s="57" t="s">
        <v>24</v>
      </c>
      <c r="G655" s="57" t="s">
        <v>2279</v>
      </c>
      <c r="H655" s="57" t="s">
        <v>680</v>
      </c>
      <c r="I655" s="57" t="s">
        <v>24</v>
      </c>
      <c r="J655" s="57" t="s">
        <v>24</v>
      </c>
      <c r="K655" s="57" t="s">
        <v>591</v>
      </c>
      <c r="L655" s="31" t="s">
        <v>644</v>
      </c>
      <c r="M655" s="22">
        <v>14</v>
      </c>
      <c r="N655" s="46">
        <v>223</v>
      </c>
      <c r="O655" s="49">
        <f t="shared" si="14"/>
        <v>3122</v>
      </c>
      <c r="P655" s="5" t="s">
        <v>393</v>
      </c>
      <c r="Q655" s="5" t="s">
        <v>766</v>
      </c>
      <c r="R655" s="11">
        <v>351000000</v>
      </c>
      <c r="S655" s="22">
        <v>0</v>
      </c>
    </row>
    <row r="656" spans="1:19" ht="51">
      <c r="A656" s="5">
        <v>641</v>
      </c>
      <c r="B656" s="29" t="s">
        <v>710</v>
      </c>
      <c r="C656" s="30" t="s">
        <v>711</v>
      </c>
      <c r="D656" s="5" t="s">
        <v>449</v>
      </c>
      <c r="E656" s="57" t="s">
        <v>2278</v>
      </c>
      <c r="F656" s="57" t="s">
        <v>450</v>
      </c>
      <c r="G656" s="57" t="s">
        <v>2281</v>
      </c>
      <c r="H656" s="57" t="s">
        <v>451</v>
      </c>
      <c r="I656" s="57" t="s">
        <v>2278</v>
      </c>
      <c r="J656" s="57" t="s">
        <v>233</v>
      </c>
      <c r="K656" s="57" t="s">
        <v>591</v>
      </c>
      <c r="L656" s="5" t="s">
        <v>480</v>
      </c>
      <c r="M656" s="22">
        <v>84</v>
      </c>
      <c r="N656" s="46">
        <v>223</v>
      </c>
      <c r="O656" s="49">
        <f t="shared" si="14"/>
        <v>18732</v>
      </c>
      <c r="P656" s="5" t="s">
        <v>393</v>
      </c>
      <c r="Q656" s="5" t="s">
        <v>766</v>
      </c>
      <c r="R656" s="11">
        <v>351000000</v>
      </c>
      <c r="S656" s="22">
        <v>0</v>
      </c>
    </row>
    <row r="657" spans="1:19" ht="51">
      <c r="A657" s="5">
        <v>642</v>
      </c>
      <c r="B657" s="29" t="s">
        <v>710</v>
      </c>
      <c r="C657" s="30" t="s">
        <v>711</v>
      </c>
      <c r="D657" s="5" t="s">
        <v>452</v>
      </c>
      <c r="E657" s="57" t="s">
        <v>453</v>
      </c>
      <c r="F657" s="57" t="s">
        <v>454</v>
      </c>
      <c r="G657" s="57" t="s">
        <v>455</v>
      </c>
      <c r="H657" s="57" t="s">
        <v>456</v>
      </c>
      <c r="I657" s="57" t="s">
        <v>453</v>
      </c>
      <c r="J657" s="57" t="s">
        <v>234</v>
      </c>
      <c r="K657" s="57" t="s">
        <v>591</v>
      </c>
      <c r="L657" s="5" t="s">
        <v>480</v>
      </c>
      <c r="M657" s="22">
        <v>84</v>
      </c>
      <c r="N657" s="46">
        <v>179</v>
      </c>
      <c r="O657" s="49">
        <f t="shared" si="14"/>
        <v>15036</v>
      </c>
      <c r="P657" s="5" t="s">
        <v>393</v>
      </c>
      <c r="Q657" s="5" t="s">
        <v>766</v>
      </c>
      <c r="R657" s="11">
        <v>351000000</v>
      </c>
      <c r="S657" s="22">
        <v>0</v>
      </c>
    </row>
    <row r="658" spans="1:19" ht="51">
      <c r="A658" s="5">
        <v>643</v>
      </c>
      <c r="B658" s="29" t="s">
        <v>710</v>
      </c>
      <c r="C658" s="30" t="s">
        <v>711</v>
      </c>
      <c r="D658" s="5" t="s">
        <v>457</v>
      </c>
      <c r="E658" s="57" t="s">
        <v>17</v>
      </c>
      <c r="F658" s="57" t="s">
        <v>17</v>
      </c>
      <c r="G658" s="57" t="s">
        <v>2289</v>
      </c>
      <c r="H658" s="57" t="s">
        <v>2290</v>
      </c>
      <c r="I658" s="57" t="s">
        <v>17</v>
      </c>
      <c r="J658" s="57" t="s">
        <v>17</v>
      </c>
      <c r="K658" s="57" t="s">
        <v>591</v>
      </c>
      <c r="L658" s="31" t="s">
        <v>644</v>
      </c>
      <c r="M658" s="22">
        <v>28</v>
      </c>
      <c r="N658" s="46">
        <v>714</v>
      </c>
      <c r="O658" s="49">
        <f t="shared" si="14"/>
        <v>19992</v>
      </c>
      <c r="P658" s="5" t="s">
        <v>393</v>
      </c>
      <c r="Q658" s="5" t="s">
        <v>766</v>
      </c>
      <c r="R658" s="11">
        <v>351000000</v>
      </c>
      <c r="S658" s="22">
        <v>0</v>
      </c>
    </row>
    <row r="659" spans="1:19" ht="51">
      <c r="A659" s="5">
        <v>644</v>
      </c>
      <c r="B659" s="29" t="s">
        <v>710</v>
      </c>
      <c r="C659" s="30" t="s">
        <v>711</v>
      </c>
      <c r="D659" s="11" t="s">
        <v>459</v>
      </c>
      <c r="E659" s="57" t="s">
        <v>1691</v>
      </c>
      <c r="F659" s="57" t="s">
        <v>460</v>
      </c>
      <c r="G659" s="57" t="s">
        <v>2214</v>
      </c>
      <c r="H659" s="57" t="s">
        <v>2215</v>
      </c>
      <c r="I659" s="57" t="s">
        <v>235</v>
      </c>
      <c r="J659" s="57" t="s">
        <v>235</v>
      </c>
      <c r="K659" s="57" t="s">
        <v>591</v>
      </c>
      <c r="L659" s="31" t="s">
        <v>644</v>
      </c>
      <c r="M659" s="22">
        <v>56</v>
      </c>
      <c r="N659" s="46">
        <v>161</v>
      </c>
      <c r="O659" s="49">
        <f t="shared" si="14"/>
        <v>9016</v>
      </c>
      <c r="P659" s="5" t="s">
        <v>393</v>
      </c>
      <c r="Q659" s="5" t="s">
        <v>766</v>
      </c>
      <c r="R659" s="11">
        <v>351000000</v>
      </c>
      <c r="S659" s="22">
        <v>0</v>
      </c>
    </row>
    <row r="660" spans="1:19" ht="51">
      <c r="A660" s="5">
        <v>645</v>
      </c>
      <c r="B660" s="15" t="s">
        <v>710</v>
      </c>
      <c r="C660" s="30" t="s">
        <v>711</v>
      </c>
      <c r="D660" s="31" t="s">
        <v>462</v>
      </c>
      <c r="E660" s="57" t="s">
        <v>466</v>
      </c>
      <c r="F660" s="57" t="s">
        <v>463</v>
      </c>
      <c r="G660" s="57" t="s">
        <v>2269</v>
      </c>
      <c r="H660" s="57" t="s">
        <v>1272</v>
      </c>
      <c r="I660" s="57" t="s">
        <v>466</v>
      </c>
      <c r="J660" s="57" t="s">
        <v>463</v>
      </c>
      <c r="K660" s="57" t="s">
        <v>591</v>
      </c>
      <c r="L660" s="31" t="s">
        <v>644</v>
      </c>
      <c r="M660" s="22">
        <v>56</v>
      </c>
      <c r="N660" s="46">
        <v>161</v>
      </c>
      <c r="O660" s="49">
        <f t="shared" si="14"/>
        <v>9016</v>
      </c>
      <c r="P660" s="5" t="s">
        <v>393</v>
      </c>
      <c r="Q660" s="5" t="s">
        <v>766</v>
      </c>
      <c r="R660" s="11">
        <v>351000000</v>
      </c>
      <c r="S660" s="22">
        <v>0</v>
      </c>
    </row>
    <row r="661" spans="1:19" ht="51">
      <c r="A661" s="5">
        <v>646</v>
      </c>
      <c r="B661" s="29" t="s">
        <v>710</v>
      </c>
      <c r="C661" s="30" t="s">
        <v>711</v>
      </c>
      <c r="D661" s="10" t="s">
        <v>684</v>
      </c>
      <c r="E661" s="57" t="s">
        <v>466</v>
      </c>
      <c r="F661" s="57" t="s">
        <v>25</v>
      </c>
      <c r="G661" s="57" t="s">
        <v>2191</v>
      </c>
      <c r="H661" s="57" t="s">
        <v>685</v>
      </c>
      <c r="I661" s="57" t="s">
        <v>466</v>
      </c>
      <c r="J661" s="57" t="s">
        <v>25</v>
      </c>
      <c r="K661" s="57" t="s">
        <v>591</v>
      </c>
      <c r="L661" s="31" t="s">
        <v>644</v>
      </c>
      <c r="M661" s="22">
        <v>56</v>
      </c>
      <c r="N661" s="46">
        <v>45</v>
      </c>
      <c r="O661" s="49">
        <f t="shared" si="14"/>
        <v>2520</v>
      </c>
      <c r="P661" s="5" t="s">
        <v>393</v>
      </c>
      <c r="Q661" s="5" t="s">
        <v>766</v>
      </c>
      <c r="R661" s="11">
        <v>351000000</v>
      </c>
      <c r="S661" s="22">
        <v>0</v>
      </c>
    </row>
    <row r="662" spans="1:19" ht="51">
      <c r="A662" s="5">
        <v>647</v>
      </c>
      <c r="B662" s="15" t="s">
        <v>710</v>
      </c>
      <c r="C662" s="30" t="s">
        <v>711</v>
      </c>
      <c r="D662" s="10" t="s">
        <v>686</v>
      </c>
      <c r="E662" s="57" t="s">
        <v>2304</v>
      </c>
      <c r="F662" s="57" t="s">
        <v>26</v>
      </c>
      <c r="G662" s="57" t="s">
        <v>2305</v>
      </c>
      <c r="H662" s="57" t="s">
        <v>687</v>
      </c>
      <c r="I662" s="57" t="s">
        <v>2304</v>
      </c>
      <c r="J662" s="57" t="s">
        <v>26</v>
      </c>
      <c r="K662" s="57" t="s">
        <v>591</v>
      </c>
      <c r="L662" s="11" t="s">
        <v>909</v>
      </c>
      <c r="M662" s="22">
        <v>28</v>
      </c>
      <c r="N662" s="46">
        <v>134</v>
      </c>
      <c r="O662" s="49">
        <f t="shared" si="14"/>
        <v>3752</v>
      </c>
      <c r="P662" s="5" t="s">
        <v>393</v>
      </c>
      <c r="Q662" s="5" t="s">
        <v>766</v>
      </c>
      <c r="R662" s="11">
        <v>351000000</v>
      </c>
      <c r="S662" s="22">
        <v>0</v>
      </c>
    </row>
    <row r="663" spans="1:19" ht="127.5">
      <c r="A663" s="5">
        <v>648</v>
      </c>
      <c r="B663" s="29" t="s">
        <v>710</v>
      </c>
      <c r="C663" s="30" t="s">
        <v>711</v>
      </c>
      <c r="D663" s="5" t="s">
        <v>470</v>
      </c>
      <c r="E663" s="57" t="s">
        <v>27</v>
      </c>
      <c r="F663" s="57" t="s">
        <v>27</v>
      </c>
      <c r="G663" s="57" t="s">
        <v>471</v>
      </c>
      <c r="H663" s="57" t="s">
        <v>472</v>
      </c>
      <c r="I663" s="57" t="s">
        <v>27</v>
      </c>
      <c r="J663" s="57" t="s">
        <v>27</v>
      </c>
      <c r="K663" s="57" t="s">
        <v>591</v>
      </c>
      <c r="L663" s="31" t="s">
        <v>644</v>
      </c>
      <c r="M663" s="22">
        <v>3</v>
      </c>
      <c r="N663" s="46">
        <v>2679</v>
      </c>
      <c r="O663" s="49">
        <f t="shared" si="14"/>
        <v>8037</v>
      </c>
      <c r="P663" s="5" t="s">
        <v>393</v>
      </c>
      <c r="Q663" s="5" t="s">
        <v>766</v>
      </c>
      <c r="R663" s="11">
        <v>351000000</v>
      </c>
      <c r="S663" s="22">
        <v>0</v>
      </c>
    </row>
    <row r="664" spans="1:19" ht="51">
      <c r="A664" s="5">
        <v>649</v>
      </c>
      <c r="B664" s="29" t="s">
        <v>710</v>
      </c>
      <c r="C664" s="30" t="s">
        <v>711</v>
      </c>
      <c r="D664" s="10" t="s">
        <v>1124</v>
      </c>
      <c r="E664" s="57" t="s">
        <v>846</v>
      </c>
      <c r="F664" s="57" t="s">
        <v>474</v>
      </c>
      <c r="G664" s="57" t="s">
        <v>1729</v>
      </c>
      <c r="H664" s="57" t="s">
        <v>1125</v>
      </c>
      <c r="I664" s="57" t="s">
        <v>846</v>
      </c>
      <c r="J664" s="57" t="s">
        <v>236</v>
      </c>
      <c r="K664" s="57" t="s">
        <v>591</v>
      </c>
      <c r="L664" s="31" t="s">
        <v>644</v>
      </c>
      <c r="M664" s="22">
        <v>336</v>
      </c>
      <c r="N664" s="46">
        <v>45</v>
      </c>
      <c r="O664" s="49">
        <f t="shared" si="14"/>
        <v>15120</v>
      </c>
      <c r="P664" s="5" t="s">
        <v>393</v>
      </c>
      <c r="Q664" s="5" t="s">
        <v>766</v>
      </c>
      <c r="R664" s="11">
        <v>351000000</v>
      </c>
      <c r="S664" s="22">
        <v>0</v>
      </c>
    </row>
    <row r="665" spans="1:19" ht="51">
      <c r="A665" s="5">
        <v>650</v>
      </c>
      <c r="B665" s="29" t="s">
        <v>710</v>
      </c>
      <c r="C665" s="30" t="s">
        <v>711</v>
      </c>
      <c r="D665" s="5" t="s">
        <v>476</v>
      </c>
      <c r="E665" s="57" t="s">
        <v>477</v>
      </c>
      <c r="F665" s="57" t="s">
        <v>28</v>
      </c>
      <c r="G665" s="57" t="s">
        <v>478</v>
      </c>
      <c r="H665" s="57" t="s">
        <v>479</v>
      </c>
      <c r="I665" s="57" t="s">
        <v>477</v>
      </c>
      <c r="J665" s="57" t="s">
        <v>28</v>
      </c>
      <c r="K665" s="57" t="s">
        <v>591</v>
      </c>
      <c r="L665" s="31" t="s">
        <v>644</v>
      </c>
      <c r="M665" s="22">
        <v>14</v>
      </c>
      <c r="N665" s="46">
        <v>759</v>
      </c>
      <c r="O665" s="49">
        <f t="shared" si="14"/>
        <v>10626</v>
      </c>
      <c r="P665" s="5" t="s">
        <v>393</v>
      </c>
      <c r="Q665" s="5" t="s">
        <v>766</v>
      </c>
      <c r="R665" s="11">
        <v>351000000</v>
      </c>
      <c r="S665" s="22">
        <v>0</v>
      </c>
    </row>
    <row r="666" spans="1:19" ht="51">
      <c r="A666" s="5">
        <v>651</v>
      </c>
      <c r="B666" s="29" t="s">
        <v>710</v>
      </c>
      <c r="C666" s="30" t="s">
        <v>711</v>
      </c>
      <c r="D666" s="10" t="s">
        <v>690</v>
      </c>
      <c r="E666" s="57" t="s">
        <v>2183</v>
      </c>
      <c r="F666" s="57" t="s">
        <v>29</v>
      </c>
      <c r="G666" s="57" t="s">
        <v>847</v>
      </c>
      <c r="H666" s="57" t="s">
        <v>772</v>
      </c>
      <c r="I666" s="57" t="s">
        <v>2183</v>
      </c>
      <c r="J666" s="57" t="s">
        <v>29</v>
      </c>
      <c r="K666" s="57" t="s">
        <v>591</v>
      </c>
      <c r="L666" s="5" t="s">
        <v>480</v>
      </c>
      <c r="M666" s="22">
        <v>168</v>
      </c>
      <c r="N666" s="46">
        <v>27</v>
      </c>
      <c r="O666" s="49">
        <f t="shared" si="14"/>
        <v>4536</v>
      </c>
      <c r="P666" s="5" t="s">
        <v>393</v>
      </c>
      <c r="Q666" s="5" t="s">
        <v>766</v>
      </c>
      <c r="R666" s="11">
        <v>351000000</v>
      </c>
      <c r="S666" s="22">
        <v>0</v>
      </c>
    </row>
    <row r="667" spans="1:19" ht="51">
      <c r="A667" s="5">
        <v>652</v>
      </c>
      <c r="B667" s="29" t="s">
        <v>710</v>
      </c>
      <c r="C667" s="30" t="s">
        <v>711</v>
      </c>
      <c r="D667" s="31" t="s">
        <v>691</v>
      </c>
      <c r="E667" s="57" t="s">
        <v>119</v>
      </c>
      <c r="F667" s="57" t="s">
        <v>119</v>
      </c>
      <c r="G667" s="57" t="s">
        <v>848</v>
      </c>
      <c r="H667" s="57" t="s">
        <v>692</v>
      </c>
      <c r="I667" s="57" t="s">
        <v>119</v>
      </c>
      <c r="J667" s="57" t="s">
        <v>119</v>
      </c>
      <c r="K667" s="57" t="s">
        <v>591</v>
      </c>
      <c r="L667" s="31" t="s">
        <v>644</v>
      </c>
      <c r="M667" s="22">
        <v>84</v>
      </c>
      <c r="N667" s="46">
        <v>103</v>
      </c>
      <c r="O667" s="49">
        <f t="shared" ref="O667:O730" si="15">M667*N667</f>
        <v>8652</v>
      </c>
      <c r="P667" s="5" t="s">
        <v>393</v>
      </c>
      <c r="Q667" s="5" t="s">
        <v>766</v>
      </c>
      <c r="R667" s="11">
        <v>351000000</v>
      </c>
      <c r="S667" s="22">
        <v>0</v>
      </c>
    </row>
    <row r="668" spans="1:19" ht="51">
      <c r="A668" s="5">
        <v>653</v>
      </c>
      <c r="B668" s="29" t="s">
        <v>710</v>
      </c>
      <c r="C668" s="30" t="s">
        <v>711</v>
      </c>
      <c r="D668" s="33" t="s">
        <v>422</v>
      </c>
      <c r="E668" s="57" t="s">
        <v>423</v>
      </c>
      <c r="F668" s="57" t="s">
        <v>424</v>
      </c>
      <c r="G668" s="57" t="s">
        <v>837</v>
      </c>
      <c r="H668" s="57" t="s">
        <v>425</v>
      </c>
      <c r="I668" s="57" t="s">
        <v>2303</v>
      </c>
      <c r="J668" s="57" t="s">
        <v>230</v>
      </c>
      <c r="K668" s="57" t="s">
        <v>591</v>
      </c>
      <c r="L668" s="11" t="s">
        <v>909</v>
      </c>
      <c r="M668" s="22">
        <v>264</v>
      </c>
      <c r="N668" s="46">
        <v>670</v>
      </c>
      <c r="O668" s="49">
        <f t="shared" si="15"/>
        <v>176880</v>
      </c>
      <c r="P668" s="5" t="s">
        <v>393</v>
      </c>
      <c r="Q668" s="5" t="s">
        <v>766</v>
      </c>
      <c r="R668" s="11">
        <v>431000000</v>
      </c>
      <c r="S668" s="22">
        <v>0</v>
      </c>
    </row>
    <row r="669" spans="1:19" ht="63.75">
      <c r="A669" s="5">
        <v>654</v>
      </c>
      <c r="B669" s="29" t="s">
        <v>710</v>
      </c>
      <c r="C669" s="30" t="s">
        <v>711</v>
      </c>
      <c r="D669" s="31" t="s">
        <v>426</v>
      </c>
      <c r="E669" s="57" t="s">
        <v>838</v>
      </c>
      <c r="F669" s="57" t="s">
        <v>19</v>
      </c>
      <c r="G669" s="57" t="s">
        <v>839</v>
      </c>
      <c r="H669" s="57" t="s">
        <v>428</v>
      </c>
      <c r="I669" s="57" t="s">
        <v>838</v>
      </c>
      <c r="J669" s="57" t="s">
        <v>19</v>
      </c>
      <c r="K669" s="57" t="s">
        <v>591</v>
      </c>
      <c r="L669" s="5" t="s">
        <v>669</v>
      </c>
      <c r="M669" s="22">
        <v>22</v>
      </c>
      <c r="N669" s="46">
        <v>313</v>
      </c>
      <c r="O669" s="49">
        <f t="shared" si="15"/>
        <v>6886</v>
      </c>
      <c r="P669" s="5" t="s">
        <v>393</v>
      </c>
      <c r="Q669" s="5" t="s">
        <v>766</v>
      </c>
      <c r="R669" s="11">
        <v>431000000</v>
      </c>
      <c r="S669" s="22">
        <v>0</v>
      </c>
    </row>
    <row r="670" spans="1:19" ht="51">
      <c r="A670" s="5">
        <v>655</v>
      </c>
      <c r="B670" s="29" t="s">
        <v>710</v>
      </c>
      <c r="C670" s="30" t="s">
        <v>711</v>
      </c>
      <c r="D670" s="10" t="s">
        <v>429</v>
      </c>
      <c r="E670" s="57" t="s">
        <v>840</v>
      </c>
      <c r="F670" s="57" t="s">
        <v>430</v>
      </c>
      <c r="G670" s="57" t="s">
        <v>841</v>
      </c>
      <c r="H670" s="57" t="s">
        <v>431</v>
      </c>
      <c r="I670" s="57" t="s">
        <v>840</v>
      </c>
      <c r="J670" s="57" t="s">
        <v>231</v>
      </c>
      <c r="K670" s="57" t="s">
        <v>591</v>
      </c>
      <c r="L670" s="11" t="s">
        <v>909</v>
      </c>
      <c r="M670" s="22">
        <v>44</v>
      </c>
      <c r="N670" s="46">
        <v>223</v>
      </c>
      <c r="O670" s="49">
        <f t="shared" si="15"/>
        <v>9812</v>
      </c>
      <c r="P670" s="5" t="s">
        <v>393</v>
      </c>
      <c r="Q670" s="5" t="s">
        <v>766</v>
      </c>
      <c r="R670" s="11">
        <v>431000000</v>
      </c>
      <c r="S670" s="22">
        <v>0</v>
      </c>
    </row>
    <row r="671" spans="1:19" ht="51">
      <c r="A671" s="5">
        <v>656</v>
      </c>
      <c r="B671" s="29" t="s">
        <v>710</v>
      </c>
      <c r="C671" s="30" t="s">
        <v>711</v>
      </c>
      <c r="D671" s="5" t="s">
        <v>432</v>
      </c>
      <c r="E671" s="57" t="s">
        <v>433</v>
      </c>
      <c r="F671" s="57" t="s">
        <v>434</v>
      </c>
      <c r="G671" s="57" t="s">
        <v>435</v>
      </c>
      <c r="H671" s="57" t="s">
        <v>436</v>
      </c>
      <c r="I671" s="57" t="s">
        <v>767</v>
      </c>
      <c r="J671" s="57" t="s">
        <v>18</v>
      </c>
      <c r="K671" s="57" t="s">
        <v>591</v>
      </c>
      <c r="L671" s="5" t="s">
        <v>644</v>
      </c>
      <c r="M671" s="22">
        <v>44</v>
      </c>
      <c r="N671" s="46">
        <v>179</v>
      </c>
      <c r="O671" s="49">
        <f t="shared" si="15"/>
        <v>7876</v>
      </c>
      <c r="P671" s="5" t="s">
        <v>393</v>
      </c>
      <c r="Q671" s="5" t="s">
        <v>766</v>
      </c>
      <c r="R671" s="11">
        <v>431000000</v>
      </c>
      <c r="S671" s="22">
        <v>0</v>
      </c>
    </row>
    <row r="672" spans="1:19" ht="51">
      <c r="A672" s="5">
        <v>657</v>
      </c>
      <c r="B672" s="15" t="s">
        <v>710</v>
      </c>
      <c r="C672" s="30" t="s">
        <v>711</v>
      </c>
      <c r="D672" s="5" t="s">
        <v>437</v>
      </c>
      <c r="E672" s="57" t="s">
        <v>20</v>
      </c>
      <c r="F672" s="57" t="s">
        <v>20</v>
      </c>
      <c r="G672" s="57" t="s">
        <v>438</v>
      </c>
      <c r="H672" s="57" t="s">
        <v>439</v>
      </c>
      <c r="I672" s="57" t="s">
        <v>20</v>
      </c>
      <c r="J672" s="57" t="s">
        <v>20</v>
      </c>
      <c r="K672" s="57" t="s">
        <v>591</v>
      </c>
      <c r="L672" s="31" t="s">
        <v>644</v>
      </c>
      <c r="M672" s="22">
        <v>44</v>
      </c>
      <c r="N672" s="46">
        <v>107</v>
      </c>
      <c r="O672" s="49">
        <f t="shared" si="15"/>
        <v>4708</v>
      </c>
      <c r="P672" s="5" t="s">
        <v>393</v>
      </c>
      <c r="Q672" s="5" t="s">
        <v>766</v>
      </c>
      <c r="R672" s="11">
        <v>431000000</v>
      </c>
      <c r="S672" s="22">
        <v>0</v>
      </c>
    </row>
    <row r="673" spans="1:19" ht="51">
      <c r="A673" s="5">
        <v>658</v>
      </c>
      <c r="B673" s="29" t="s">
        <v>710</v>
      </c>
      <c r="C673" s="30" t="s">
        <v>711</v>
      </c>
      <c r="D673" s="5" t="s">
        <v>440</v>
      </c>
      <c r="E673" s="57" t="s">
        <v>21</v>
      </c>
      <c r="F673" s="57" t="s">
        <v>21</v>
      </c>
      <c r="G673" s="57" t="s">
        <v>441</v>
      </c>
      <c r="H673" s="57" t="s">
        <v>442</v>
      </c>
      <c r="I673" s="57" t="s">
        <v>21</v>
      </c>
      <c r="J673" s="57" t="s">
        <v>21</v>
      </c>
      <c r="K673" s="57" t="s">
        <v>591</v>
      </c>
      <c r="L673" s="31" t="s">
        <v>644</v>
      </c>
      <c r="M673" s="22">
        <v>11</v>
      </c>
      <c r="N673" s="46">
        <v>1339</v>
      </c>
      <c r="O673" s="49">
        <f t="shared" si="15"/>
        <v>14729</v>
      </c>
      <c r="P673" s="5" t="s">
        <v>393</v>
      </c>
      <c r="Q673" s="5" t="s">
        <v>766</v>
      </c>
      <c r="R673" s="11">
        <v>431000000</v>
      </c>
      <c r="S673" s="22">
        <v>0</v>
      </c>
    </row>
    <row r="674" spans="1:19" ht="63.75">
      <c r="A674" s="5">
        <v>659</v>
      </c>
      <c r="B674" s="15" t="s">
        <v>710</v>
      </c>
      <c r="C674" s="30" t="s">
        <v>711</v>
      </c>
      <c r="D674" s="10" t="s">
        <v>675</v>
      </c>
      <c r="E674" s="57" t="s">
        <v>2077</v>
      </c>
      <c r="F674" s="57" t="s">
        <v>22</v>
      </c>
      <c r="G674" s="57" t="s">
        <v>843</v>
      </c>
      <c r="H674" s="57" t="s">
        <v>769</v>
      </c>
      <c r="I674" s="57" t="s">
        <v>2077</v>
      </c>
      <c r="J674" s="57" t="s">
        <v>22</v>
      </c>
      <c r="K674" s="57" t="s">
        <v>591</v>
      </c>
      <c r="L674" s="5" t="s">
        <v>480</v>
      </c>
      <c r="M674" s="22">
        <v>264</v>
      </c>
      <c r="N674" s="46">
        <v>13</v>
      </c>
      <c r="O674" s="49">
        <f t="shared" si="15"/>
        <v>3432</v>
      </c>
      <c r="P674" s="5" t="s">
        <v>393</v>
      </c>
      <c r="Q674" s="5" t="s">
        <v>766</v>
      </c>
      <c r="R674" s="11">
        <v>431000000</v>
      </c>
      <c r="S674" s="22">
        <v>0</v>
      </c>
    </row>
    <row r="675" spans="1:19" ht="51">
      <c r="A675" s="5">
        <v>660</v>
      </c>
      <c r="B675" s="29" t="s">
        <v>710</v>
      </c>
      <c r="C675" s="30" t="s">
        <v>711</v>
      </c>
      <c r="D675" s="5" t="s">
        <v>443</v>
      </c>
      <c r="E675" s="57" t="s">
        <v>444</v>
      </c>
      <c r="F675" s="57" t="s">
        <v>444</v>
      </c>
      <c r="G675" s="57" t="s">
        <v>445</v>
      </c>
      <c r="H675" s="57" t="s">
        <v>446</v>
      </c>
      <c r="I675" s="57" t="s">
        <v>232</v>
      </c>
      <c r="J675" s="57" t="s">
        <v>232</v>
      </c>
      <c r="K675" s="57" t="s">
        <v>591</v>
      </c>
      <c r="L675" s="31" t="s">
        <v>644</v>
      </c>
      <c r="M675" s="22">
        <v>66</v>
      </c>
      <c r="N675" s="46">
        <v>446</v>
      </c>
      <c r="O675" s="49">
        <f t="shared" si="15"/>
        <v>29436</v>
      </c>
      <c r="P675" s="5" t="s">
        <v>393</v>
      </c>
      <c r="Q675" s="5" t="s">
        <v>766</v>
      </c>
      <c r="R675" s="11">
        <v>431000000</v>
      </c>
      <c r="S675" s="22">
        <v>0</v>
      </c>
    </row>
    <row r="676" spans="1:19" ht="51">
      <c r="A676" s="5">
        <v>661</v>
      </c>
      <c r="B676" s="29" t="s">
        <v>710</v>
      </c>
      <c r="C676" s="30" t="s">
        <v>711</v>
      </c>
      <c r="D676" s="10" t="s">
        <v>677</v>
      </c>
      <c r="E676" s="57" t="s">
        <v>2276</v>
      </c>
      <c r="F676" s="57" t="s">
        <v>23</v>
      </c>
      <c r="G676" s="57" t="s">
        <v>844</v>
      </c>
      <c r="H676" s="57" t="s">
        <v>678</v>
      </c>
      <c r="I676" s="57" t="s">
        <v>2276</v>
      </c>
      <c r="J676" s="57" t="s">
        <v>23</v>
      </c>
      <c r="K676" s="57" t="s">
        <v>591</v>
      </c>
      <c r="L676" s="31" t="s">
        <v>644</v>
      </c>
      <c r="M676" s="22">
        <v>66</v>
      </c>
      <c r="N676" s="46">
        <v>268</v>
      </c>
      <c r="O676" s="49">
        <f t="shared" si="15"/>
        <v>17688</v>
      </c>
      <c r="P676" s="5" t="s">
        <v>393</v>
      </c>
      <c r="Q676" s="5" t="s">
        <v>766</v>
      </c>
      <c r="R676" s="11">
        <v>431000000</v>
      </c>
      <c r="S676" s="22">
        <v>0</v>
      </c>
    </row>
    <row r="677" spans="1:19" ht="51">
      <c r="A677" s="5">
        <v>662</v>
      </c>
      <c r="B677" s="29" t="s">
        <v>710</v>
      </c>
      <c r="C677" s="30" t="s">
        <v>711</v>
      </c>
      <c r="D677" s="5" t="s">
        <v>447</v>
      </c>
      <c r="E677" s="57" t="s">
        <v>24</v>
      </c>
      <c r="F677" s="57" t="s">
        <v>24</v>
      </c>
      <c r="G677" s="57" t="s">
        <v>2280</v>
      </c>
      <c r="H677" s="57" t="s">
        <v>448</v>
      </c>
      <c r="I677" s="57" t="s">
        <v>24</v>
      </c>
      <c r="J677" s="57" t="s">
        <v>24</v>
      </c>
      <c r="K677" s="57" t="s">
        <v>591</v>
      </c>
      <c r="L677" s="31" t="s">
        <v>644</v>
      </c>
      <c r="M677" s="22">
        <v>11</v>
      </c>
      <c r="N677" s="46">
        <v>223</v>
      </c>
      <c r="O677" s="49">
        <f t="shared" si="15"/>
        <v>2453</v>
      </c>
      <c r="P677" s="5" t="s">
        <v>393</v>
      </c>
      <c r="Q677" s="5" t="s">
        <v>766</v>
      </c>
      <c r="R677" s="11">
        <v>431000000</v>
      </c>
      <c r="S677" s="22">
        <v>0</v>
      </c>
    </row>
    <row r="678" spans="1:19" ht="51">
      <c r="A678" s="5">
        <v>663</v>
      </c>
      <c r="B678" s="29" t="s">
        <v>710</v>
      </c>
      <c r="C678" s="30" t="s">
        <v>711</v>
      </c>
      <c r="D678" s="5" t="s">
        <v>449</v>
      </c>
      <c r="E678" s="57" t="s">
        <v>2278</v>
      </c>
      <c r="F678" s="57" t="s">
        <v>450</v>
      </c>
      <c r="G678" s="57" t="s">
        <v>2281</v>
      </c>
      <c r="H678" s="57" t="s">
        <v>451</v>
      </c>
      <c r="I678" s="57" t="s">
        <v>2278</v>
      </c>
      <c r="J678" s="57" t="s">
        <v>233</v>
      </c>
      <c r="K678" s="57" t="s">
        <v>591</v>
      </c>
      <c r="L678" s="5" t="s">
        <v>480</v>
      </c>
      <c r="M678" s="22">
        <v>66</v>
      </c>
      <c r="N678" s="46">
        <v>223</v>
      </c>
      <c r="O678" s="49">
        <f t="shared" si="15"/>
        <v>14718</v>
      </c>
      <c r="P678" s="5" t="s">
        <v>393</v>
      </c>
      <c r="Q678" s="5" t="s">
        <v>766</v>
      </c>
      <c r="R678" s="11">
        <v>431000000</v>
      </c>
      <c r="S678" s="22">
        <v>0</v>
      </c>
    </row>
    <row r="679" spans="1:19" ht="51">
      <c r="A679" s="5">
        <v>664</v>
      </c>
      <c r="B679" s="29" t="s">
        <v>710</v>
      </c>
      <c r="C679" s="30" t="s">
        <v>711</v>
      </c>
      <c r="D679" s="5" t="s">
        <v>452</v>
      </c>
      <c r="E679" s="57" t="s">
        <v>453</v>
      </c>
      <c r="F679" s="57" t="s">
        <v>454</v>
      </c>
      <c r="G679" s="57" t="s">
        <v>455</v>
      </c>
      <c r="H679" s="57" t="s">
        <v>456</v>
      </c>
      <c r="I679" s="57" t="s">
        <v>453</v>
      </c>
      <c r="J679" s="57" t="s">
        <v>234</v>
      </c>
      <c r="K679" s="57" t="s">
        <v>591</v>
      </c>
      <c r="L679" s="5" t="s">
        <v>480</v>
      </c>
      <c r="M679" s="22">
        <v>66</v>
      </c>
      <c r="N679" s="46">
        <v>179</v>
      </c>
      <c r="O679" s="49">
        <f t="shared" si="15"/>
        <v>11814</v>
      </c>
      <c r="P679" s="5" t="s">
        <v>393</v>
      </c>
      <c r="Q679" s="5" t="s">
        <v>766</v>
      </c>
      <c r="R679" s="11">
        <v>431000000</v>
      </c>
      <c r="S679" s="22">
        <v>0</v>
      </c>
    </row>
    <row r="680" spans="1:19" ht="51">
      <c r="A680" s="5">
        <v>665</v>
      </c>
      <c r="B680" s="29" t="s">
        <v>710</v>
      </c>
      <c r="C680" s="30" t="s">
        <v>711</v>
      </c>
      <c r="D680" s="5" t="s">
        <v>457</v>
      </c>
      <c r="E680" s="57" t="s">
        <v>17</v>
      </c>
      <c r="F680" s="57" t="s">
        <v>17</v>
      </c>
      <c r="G680" s="57" t="s">
        <v>2289</v>
      </c>
      <c r="H680" s="57" t="s">
        <v>2290</v>
      </c>
      <c r="I680" s="57" t="s">
        <v>17</v>
      </c>
      <c r="J680" s="57" t="s">
        <v>17</v>
      </c>
      <c r="K680" s="57" t="s">
        <v>591</v>
      </c>
      <c r="L680" s="31" t="s">
        <v>644</v>
      </c>
      <c r="M680" s="22">
        <v>22</v>
      </c>
      <c r="N680" s="46">
        <v>714</v>
      </c>
      <c r="O680" s="49">
        <f t="shared" si="15"/>
        <v>15708</v>
      </c>
      <c r="P680" s="5" t="s">
        <v>393</v>
      </c>
      <c r="Q680" s="5" t="s">
        <v>766</v>
      </c>
      <c r="R680" s="11">
        <v>431000000</v>
      </c>
      <c r="S680" s="22">
        <v>0</v>
      </c>
    </row>
    <row r="681" spans="1:19" ht="51">
      <c r="A681" s="5">
        <v>666</v>
      </c>
      <c r="B681" s="29" t="s">
        <v>710</v>
      </c>
      <c r="C681" s="30" t="s">
        <v>711</v>
      </c>
      <c r="D681" s="11" t="s">
        <v>459</v>
      </c>
      <c r="E681" s="57" t="s">
        <v>1691</v>
      </c>
      <c r="F681" s="57" t="s">
        <v>460</v>
      </c>
      <c r="G681" s="57" t="s">
        <v>2214</v>
      </c>
      <c r="H681" s="57" t="s">
        <v>2215</v>
      </c>
      <c r="I681" s="57" t="s">
        <v>235</v>
      </c>
      <c r="J681" s="57" t="s">
        <v>235</v>
      </c>
      <c r="K681" s="57" t="s">
        <v>591</v>
      </c>
      <c r="L681" s="31" t="s">
        <v>644</v>
      </c>
      <c r="M681" s="22">
        <v>44</v>
      </c>
      <c r="N681" s="46">
        <v>161</v>
      </c>
      <c r="O681" s="49">
        <f t="shared" si="15"/>
        <v>7084</v>
      </c>
      <c r="P681" s="5" t="s">
        <v>393</v>
      </c>
      <c r="Q681" s="5" t="s">
        <v>766</v>
      </c>
      <c r="R681" s="11">
        <v>431000000</v>
      </c>
      <c r="S681" s="22">
        <v>0</v>
      </c>
    </row>
    <row r="682" spans="1:19" ht="51">
      <c r="A682" s="5">
        <v>667</v>
      </c>
      <c r="B682" s="15" t="s">
        <v>710</v>
      </c>
      <c r="C682" s="30" t="s">
        <v>711</v>
      </c>
      <c r="D682" s="5" t="s">
        <v>462</v>
      </c>
      <c r="E682" s="57" t="s">
        <v>463</v>
      </c>
      <c r="F682" s="57" t="s">
        <v>463</v>
      </c>
      <c r="G682" s="57" t="s">
        <v>464</v>
      </c>
      <c r="H682" s="57" t="s">
        <v>465</v>
      </c>
      <c r="I682" s="57" t="s">
        <v>466</v>
      </c>
      <c r="J682" s="57" t="s">
        <v>463</v>
      </c>
      <c r="K682" s="57" t="s">
        <v>591</v>
      </c>
      <c r="L682" s="31" t="s">
        <v>644</v>
      </c>
      <c r="M682" s="22">
        <v>44</v>
      </c>
      <c r="N682" s="46">
        <v>161</v>
      </c>
      <c r="O682" s="49">
        <f t="shared" si="15"/>
        <v>7084</v>
      </c>
      <c r="P682" s="5" t="s">
        <v>393</v>
      </c>
      <c r="Q682" s="5" t="s">
        <v>766</v>
      </c>
      <c r="R682" s="11">
        <v>431000000</v>
      </c>
      <c r="S682" s="22">
        <v>0</v>
      </c>
    </row>
    <row r="683" spans="1:19" ht="51">
      <c r="A683" s="5">
        <v>668</v>
      </c>
      <c r="B683" s="29" t="s">
        <v>710</v>
      </c>
      <c r="C683" s="30" t="s">
        <v>711</v>
      </c>
      <c r="D683" s="10" t="s">
        <v>684</v>
      </c>
      <c r="E683" s="57" t="s">
        <v>466</v>
      </c>
      <c r="F683" s="57" t="s">
        <v>25</v>
      </c>
      <c r="G683" s="57" t="s">
        <v>2191</v>
      </c>
      <c r="H683" s="57" t="s">
        <v>685</v>
      </c>
      <c r="I683" s="57" t="s">
        <v>466</v>
      </c>
      <c r="J683" s="57" t="s">
        <v>25</v>
      </c>
      <c r="K683" s="57" t="s">
        <v>591</v>
      </c>
      <c r="L683" s="31" t="s">
        <v>644</v>
      </c>
      <c r="M683" s="22">
        <v>44</v>
      </c>
      <c r="N683" s="46">
        <v>45</v>
      </c>
      <c r="O683" s="49">
        <f t="shared" si="15"/>
        <v>1980</v>
      </c>
      <c r="P683" s="5" t="s">
        <v>393</v>
      </c>
      <c r="Q683" s="5" t="s">
        <v>766</v>
      </c>
      <c r="R683" s="11">
        <v>431000000</v>
      </c>
      <c r="S683" s="22">
        <v>0</v>
      </c>
    </row>
    <row r="684" spans="1:19" ht="51">
      <c r="A684" s="5">
        <v>669</v>
      </c>
      <c r="B684" s="15" t="s">
        <v>710</v>
      </c>
      <c r="C684" s="30" t="s">
        <v>711</v>
      </c>
      <c r="D684" s="5" t="s">
        <v>468</v>
      </c>
      <c r="E684" s="57" t="s">
        <v>2304</v>
      </c>
      <c r="F684" s="57" t="s">
        <v>26</v>
      </c>
      <c r="G684" s="57" t="s">
        <v>1720</v>
      </c>
      <c r="H684" s="57" t="s">
        <v>469</v>
      </c>
      <c r="I684" s="57" t="s">
        <v>2304</v>
      </c>
      <c r="J684" s="57" t="s">
        <v>26</v>
      </c>
      <c r="K684" s="57" t="s">
        <v>591</v>
      </c>
      <c r="L684" s="11" t="s">
        <v>909</v>
      </c>
      <c r="M684" s="22">
        <v>22</v>
      </c>
      <c r="N684" s="46">
        <v>134</v>
      </c>
      <c r="O684" s="49">
        <f t="shared" si="15"/>
        <v>2948</v>
      </c>
      <c r="P684" s="5" t="s">
        <v>393</v>
      </c>
      <c r="Q684" s="5" t="s">
        <v>766</v>
      </c>
      <c r="R684" s="11">
        <v>431000000</v>
      </c>
      <c r="S684" s="22">
        <v>0</v>
      </c>
    </row>
    <row r="685" spans="1:19" ht="127.5">
      <c r="A685" s="5">
        <v>670</v>
      </c>
      <c r="B685" s="29" t="s">
        <v>710</v>
      </c>
      <c r="C685" s="30" t="s">
        <v>711</v>
      </c>
      <c r="D685" s="5" t="s">
        <v>470</v>
      </c>
      <c r="E685" s="57" t="s">
        <v>27</v>
      </c>
      <c r="F685" s="57" t="s">
        <v>27</v>
      </c>
      <c r="G685" s="57" t="s">
        <v>471</v>
      </c>
      <c r="H685" s="57" t="s">
        <v>472</v>
      </c>
      <c r="I685" s="57" t="s">
        <v>27</v>
      </c>
      <c r="J685" s="57" t="s">
        <v>27</v>
      </c>
      <c r="K685" s="57" t="s">
        <v>591</v>
      </c>
      <c r="L685" s="31" t="s">
        <v>644</v>
      </c>
      <c r="M685" s="22">
        <v>2</v>
      </c>
      <c r="N685" s="46">
        <v>2679</v>
      </c>
      <c r="O685" s="49">
        <f t="shared" si="15"/>
        <v>5358</v>
      </c>
      <c r="P685" s="5" t="s">
        <v>393</v>
      </c>
      <c r="Q685" s="5" t="s">
        <v>766</v>
      </c>
      <c r="R685" s="11">
        <v>431000000</v>
      </c>
      <c r="S685" s="22">
        <v>0</v>
      </c>
    </row>
    <row r="686" spans="1:19" ht="51">
      <c r="A686" s="5">
        <v>671</v>
      </c>
      <c r="B686" s="29" t="s">
        <v>710</v>
      </c>
      <c r="C686" s="30" t="s">
        <v>711</v>
      </c>
      <c r="D686" s="11" t="s">
        <v>473</v>
      </c>
      <c r="E686" s="57" t="s">
        <v>846</v>
      </c>
      <c r="F686" s="57" t="s">
        <v>474</v>
      </c>
      <c r="G686" s="57" t="s">
        <v>475</v>
      </c>
      <c r="H686" s="57" t="s">
        <v>475</v>
      </c>
      <c r="I686" s="57" t="s">
        <v>846</v>
      </c>
      <c r="J686" s="57" t="s">
        <v>236</v>
      </c>
      <c r="K686" s="57" t="s">
        <v>591</v>
      </c>
      <c r="L686" s="31" t="s">
        <v>644</v>
      </c>
      <c r="M686" s="22">
        <v>264</v>
      </c>
      <c r="N686" s="46">
        <v>45</v>
      </c>
      <c r="O686" s="49">
        <f t="shared" si="15"/>
        <v>11880</v>
      </c>
      <c r="P686" s="5" t="s">
        <v>393</v>
      </c>
      <c r="Q686" s="5" t="s">
        <v>766</v>
      </c>
      <c r="R686" s="11">
        <v>431000000</v>
      </c>
      <c r="S686" s="22">
        <v>0</v>
      </c>
    </row>
    <row r="687" spans="1:19" ht="51">
      <c r="A687" s="5">
        <v>672</v>
      </c>
      <c r="B687" s="29" t="s">
        <v>710</v>
      </c>
      <c r="C687" s="30" t="s">
        <v>711</v>
      </c>
      <c r="D687" s="5" t="s">
        <v>476</v>
      </c>
      <c r="E687" s="57" t="s">
        <v>477</v>
      </c>
      <c r="F687" s="57" t="s">
        <v>28</v>
      </c>
      <c r="G687" s="57" t="s">
        <v>478</v>
      </c>
      <c r="H687" s="57" t="s">
        <v>479</v>
      </c>
      <c r="I687" s="57" t="s">
        <v>477</v>
      </c>
      <c r="J687" s="57" t="s">
        <v>28</v>
      </c>
      <c r="K687" s="57" t="s">
        <v>591</v>
      </c>
      <c r="L687" s="31" t="s">
        <v>644</v>
      </c>
      <c r="M687" s="22">
        <v>11</v>
      </c>
      <c r="N687" s="46">
        <v>759</v>
      </c>
      <c r="O687" s="49">
        <f t="shared" si="15"/>
        <v>8349</v>
      </c>
      <c r="P687" s="5" t="s">
        <v>393</v>
      </c>
      <c r="Q687" s="5" t="s">
        <v>766</v>
      </c>
      <c r="R687" s="11">
        <v>431000000</v>
      </c>
      <c r="S687" s="22">
        <v>0</v>
      </c>
    </row>
    <row r="688" spans="1:19" ht="51">
      <c r="A688" s="5">
        <v>673</v>
      </c>
      <c r="B688" s="29" t="s">
        <v>710</v>
      </c>
      <c r="C688" s="30" t="s">
        <v>711</v>
      </c>
      <c r="D688" s="10" t="s">
        <v>690</v>
      </c>
      <c r="E688" s="57" t="s">
        <v>2183</v>
      </c>
      <c r="F688" s="57" t="s">
        <v>29</v>
      </c>
      <c r="G688" s="57" t="s">
        <v>847</v>
      </c>
      <c r="H688" s="57" t="s">
        <v>772</v>
      </c>
      <c r="I688" s="57" t="s">
        <v>2183</v>
      </c>
      <c r="J688" s="57" t="s">
        <v>29</v>
      </c>
      <c r="K688" s="57" t="s">
        <v>591</v>
      </c>
      <c r="L688" s="5" t="s">
        <v>480</v>
      </c>
      <c r="M688" s="22">
        <v>132</v>
      </c>
      <c r="N688" s="46">
        <v>27</v>
      </c>
      <c r="O688" s="49">
        <f t="shared" si="15"/>
        <v>3564</v>
      </c>
      <c r="P688" s="5" t="s">
        <v>393</v>
      </c>
      <c r="Q688" s="5" t="s">
        <v>766</v>
      </c>
      <c r="R688" s="11">
        <v>431000000</v>
      </c>
      <c r="S688" s="22">
        <v>0</v>
      </c>
    </row>
    <row r="689" spans="1:19" ht="51">
      <c r="A689" s="5">
        <v>674</v>
      </c>
      <c r="B689" s="29" t="s">
        <v>710</v>
      </c>
      <c r="C689" s="30" t="s">
        <v>711</v>
      </c>
      <c r="D689" s="31" t="s">
        <v>691</v>
      </c>
      <c r="E689" s="57" t="s">
        <v>119</v>
      </c>
      <c r="F689" s="57" t="s">
        <v>119</v>
      </c>
      <c r="G689" s="57" t="s">
        <v>848</v>
      </c>
      <c r="H689" s="57" t="s">
        <v>692</v>
      </c>
      <c r="I689" s="57" t="s">
        <v>119</v>
      </c>
      <c r="J689" s="57" t="s">
        <v>119</v>
      </c>
      <c r="K689" s="57" t="s">
        <v>591</v>
      </c>
      <c r="L689" s="31" t="s">
        <v>644</v>
      </c>
      <c r="M689" s="22">
        <v>66</v>
      </c>
      <c r="N689" s="46">
        <v>103</v>
      </c>
      <c r="O689" s="49">
        <f t="shared" si="15"/>
        <v>6798</v>
      </c>
      <c r="P689" s="5" t="s">
        <v>393</v>
      </c>
      <c r="Q689" s="5" t="s">
        <v>766</v>
      </c>
      <c r="R689" s="11">
        <v>431000000</v>
      </c>
      <c r="S689" s="22">
        <v>0</v>
      </c>
    </row>
    <row r="690" spans="1:19" ht="53.25" customHeight="1">
      <c r="A690" s="5">
        <v>675</v>
      </c>
      <c r="B690" s="29" t="s">
        <v>710</v>
      </c>
      <c r="C690" s="30" t="s">
        <v>711</v>
      </c>
      <c r="D690" s="33" t="s">
        <v>422</v>
      </c>
      <c r="E690" s="57" t="s">
        <v>423</v>
      </c>
      <c r="F690" s="57" t="s">
        <v>424</v>
      </c>
      <c r="G690" s="57" t="s">
        <v>837</v>
      </c>
      <c r="H690" s="57" t="s">
        <v>425</v>
      </c>
      <c r="I690" s="57" t="s">
        <v>2303</v>
      </c>
      <c r="J690" s="57" t="s">
        <v>230</v>
      </c>
      <c r="K690" s="57" t="s">
        <v>591</v>
      </c>
      <c r="L690" s="11" t="s">
        <v>909</v>
      </c>
      <c r="M690" s="22">
        <v>288</v>
      </c>
      <c r="N690" s="46">
        <v>670</v>
      </c>
      <c r="O690" s="49">
        <f t="shared" si="15"/>
        <v>192960</v>
      </c>
      <c r="P690" s="5" t="s">
        <v>515</v>
      </c>
      <c r="Q690" s="14" t="s">
        <v>1474</v>
      </c>
      <c r="R690" s="11" t="s">
        <v>925</v>
      </c>
      <c r="S690" s="22">
        <v>50</v>
      </c>
    </row>
    <row r="691" spans="1:19" ht="63.75">
      <c r="A691" s="5">
        <v>676</v>
      </c>
      <c r="B691" s="29" t="s">
        <v>710</v>
      </c>
      <c r="C691" s="30" t="s">
        <v>711</v>
      </c>
      <c r="D691" s="31" t="s">
        <v>426</v>
      </c>
      <c r="E691" s="57" t="s">
        <v>838</v>
      </c>
      <c r="F691" s="57" t="s">
        <v>19</v>
      </c>
      <c r="G691" s="57" t="s">
        <v>839</v>
      </c>
      <c r="H691" s="57" t="s">
        <v>428</v>
      </c>
      <c r="I691" s="57" t="s">
        <v>838</v>
      </c>
      <c r="J691" s="57" t="s">
        <v>19</v>
      </c>
      <c r="K691" s="57" t="s">
        <v>591</v>
      </c>
      <c r="L691" s="5" t="s">
        <v>669</v>
      </c>
      <c r="M691" s="22">
        <v>24</v>
      </c>
      <c r="N691" s="46">
        <v>313</v>
      </c>
      <c r="O691" s="49">
        <f t="shared" si="15"/>
        <v>7512</v>
      </c>
      <c r="P691" s="5" t="s">
        <v>391</v>
      </c>
      <c r="Q691" s="5" t="s">
        <v>766</v>
      </c>
      <c r="R691" s="11" t="s">
        <v>925</v>
      </c>
      <c r="S691" s="22">
        <v>0</v>
      </c>
    </row>
    <row r="692" spans="1:19" ht="51">
      <c r="A692" s="5">
        <v>677</v>
      </c>
      <c r="B692" s="29" t="s">
        <v>710</v>
      </c>
      <c r="C692" s="30" t="s">
        <v>711</v>
      </c>
      <c r="D692" s="10" t="s">
        <v>429</v>
      </c>
      <c r="E692" s="57" t="s">
        <v>840</v>
      </c>
      <c r="F692" s="57" t="s">
        <v>430</v>
      </c>
      <c r="G692" s="57" t="s">
        <v>841</v>
      </c>
      <c r="H692" s="57" t="s">
        <v>431</v>
      </c>
      <c r="I692" s="57" t="s">
        <v>840</v>
      </c>
      <c r="J692" s="57" t="s">
        <v>231</v>
      </c>
      <c r="K692" s="57" t="s">
        <v>591</v>
      </c>
      <c r="L692" s="11" t="s">
        <v>909</v>
      </c>
      <c r="M692" s="22">
        <v>48</v>
      </c>
      <c r="N692" s="46">
        <v>223</v>
      </c>
      <c r="O692" s="49">
        <f t="shared" si="15"/>
        <v>10704</v>
      </c>
      <c r="P692" s="5" t="s">
        <v>391</v>
      </c>
      <c r="Q692" s="5" t="s">
        <v>766</v>
      </c>
      <c r="R692" s="11" t="s">
        <v>925</v>
      </c>
      <c r="S692" s="22">
        <v>0</v>
      </c>
    </row>
    <row r="693" spans="1:19" ht="51">
      <c r="A693" s="5">
        <v>678</v>
      </c>
      <c r="B693" s="29" t="s">
        <v>710</v>
      </c>
      <c r="C693" s="30" t="s">
        <v>711</v>
      </c>
      <c r="D693" s="11" t="s">
        <v>894</v>
      </c>
      <c r="E693" s="57" t="s">
        <v>767</v>
      </c>
      <c r="F693" s="57" t="s">
        <v>18</v>
      </c>
      <c r="G693" s="57" t="s">
        <v>2180</v>
      </c>
      <c r="H693" s="57" t="s">
        <v>670</v>
      </c>
      <c r="I693" s="57" t="s">
        <v>767</v>
      </c>
      <c r="J693" s="57" t="s">
        <v>18</v>
      </c>
      <c r="K693" s="57" t="s">
        <v>591</v>
      </c>
      <c r="L693" s="5" t="s">
        <v>480</v>
      </c>
      <c r="M693" s="22">
        <v>48</v>
      </c>
      <c r="N693" s="46">
        <v>179</v>
      </c>
      <c r="O693" s="49">
        <f t="shared" si="15"/>
        <v>8592</v>
      </c>
      <c r="P693" s="5" t="s">
        <v>391</v>
      </c>
      <c r="Q693" s="5" t="s">
        <v>766</v>
      </c>
      <c r="R693" s="11" t="s">
        <v>925</v>
      </c>
      <c r="S693" s="22">
        <v>0</v>
      </c>
    </row>
    <row r="694" spans="1:19" ht="51">
      <c r="A694" s="5">
        <v>679</v>
      </c>
      <c r="B694" s="15" t="s">
        <v>710</v>
      </c>
      <c r="C694" s="30" t="s">
        <v>711</v>
      </c>
      <c r="D694" s="33" t="s">
        <v>926</v>
      </c>
      <c r="E694" s="57" t="s">
        <v>20</v>
      </c>
      <c r="F694" s="57" t="s">
        <v>20</v>
      </c>
      <c r="G694" s="57" t="s">
        <v>843</v>
      </c>
      <c r="H694" s="57" t="s">
        <v>467</v>
      </c>
      <c r="I694" s="57" t="s">
        <v>20</v>
      </c>
      <c r="J694" s="57" t="s">
        <v>20</v>
      </c>
      <c r="K694" s="57" t="s">
        <v>591</v>
      </c>
      <c r="L694" s="31" t="s">
        <v>644</v>
      </c>
      <c r="M694" s="22">
        <v>48</v>
      </c>
      <c r="N694" s="46">
        <v>107</v>
      </c>
      <c r="O694" s="49">
        <f t="shared" si="15"/>
        <v>5136</v>
      </c>
      <c r="P694" s="5" t="s">
        <v>391</v>
      </c>
      <c r="Q694" s="5" t="s">
        <v>766</v>
      </c>
      <c r="R694" s="11" t="s">
        <v>925</v>
      </c>
      <c r="S694" s="22">
        <v>0</v>
      </c>
    </row>
    <row r="695" spans="1:19" ht="51">
      <c r="A695" s="5">
        <v>680</v>
      </c>
      <c r="B695" s="29" t="s">
        <v>710</v>
      </c>
      <c r="C695" s="30" t="s">
        <v>711</v>
      </c>
      <c r="D695" s="33" t="s">
        <v>927</v>
      </c>
      <c r="E695" s="57" t="s">
        <v>21</v>
      </c>
      <c r="F695" s="57" t="s">
        <v>21</v>
      </c>
      <c r="G695" s="57" t="s">
        <v>2245</v>
      </c>
      <c r="H695" s="57" t="s">
        <v>467</v>
      </c>
      <c r="I695" s="57" t="s">
        <v>21</v>
      </c>
      <c r="J695" s="57" t="s">
        <v>21</v>
      </c>
      <c r="K695" s="57" t="s">
        <v>591</v>
      </c>
      <c r="L695" s="31" t="s">
        <v>644</v>
      </c>
      <c r="M695" s="22">
        <v>12</v>
      </c>
      <c r="N695" s="46">
        <v>1339</v>
      </c>
      <c r="O695" s="49">
        <f t="shared" si="15"/>
        <v>16068</v>
      </c>
      <c r="P695" s="5" t="s">
        <v>391</v>
      </c>
      <c r="Q695" s="5" t="s">
        <v>766</v>
      </c>
      <c r="R695" s="11" t="s">
        <v>925</v>
      </c>
      <c r="S695" s="22">
        <v>0</v>
      </c>
    </row>
    <row r="696" spans="1:19" ht="63.75">
      <c r="A696" s="5">
        <v>681</v>
      </c>
      <c r="B696" s="15" t="s">
        <v>710</v>
      </c>
      <c r="C696" s="30" t="s">
        <v>711</v>
      </c>
      <c r="D696" s="10" t="s">
        <v>675</v>
      </c>
      <c r="E696" s="57" t="s">
        <v>2077</v>
      </c>
      <c r="F696" s="57" t="s">
        <v>22</v>
      </c>
      <c r="G696" s="57" t="s">
        <v>843</v>
      </c>
      <c r="H696" s="57" t="s">
        <v>769</v>
      </c>
      <c r="I696" s="57" t="s">
        <v>2077</v>
      </c>
      <c r="J696" s="57" t="s">
        <v>22</v>
      </c>
      <c r="K696" s="57" t="s">
        <v>591</v>
      </c>
      <c r="L696" s="5" t="s">
        <v>480</v>
      </c>
      <c r="M696" s="22">
        <v>288</v>
      </c>
      <c r="N696" s="46">
        <v>13</v>
      </c>
      <c r="O696" s="49">
        <f t="shared" si="15"/>
        <v>3744</v>
      </c>
      <c r="P696" s="5" t="s">
        <v>391</v>
      </c>
      <c r="Q696" s="5" t="s">
        <v>766</v>
      </c>
      <c r="R696" s="11" t="s">
        <v>925</v>
      </c>
      <c r="S696" s="22">
        <v>0</v>
      </c>
    </row>
    <row r="697" spans="1:19" ht="51">
      <c r="A697" s="5">
        <v>682</v>
      </c>
      <c r="B697" s="29" t="s">
        <v>710</v>
      </c>
      <c r="C697" s="30" t="s">
        <v>711</v>
      </c>
      <c r="D697" s="33" t="s">
        <v>928</v>
      </c>
      <c r="E697" s="57" t="s">
        <v>444</v>
      </c>
      <c r="F697" s="57" t="s">
        <v>444</v>
      </c>
      <c r="G697" s="57" t="s">
        <v>445</v>
      </c>
      <c r="H697" s="57" t="s">
        <v>446</v>
      </c>
      <c r="I697" s="57" t="s">
        <v>232</v>
      </c>
      <c r="J697" s="57" t="s">
        <v>232</v>
      </c>
      <c r="K697" s="57" t="s">
        <v>591</v>
      </c>
      <c r="L697" s="31" t="s">
        <v>644</v>
      </c>
      <c r="M697" s="22">
        <v>72</v>
      </c>
      <c r="N697" s="46">
        <v>446</v>
      </c>
      <c r="O697" s="49">
        <f t="shared" si="15"/>
        <v>32112</v>
      </c>
      <c r="P697" s="5" t="s">
        <v>391</v>
      </c>
      <c r="Q697" s="5" t="s">
        <v>766</v>
      </c>
      <c r="R697" s="11" t="s">
        <v>925</v>
      </c>
      <c r="S697" s="22">
        <v>0</v>
      </c>
    </row>
    <row r="698" spans="1:19" ht="51">
      <c r="A698" s="5">
        <v>683</v>
      </c>
      <c r="B698" s="29" t="s">
        <v>710</v>
      </c>
      <c r="C698" s="30" t="s">
        <v>711</v>
      </c>
      <c r="D698" s="10" t="s">
        <v>677</v>
      </c>
      <c r="E698" s="57" t="s">
        <v>2276</v>
      </c>
      <c r="F698" s="57" t="s">
        <v>23</v>
      </c>
      <c r="G698" s="57" t="s">
        <v>844</v>
      </c>
      <c r="H698" s="57" t="s">
        <v>678</v>
      </c>
      <c r="I698" s="57" t="s">
        <v>2276</v>
      </c>
      <c r="J698" s="57" t="s">
        <v>23</v>
      </c>
      <c r="K698" s="57" t="s">
        <v>591</v>
      </c>
      <c r="L698" s="31" t="s">
        <v>644</v>
      </c>
      <c r="M698" s="22">
        <v>72</v>
      </c>
      <c r="N698" s="46">
        <v>268</v>
      </c>
      <c r="O698" s="49">
        <f t="shared" si="15"/>
        <v>19296</v>
      </c>
      <c r="P698" s="5" t="s">
        <v>391</v>
      </c>
      <c r="Q698" s="5" t="s">
        <v>766</v>
      </c>
      <c r="R698" s="11" t="s">
        <v>925</v>
      </c>
      <c r="S698" s="22">
        <v>0</v>
      </c>
    </row>
    <row r="699" spans="1:19" ht="51">
      <c r="A699" s="5">
        <v>684</v>
      </c>
      <c r="B699" s="29" t="s">
        <v>710</v>
      </c>
      <c r="C699" s="30" t="s">
        <v>711</v>
      </c>
      <c r="D699" s="5" t="s">
        <v>447</v>
      </c>
      <c r="E699" s="57" t="s">
        <v>24</v>
      </c>
      <c r="F699" s="57" t="s">
        <v>24</v>
      </c>
      <c r="G699" s="57" t="s">
        <v>2280</v>
      </c>
      <c r="H699" s="57" t="s">
        <v>448</v>
      </c>
      <c r="I699" s="57" t="s">
        <v>24</v>
      </c>
      <c r="J699" s="57" t="s">
        <v>24</v>
      </c>
      <c r="K699" s="57" t="s">
        <v>591</v>
      </c>
      <c r="L699" s="31" t="s">
        <v>644</v>
      </c>
      <c r="M699" s="22">
        <v>12</v>
      </c>
      <c r="N699" s="46">
        <v>223</v>
      </c>
      <c r="O699" s="49">
        <f t="shared" si="15"/>
        <v>2676</v>
      </c>
      <c r="P699" s="5" t="s">
        <v>391</v>
      </c>
      <c r="Q699" s="5" t="s">
        <v>766</v>
      </c>
      <c r="R699" s="11" t="s">
        <v>925</v>
      </c>
      <c r="S699" s="22">
        <v>0</v>
      </c>
    </row>
    <row r="700" spans="1:19" ht="51">
      <c r="A700" s="5">
        <v>685</v>
      </c>
      <c r="B700" s="29" t="s">
        <v>710</v>
      </c>
      <c r="C700" s="30" t="s">
        <v>711</v>
      </c>
      <c r="D700" s="33" t="s">
        <v>929</v>
      </c>
      <c r="E700" s="57" t="s">
        <v>2278</v>
      </c>
      <c r="F700" s="57" t="s">
        <v>450</v>
      </c>
      <c r="G700" s="57" t="s">
        <v>2283</v>
      </c>
      <c r="H700" s="57" t="s">
        <v>930</v>
      </c>
      <c r="I700" s="57" t="s">
        <v>2278</v>
      </c>
      <c r="J700" s="57" t="s">
        <v>233</v>
      </c>
      <c r="K700" s="57" t="s">
        <v>591</v>
      </c>
      <c r="L700" s="5" t="s">
        <v>480</v>
      </c>
      <c r="M700" s="22">
        <v>72</v>
      </c>
      <c r="N700" s="46">
        <v>223</v>
      </c>
      <c r="O700" s="49">
        <f t="shared" si="15"/>
        <v>16056</v>
      </c>
      <c r="P700" s="5" t="s">
        <v>391</v>
      </c>
      <c r="Q700" s="5" t="s">
        <v>766</v>
      </c>
      <c r="R700" s="11" t="s">
        <v>925</v>
      </c>
      <c r="S700" s="22">
        <v>0</v>
      </c>
    </row>
    <row r="701" spans="1:19" ht="51">
      <c r="A701" s="5">
        <v>686</v>
      </c>
      <c r="B701" s="29" t="s">
        <v>710</v>
      </c>
      <c r="C701" s="30" t="s">
        <v>711</v>
      </c>
      <c r="D701" s="5" t="s">
        <v>452</v>
      </c>
      <c r="E701" s="57" t="s">
        <v>453</v>
      </c>
      <c r="F701" s="57" t="s">
        <v>454</v>
      </c>
      <c r="G701" s="57" t="s">
        <v>455</v>
      </c>
      <c r="H701" s="57" t="s">
        <v>456</v>
      </c>
      <c r="I701" s="57" t="s">
        <v>453</v>
      </c>
      <c r="J701" s="57" t="s">
        <v>234</v>
      </c>
      <c r="K701" s="57" t="s">
        <v>591</v>
      </c>
      <c r="L701" s="5" t="s">
        <v>480</v>
      </c>
      <c r="M701" s="22">
        <v>72</v>
      </c>
      <c r="N701" s="46">
        <v>179</v>
      </c>
      <c r="O701" s="49">
        <f t="shared" si="15"/>
        <v>12888</v>
      </c>
      <c r="P701" s="5" t="s">
        <v>391</v>
      </c>
      <c r="Q701" s="5" t="s">
        <v>766</v>
      </c>
      <c r="R701" s="11" t="s">
        <v>925</v>
      </c>
      <c r="S701" s="22">
        <v>0</v>
      </c>
    </row>
    <row r="702" spans="1:19" ht="51">
      <c r="A702" s="5">
        <v>687</v>
      </c>
      <c r="B702" s="29" t="s">
        <v>710</v>
      </c>
      <c r="C702" s="30" t="s">
        <v>711</v>
      </c>
      <c r="D702" s="5" t="s">
        <v>457</v>
      </c>
      <c r="E702" s="57" t="s">
        <v>17</v>
      </c>
      <c r="F702" s="57" t="s">
        <v>17</v>
      </c>
      <c r="G702" s="57" t="s">
        <v>2289</v>
      </c>
      <c r="H702" s="57" t="s">
        <v>2290</v>
      </c>
      <c r="I702" s="57" t="s">
        <v>17</v>
      </c>
      <c r="J702" s="57" t="s">
        <v>17</v>
      </c>
      <c r="K702" s="57" t="s">
        <v>591</v>
      </c>
      <c r="L702" s="31" t="s">
        <v>644</v>
      </c>
      <c r="M702" s="22">
        <v>24</v>
      </c>
      <c r="N702" s="46">
        <v>714</v>
      </c>
      <c r="O702" s="49">
        <f t="shared" si="15"/>
        <v>17136</v>
      </c>
      <c r="P702" s="5" t="s">
        <v>391</v>
      </c>
      <c r="Q702" s="5" t="s">
        <v>766</v>
      </c>
      <c r="R702" s="11" t="s">
        <v>925</v>
      </c>
      <c r="S702" s="22">
        <v>0</v>
      </c>
    </row>
    <row r="703" spans="1:19" ht="33.75" customHeight="1">
      <c r="A703" s="5">
        <v>688</v>
      </c>
      <c r="B703" s="29" t="s">
        <v>710</v>
      </c>
      <c r="C703" s="30" t="s">
        <v>711</v>
      </c>
      <c r="D703" s="11" t="s">
        <v>459</v>
      </c>
      <c r="E703" s="57" t="s">
        <v>1691</v>
      </c>
      <c r="F703" s="57" t="s">
        <v>460</v>
      </c>
      <c r="G703" s="57" t="s">
        <v>2214</v>
      </c>
      <c r="H703" s="57" t="s">
        <v>2215</v>
      </c>
      <c r="I703" s="57" t="s">
        <v>235</v>
      </c>
      <c r="J703" s="57" t="s">
        <v>235</v>
      </c>
      <c r="K703" s="57" t="s">
        <v>591</v>
      </c>
      <c r="L703" s="31" t="s">
        <v>644</v>
      </c>
      <c r="M703" s="22">
        <v>48</v>
      </c>
      <c r="N703" s="46">
        <v>161</v>
      </c>
      <c r="O703" s="49">
        <f t="shared" si="15"/>
        <v>7728</v>
      </c>
      <c r="P703" s="5" t="s">
        <v>391</v>
      </c>
      <c r="Q703" s="5" t="s">
        <v>766</v>
      </c>
      <c r="R703" s="11" t="s">
        <v>925</v>
      </c>
      <c r="S703" s="22">
        <v>0</v>
      </c>
    </row>
    <row r="704" spans="1:19" ht="51">
      <c r="A704" s="5">
        <v>689</v>
      </c>
      <c r="B704" s="15" t="s">
        <v>710</v>
      </c>
      <c r="C704" s="30" t="s">
        <v>711</v>
      </c>
      <c r="D704" s="33" t="s">
        <v>931</v>
      </c>
      <c r="E704" s="57" t="s">
        <v>466</v>
      </c>
      <c r="F704" s="57" t="s">
        <v>463</v>
      </c>
      <c r="G704" s="57" t="s">
        <v>2270</v>
      </c>
      <c r="H704" s="57" t="s">
        <v>932</v>
      </c>
      <c r="I704" s="57" t="s">
        <v>466</v>
      </c>
      <c r="J704" s="57" t="s">
        <v>463</v>
      </c>
      <c r="K704" s="57" t="s">
        <v>591</v>
      </c>
      <c r="L704" s="31" t="s">
        <v>644</v>
      </c>
      <c r="M704" s="22">
        <v>48</v>
      </c>
      <c r="N704" s="46">
        <v>161</v>
      </c>
      <c r="O704" s="49">
        <f t="shared" si="15"/>
        <v>7728</v>
      </c>
      <c r="P704" s="5" t="s">
        <v>391</v>
      </c>
      <c r="Q704" s="5" t="s">
        <v>766</v>
      </c>
      <c r="R704" s="11" t="s">
        <v>925</v>
      </c>
      <c r="S704" s="22">
        <v>0</v>
      </c>
    </row>
    <row r="705" spans="1:19" ht="51">
      <c r="A705" s="5">
        <v>690</v>
      </c>
      <c r="B705" s="29" t="s">
        <v>710</v>
      </c>
      <c r="C705" s="30" t="s">
        <v>711</v>
      </c>
      <c r="D705" s="10" t="s">
        <v>684</v>
      </c>
      <c r="E705" s="57" t="s">
        <v>466</v>
      </c>
      <c r="F705" s="57" t="s">
        <v>25</v>
      </c>
      <c r="G705" s="57" t="s">
        <v>2191</v>
      </c>
      <c r="H705" s="57" t="s">
        <v>685</v>
      </c>
      <c r="I705" s="57" t="s">
        <v>466</v>
      </c>
      <c r="J705" s="57" t="s">
        <v>25</v>
      </c>
      <c r="K705" s="57" t="s">
        <v>591</v>
      </c>
      <c r="L705" s="31" t="s">
        <v>644</v>
      </c>
      <c r="M705" s="22">
        <v>48</v>
      </c>
      <c r="N705" s="46">
        <v>45</v>
      </c>
      <c r="O705" s="49">
        <f t="shared" si="15"/>
        <v>2160</v>
      </c>
      <c r="P705" s="5" t="s">
        <v>391</v>
      </c>
      <c r="Q705" s="5" t="s">
        <v>766</v>
      </c>
      <c r="R705" s="11" t="s">
        <v>925</v>
      </c>
      <c r="S705" s="22">
        <v>0</v>
      </c>
    </row>
    <row r="706" spans="1:19" ht="51">
      <c r="A706" s="5">
        <v>691</v>
      </c>
      <c r="B706" s="15" t="s">
        <v>710</v>
      </c>
      <c r="C706" s="30" t="s">
        <v>711</v>
      </c>
      <c r="D706" s="10" t="s">
        <v>686</v>
      </c>
      <c r="E706" s="57" t="s">
        <v>2304</v>
      </c>
      <c r="F706" s="57" t="s">
        <v>26</v>
      </c>
      <c r="G706" s="57" t="s">
        <v>2305</v>
      </c>
      <c r="H706" s="57" t="s">
        <v>687</v>
      </c>
      <c r="I706" s="57" t="s">
        <v>2304</v>
      </c>
      <c r="J706" s="57" t="s">
        <v>26</v>
      </c>
      <c r="K706" s="57" t="s">
        <v>591</v>
      </c>
      <c r="L706" s="11" t="s">
        <v>909</v>
      </c>
      <c r="M706" s="22">
        <v>24</v>
      </c>
      <c r="N706" s="46">
        <v>134</v>
      </c>
      <c r="O706" s="49">
        <f t="shared" si="15"/>
        <v>3216</v>
      </c>
      <c r="P706" s="5" t="s">
        <v>391</v>
      </c>
      <c r="Q706" s="5" t="s">
        <v>766</v>
      </c>
      <c r="R706" s="11" t="s">
        <v>925</v>
      </c>
      <c r="S706" s="22">
        <v>0</v>
      </c>
    </row>
    <row r="707" spans="1:19" ht="127.5">
      <c r="A707" s="5">
        <v>692</v>
      </c>
      <c r="B707" s="29" t="s">
        <v>710</v>
      </c>
      <c r="C707" s="30" t="s">
        <v>711</v>
      </c>
      <c r="D707" s="5" t="s">
        <v>470</v>
      </c>
      <c r="E707" s="57" t="s">
        <v>27</v>
      </c>
      <c r="F707" s="57" t="s">
        <v>27</v>
      </c>
      <c r="G707" s="57" t="s">
        <v>471</v>
      </c>
      <c r="H707" s="57" t="s">
        <v>472</v>
      </c>
      <c r="I707" s="57" t="s">
        <v>27</v>
      </c>
      <c r="J707" s="57" t="s">
        <v>27</v>
      </c>
      <c r="K707" s="57" t="s">
        <v>591</v>
      </c>
      <c r="L707" s="31" t="s">
        <v>644</v>
      </c>
      <c r="M707" s="22">
        <v>2</v>
      </c>
      <c r="N707" s="46">
        <v>2679</v>
      </c>
      <c r="O707" s="49">
        <f t="shared" si="15"/>
        <v>5358</v>
      </c>
      <c r="P707" s="5" t="s">
        <v>391</v>
      </c>
      <c r="Q707" s="5" t="s">
        <v>766</v>
      </c>
      <c r="R707" s="11" t="s">
        <v>925</v>
      </c>
      <c r="S707" s="22">
        <v>0</v>
      </c>
    </row>
    <row r="708" spans="1:19" ht="51">
      <c r="A708" s="5">
        <v>693</v>
      </c>
      <c r="B708" s="29" t="s">
        <v>710</v>
      </c>
      <c r="C708" s="30" t="s">
        <v>711</v>
      </c>
      <c r="D708" s="10" t="s">
        <v>688</v>
      </c>
      <c r="E708" s="57" t="s">
        <v>846</v>
      </c>
      <c r="F708" s="57" t="s">
        <v>846</v>
      </c>
      <c r="G708" s="57" t="s">
        <v>771</v>
      </c>
      <c r="H708" s="57" t="s">
        <v>771</v>
      </c>
      <c r="I708" s="57" t="s">
        <v>846</v>
      </c>
      <c r="J708" s="57" t="s">
        <v>236</v>
      </c>
      <c r="K708" s="57" t="s">
        <v>591</v>
      </c>
      <c r="L708" s="31" t="s">
        <v>644</v>
      </c>
      <c r="M708" s="22">
        <v>288</v>
      </c>
      <c r="N708" s="46">
        <v>45</v>
      </c>
      <c r="O708" s="49">
        <f t="shared" si="15"/>
        <v>12960</v>
      </c>
      <c r="P708" s="5" t="s">
        <v>391</v>
      </c>
      <c r="Q708" s="5" t="s">
        <v>766</v>
      </c>
      <c r="R708" s="11" t="s">
        <v>925</v>
      </c>
      <c r="S708" s="22">
        <v>0</v>
      </c>
    </row>
    <row r="709" spans="1:19" ht="51">
      <c r="A709" s="5">
        <v>694</v>
      </c>
      <c r="B709" s="29" t="s">
        <v>710</v>
      </c>
      <c r="C709" s="30" t="s">
        <v>711</v>
      </c>
      <c r="D709" s="5" t="s">
        <v>476</v>
      </c>
      <c r="E709" s="57" t="s">
        <v>477</v>
      </c>
      <c r="F709" s="57" t="s">
        <v>28</v>
      </c>
      <c r="G709" s="57" t="s">
        <v>478</v>
      </c>
      <c r="H709" s="57" t="s">
        <v>479</v>
      </c>
      <c r="I709" s="57" t="s">
        <v>477</v>
      </c>
      <c r="J709" s="57" t="s">
        <v>28</v>
      </c>
      <c r="K709" s="57" t="s">
        <v>591</v>
      </c>
      <c r="L709" s="31" t="s">
        <v>644</v>
      </c>
      <c r="M709" s="22">
        <v>12</v>
      </c>
      <c r="N709" s="46">
        <v>759</v>
      </c>
      <c r="O709" s="49">
        <f t="shared" si="15"/>
        <v>9108</v>
      </c>
      <c r="P709" s="5" t="s">
        <v>391</v>
      </c>
      <c r="Q709" s="5" t="s">
        <v>766</v>
      </c>
      <c r="R709" s="11" t="s">
        <v>925</v>
      </c>
      <c r="S709" s="22">
        <v>0</v>
      </c>
    </row>
    <row r="710" spans="1:19" ht="51">
      <c r="A710" s="5">
        <v>695</v>
      </c>
      <c r="B710" s="29" t="s">
        <v>710</v>
      </c>
      <c r="C710" s="30" t="s">
        <v>711</v>
      </c>
      <c r="D710" s="10" t="s">
        <v>690</v>
      </c>
      <c r="E710" s="57" t="s">
        <v>2183</v>
      </c>
      <c r="F710" s="57" t="s">
        <v>29</v>
      </c>
      <c r="G710" s="57" t="s">
        <v>847</v>
      </c>
      <c r="H710" s="57" t="s">
        <v>772</v>
      </c>
      <c r="I710" s="57" t="s">
        <v>2183</v>
      </c>
      <c r="J710" s="57" t="s">
        <v>29</v>
      </c>
      <c r="K710" s="57" t="s">
        <v>591</v>
      </c>
      <c r="L710" s="5" t="s">
        <v>480</v>
      </c>
      <c r="M710" s="22">
        <v>144</v>
      </c>
      <c r="N710" s="46">
        <v>27</v>
      </c>
      <c r="O710" s="49">
        <f t="shared" si="15"/>
        <v>3888</v>
      </c>
      <c r="P710" s="5" t="s">
        <v>391</v>
      </c>
      <c r="Q710" s="5" t="s">
        <v>766</v>
      </c>
      <c r="R710" s="11" t="s">
        <v>925</v>
      </c>
      <c r="S710" s="22">
        <v>0</v>
      </c>
    </row>
    <row r="711" spans="1:19" ht="51">
      <c r="A711" s="5">
        <v>696</v>
      </c>
      <c r="B711" s="29" t="s">
        <v>710</v>
      </c>
      <c r="C711" s="30" t="s">
        <v>711</v>
      </c>
      <c r="D711" s="31" t="s">
        <v>691</v>
      </c>
      <c r="E711" s="57" t="s">
        <v>119</v>
      </c>
      <c r="F711" s="57" t="s">
        <v>119</v>
      </c>
      <c r="G711" s="57" t="s">
        <v>848</v>
      </c>
      <c r="H711" s="57" t="s">
        <v>692</v>
      </c>
      <c r="I711" s="57" t="s">
        <v>119</v>
      </c>
      <c r="J711" s="57" t="s">
        <v>119</v>
      </c>
      <c r="K711" s="57" t="s">
        <v>591</v>
      </c>
      <c r="L711" s="31" t="s">
        <v>644</v>
      </c>
      <c r="M711" s="22">
        <v>72</v>
      </c>
      <c r="N711" s="46">
        <v>103</v>
      </c>
      <c r="O711" s="49">
        <f t="shared" si="15"/>
        <v>7416</v>
      </c>
      <c r="P711" s="5" t="s">
        <v>391</v>
      </c>
      <c r="Q711" s="5" t="s">
        <v>766</v>
      </c>
      <c r="R711" s="11" t="s">
        <v>925</v>
      </c>
      <c r="S711" s="22">
        <v>0</v>
      </c>
    </row>
    <row r="712" spans="1:19" ht="51">
      <c r="A712" s="5">
        <v>697</v>
      </c>
      <c r="B712" s="29" t="s">
        <v>710</v>
      </c>
      <c r="C712" s="30" t="s">
        <v>711</v>
      </c>
      <c r="D712" s="33" t="s">
        <v>422</v>
      </c>
      <c r="E712" s="57" t="s">
        <v>423</v>
      </c>
      <c r="F712" s="57" t="s">
        <v>424</v>
      </c>
      <c r="G712" s="57" t="s">
        <v>837</v>
      </c>
      <c r="H712" s="57" t="s">
        <v>425</v>
      </c>
      <c r="I712" s="57" t="s">
        <v>2303</v>
      </c>
      <c r="J712" s="57" t="s">
        <v>230</v>
      </c>
      <c r="K712" s="57" t="s">
        <v>591</v>
      </c>
      <c r="L712" s="11" t="s">
        <v>909</v>
      </c>
      <c r="M712" s="52">
        <v>336</v>
      </c>
      <c r="N712" s="46">
        <v>670</v>
      </c>
      <c r="O712" s="49">
        <f t="shared" si="15"/>
        <v>225120</v>
      </c>
      <c r="P712" s="5" t="s">
        <v>393</v>
      </c>
      <c r="Q712" s="5" t="s">
        <v>766</v>
      </c>
      <c r="R712" s="11" t="s">
        <v>715</v>
      </c>
      <c r="S712" s="22">
        <v>50</v>
      </c>
    </row>
    <row r="713" spans="1:19" ht="49.5" customHeight="1">
      <c r="A713" s="5">
        <v>698</v>
      </c>
      <c r="B713" s="29" t="s">
        <v>710</v>
      </c>
      <c r="C713" s="30" t="s">
        <v>711</v>
      </c>
      <c r="D713" s="31" t="s">
        <v>426</v>
      </c>
      <c r="E713" s="57" t="s">
        <v>838</v>
      </c>
      <c r="F713" s="57" t="s">
        <v>19</v>
      </c>
      <c r="G713" s="57" t="s">
        <v>839</v>
      </c>
      <c r="H713" s="57" t="s">
        <v>428</v>
      </c>
      <c r="I713" s="57" t="s">
        <v>838</v>
      </c>
      <c r="J713" s="57" t="s">
        <v>19</v>
      </c>
      <c r="K713" s="57" t="s">
        <v>591</v>
      </c>
      <c r="L713" s="5" t="s">
        <v>669</v>
      </c>
      <c r="M713" s="52">
        <v>28</v>
      </c>
      <c r="N713" s="46">
        <v>313</v>
      </c>
      <c r="O713" s="49">
        <f t="shared" si="15"/>
        <v>8764</v>
      </c>
      <c r="P713" s="5" t="s">
        <v>393</v>
      </c>
      <c r="Q713" s="5" t="s">
        <v>766</v>
      </c>
      <c r="R713" s="11" t="s">
        <v>715</v>
      </c>
      <c r="S713" s="22">
        <v>100</v>
      </c>
    </row>
    <row r="714" spans="1:19" ht="51">
      <c r="A714" s="5">
        <v>699</v>
      </c>
      <c r="B714" s="29" t="s">
        <v>710</v>
      </c>
      <c r="C714" s="30" t="s">
        <v>711</v>
      </c>
      <c r="D714" s="10" t="s">
        <v>429</v>
      </c>
      <c r="E714" s="57" t="s">
        <v>840</v>
      </c>
      <c r="F714" s="57" t="s">
        <v>430</v>
      </c>
      <c r="G714" s="57" t="s">
        <v>841</v>
      </c>
      <c r="H714" s="57" t="s">
        <v>431</v>
      </c>
      <c r="I714" s="57" t="s">
        <v>840</v>
      </c>
      <c r="J714" s="57" t="s">
        <v>231</v>
      </c>
      <c r="K714" s="57" t="s">
        <v>591</v>
      </c>
      <c r="L714" s="11" t="s">
        <v>909</v>
      </c>
      <c r="M714" s="52">
        <v>56</v>
      </c>
      <c r="N714" s="46">
        <v>223</v>
      </c>
      <c r="O714" s="49">
        <f t="shared" si="15"/>
        <v>12488</v>
      </c>
      <c r="P714" s="5" t="s">
        <v>393</v>
      </c>
      <c r="Q714" s="5" t="s">
        <v>766</v>
      </c>
      <c r="R714" s="11" t="s">
        <v>715</v>
      </c>
      <c r="S714" s="22">
        <v>100</v>
      </c>
    </row>
    <row r="715" spans="1:19" ht="20.25" customHeight="1">
      <c r="A715" s="5">
        <v>700</v>
      </c>
      <c r="B715" s="29" t="s">
        <v>710</v>
      </c>
      <c r="C715" s="30" t="s">
        <v>711</v>
      </c>
      <c r="D715" s="11" t="s">
        <v>894</v>
      </c>
      <c r="E715" s="57" t="s">
        <v>767</v>
      </c>
      <c r="F715" s="57" t="s">
        <v>18</v>
      </c>
      <c r="G715" s="57" t="s">
        <v>2180</v>
      </c>
      <c r="H715" s="57" t="s">
        <v>670</v>
      </c>
      <c r="I715" s="57" t="s">
        <v>767</v>
      </c>
      <c r="J715" s="57" t="s">
        <v>18</v>
      </c>
      <c r="K715" s="57" t="s">
        <v>591</v>
      </c>
      <c r="L715" s="5" t="s">
        <v>480</v>
      </c>
      <c r="M715" s="52">
        <v>56</v>
      </c>
      <c r="N715" s="46">
        <v>179</v>
      </c>
      <c r="O715" s="49">
        <f t="shared" si="15"/>
        <v>10024</v>
      </c>
      <c r="P715" s="5" t="s">
        <v>393</v>
      </c>
      <c r="Q715" s="5" t="s">
        <v>766</v>
      </c>
      <c r="R715" s="11" t="s">
        <v>715</v>
      </c>
      <c r="S715" s="22">
        <v>100</v>
      </c>
    </row>
    <row r="716" spans="1:19" ht="39" customHeight="1">
      <c r="A716" s="5">
        <v>701</v>
      </c>
      <c r="B716" s="15" t="s">
        <v>710</v>
      </c>
      <c r="C716" s="30" t="s">
        <v>711</v>
      </c>
      <c r="D716" s="5" t="s">
        <v>671</v>
      </c>
      <c r="E716" s="57" t="s">
        <v>20</v>
      </c>
      <c r="F716" s="57" t="s">
        <v>20</v>
      </c>
      <c r="G716" s="57" t="s">
        <v>2228</v>
      </c>
      <c r="H716" s="57" t="s">
        <v>768</v>
      </c>
      <c r="I716" s="57" t="s">
        <v>20</v>
      </c>
      <c r="J716" s="57" t="s">
        <v>20</v>
      </c>
      <c r="K716" s="57" t="s">
        <v>591</v>
      </c>
      <c r="L716" s="31" t="s">
        <v>644</v>
      </c>
      <c r="M716" s="52">
        <v>56</v>
      </c>
      <c r="N716" s="46">
        <v>107</v>
      </c>
      <c r="O716" s="49">
        <f t="shared" si="15"/>
        <v>5992</v>
      </c>
      <c r="P716" s="5" t="s">
        <v>393</v>
      </c>
      <c r="Q716" s="5" t="s">
        <v>766</v>
      </c>
      <c r="R716" s="11" t="s">
        <v>715</v>
      </c>
      <c r="S716" s="22">
        <v>100</v>
      </c>
    </row>
    <row r="717" spans="1:19" ht="45" customHeight="1">
      <c r="A717" s="5">
        <v>702</v>
      </c>
      <c r="B717" s="29" t="s">
        <v>710</v>
      </c>
      <c r="C717" s="30" t="s">
        <v>711</v>
      </c>
      <c r="D717" s="10" t="s">
        <v>673</v>
      </c>
      <c r="E717" s="57" t="s">
        <v>21</v>
      </c>
      <c r="F717" s="57" t="s">
        <v>21</v>
      </c>
      <c r="G717" s="57" t="s">
        <v>2246</v>
      </c>
      <c r="H717" s="57" t="s">
        <v>674</v>
      </c>
      <c r="I717" s="57" t="s">
        <v>21</v>
      </c>
      <c r="J717" s="57" t="s">
        <v>21</v>
      </c>
      <c r="K717" s="57" t="s">
        <v>591</v>
      </c>
      <c r="L717" s="31" t="s">
        <v>644</v>
      </c>
      <c r="M717" s="52">
        <v>14</v>
      </c>
      <c r="N717" s="46">
        <v>1339</v>
      </c>
      <c r="O717" s="49">
        <f t="shared" si="15"/>
        <v>18746</v>
      </c>
      <c r="P717" s="5" t="s">
        <v>393</v>
      </c>
      <c r="Q717" s="5" t="s">
        <v>766</v>
      </c>
      <c r="R717" s="11" t="s">
        <v>715</v>
      </c>
      <c r="S717" s="22">
        <v>100</v>
      </c>
    </row>
    <row r="718" spans="1:19" ht="41.25" customHeight="1">
      <c r="A718" s="5">
        <v>703</v>
      </c>
      <c r="B718" s="29" t="s">
        <v>710</v>
      </c>
      <c r="C718" s="30" t="s">
        <v>711</v>
      </c>
      <c r="D718" s="10" t="s">
        <v>675</v>
      </c>
      <c r="E718" s="57" t="s">
        <v>2077</v>
      </c>
      <c r="F718" s="57" t="s">
        <v>22</v>
      </c>
      <c r="G718" s="57" t="s">
        <v>843</v>
      </c>
      <c r="H718" s="57" t="s">
        <v>769</v>
      </c>
      <c r="I718" s="57" t="s">
        <v>2077</v>
      </c>
      <c r="J718" s="57" t="s">
        <v>22</v>
      </c>
      <c r="K718" s="57" t="s">
        <v>591</v>
      </c>
      <c r="L718" s="5" t="s">
        <v>480</v>
      </c>
      <c r="M718" s="52">
        <v>336</v>
      </c>
      <c r="N718" s="46">
        <v>13</v>
      </c>
      <c r="O718" s="49">
        <f t="shared" si="15"/>
        <v>4368</v>
      </c>
      <c r="P718" s="5" t="s">
        <v>393</v>
      </c>
      <c r="Q718" s="5" t="s">
        <v>766</v>
      </c>
      <c r="R718" s="11" t="s">
        <v>715</v>
      </c>
      <c r="S718" s="22">
        <v>100</v>
      </c>
    </row>
    <row r="719" spans="1:19" ht="39.75" customHeight="1">
      <c r="A719" s="5">
        <v>704</v>
      </c>
      <c r="B719" s="29" t="s">
        <v>710</v>
      </c>
      <c r="C719" s="30" t="s">
        <v>711</v>
      </c>
      <c r="D719" s="5" t="s">
        <v>443</v>
      </c>
      <c r="E719" s="57" t="s">
        <v>444</v>
      </c>
      <c r="F719" s="57" t="s">
        <v>444</v>
      </c>
      <c r="G719" s="57" t="s">
        <v>445</v>
      </c>
      <c r="H719" s="57" t="s">
        <v>446</v>
      </c>
      <c r="I719" s="57" t="s">
        <v>232</v>
      </c>
      <c r="J719" s="57" t="s">
        <v>232</v>
      </c>
      <c r="K719" s="57" t="s">
        <v>591</v>
      </c>
      <c r="L719" s="31" t="s">
        <v>644</v>
      </c>
      <c r="M719" s="52">
        <v>84</v>
      </c>
      <c r="N719" s="46">
        <v>446</v>
      </c>
      <c r="O719" s="49">
        <f t="shared" si="15"/>
        <v>37464</v>
      </c>
      <c r="P719" s="5" t="s">
        <v>393</v>
      </c>
      <c r="Q719" s="5" t="s">
        <v>766</v>
      </c>
      <c r="R719" s="11" t="s">
        <v>715</v>
      </c>
      <c r="S719" s="22">
        <v>100</v>
      </c>
    </row>
    <row r="720" spans="1:19" ht="51">
      <c r="A720" s="5">
        <v>705</v>
      </c>
      <c r="B720" s="29" t="s">
        <v>710</v>
      </c>
      <c r="C720" s="30" t="s">
        <v>711</v>
      </c>
      <c r="D720" s="10" t="s">
        <v>677</v>
      </c>
      <c r="E720" s="57" t="s">
        <v>2276</v>
      </c>
      <c r="F720" s="57" t="s">
        <v>23</v>
      </c>
      <c r="G720" s="57" t="s">
        <v>844</v>
      </c>
      <c r="H720" s="57" t="s">
        <v>678</v>
      </c>
      <c r="I720" s="57" t="s">
        <v>2276</v>
      </c>
      <c r="J720" s="57" t="s">
        <v>23</v>
      </c>
      <c r="K720" s="57" t="s">
        <v>591</v>
      </c>
      <c r="L720" s="31" t="s">
        <v>644</v>
      </c>
      <c r="M720" s="52">
        <v>84</v>
      </c>
      <c r="N720" s="46">
        <v>268</v>
      </c>
      <c r="O720" s="49">
        <f t="shared" si="15"/>
        <v>22512</v>
      </c>
      <c r="P720" s="5" t="s">
        <v>393</v>
      </c>
      <c r="Q720" s="5" t="s">
        <v>766</v>
      </c>
      <c r="R720" s="11" t="s">
        <v>715</v>
      </c>
      <c r="S720" s="22">
        <v>100</v>
      </c>
    </row>
    <row r="721" spans="1:19" ht="51">
      <c r="A721" s="5">
        <v>706</v>
      </c>
      <c r="B721" s="29" t="s">
        <v>710</v>
      </c>
      <c r="C721" s="30" t="s">
        <v>711</v>
      </c>
      <c r="D721" s="10" t="s">
        <v>679</v>
      </c>
      <c r="E721" s="57" t="s">
        <v>24</v>
      </c>
      <c r="F721" s="57" t="s">
        <v>24</v>
      </c>
      <c r="G721" s="57" t="s">
        <v>2279</v>
      </c>
      <c r="H721" s="57" t="s">
        <v>680</v>
      </c>
      <c r="I721" s="57" t="s">
        <v>24</v>
      </c>
      <c r="J721" s="57" t="s">
        <v>24</v>
      </c>
      <c r="K721" s="57" t="s">
        <v>591</v>
      </c>
      <c r="L721" s="31" t="s">
        <v>644</v>
      </c>
      <c r="M721" s="52">
        <v>14</v>
      </c>
      <c r="N721" s="46">
        <v>223</v>
      </c>
      <c r="O721" s="49">
        <f t="shared" si="15"/>
        <v>3122</v>
      </c>
      <c r="P721" s="5" t="s">
        <v>393</v>
      </c>
      <c r="Q721" s="5" t="s">
        <v>766</v>
      </c>
      <c r="R721" s="11" t="s">
        <v>715</v>
      </c>
      <c r="S721" s="22">
        <v>100</v>
      </c>
    </row>
    <row r="722" spans="1:19" ht="51">
      <c r="A722" s="5">
        <v>707</v>
      </c>
      <c r="B722" s="29" t="s">
        <v>710</v>
      </c>
      <c r="C722" s="30" t="s">
        <v>711</v>
      </c>
      <c r="D722" s="5" t="s">
        <v>449</v>
      </c>
      <c r="E722" s="57" t="s">
        <v>2278</v>
      </c>
      <c r="F722" s="57" t="s">
        <v>450</v>
      </c>
      <c r="G722" s="57" t="s">
        <v>2281</v>
      </c>
      <c r="H722" s="57" t="s">
        <v>451</v>
      </c>
      <c r="I722" s="57" t="s">
        <v>2278</v>
      </c>
      <c r="J722" s="57" t="s">
        <v>233</v>
      </c>
      <c r="K722" s="57" t="s">
        <v>591</v>
      </c>
      <c r="L722" s="5" t="s">
        <v>480</v>
      </c>
      <c r="M722" s="52">
        <v>84</v>
      </c>
      <c r="N722" s="46">
        <v>223</v>
      </c>
      <c r="O722" s="49">
        <f t="shared" si="15"/>
        <v>18732</v>
      </c>
      <c r="P722" s="5" t="s">
        <v>393</v>
      </c>
      <c r="Q722" s="5" t="s">
        <v>766</v>
      </c>
      <c r="R722" s="11" t="s">
        <v>715</v>
      </c>
      <c r="S722" s="22">
        <v>100</v>
      </c>
    </row>
    <row r="723" spans="1:19" ht="36" customHeight="1">
      <c r="A723" s="5">
        <v>708</v>
      </c>
      <c r="B723" s="29" t="s">
        <v>710</v>
      </c>
      <c r="C723" s="30" t="s">
        <v>711</v>
      </c>
      <c r="D723" s="5" t="s">
        <v>452</v>
      </c>
      <c r="E723" s="57" t="s">
        <v>453</v>
      </c>
      <c r="F723" s="57" t="s">
        <v>454</v>
      </c>
      <c r="G723" s="57" t="s">
        <v>455</v>
      </c>
      <c r="H723" s="57" t="s">
        <v>456</v>
      </c>
      <c r="I723" s="57" t="s">
        <v>453</v>
      </c>
      <c r="J723" s="57" t="s">
        <v>234</v>
      </c>
      <c r="K723" s="57" t="s">
        <v>591</v>
      </c>
      <c r="L723" s="5" t="s">
        <v>480</v>
      </c>
      <c r="M723" s="52">
        <v>84</v>
      </c>
      <c r="N723" s="46">
        <v>179</v>
      </c>
      <c r="O723" s="49">
        <f t="shared" si="15"/>
        <v>15036</v>
      </c>
      <c r="P723" s="5" t="s">
        <v>393</v>
      </c>
      <c r="Q723" s="5" t="s">
        <v>766</v>
      </c>
      <c r="R723" s="11" t="s">
        <v>715</v>
      </c>
      <c r="S723" s="22">
        <v>100</v>
      </c>
    </row>
    <row r="724" spans="1:19" ht="39.75" customHeight="1">
      <c r="A724" s="5">
        <v>709</v>
      </c>
      <c r="B724" s="29" t="s">
        <v>710</v>
      </c>
      <c r="C724" s="30" t="s">
        <v>711</v>
      </c>
      <c r="D724" s="5" t="s">
        <v>457</v>
      </c>
      <c r="E724" s="57" t="s">
        <v>17</v>
      </c>
      <c r="F724" s="57" t="s">
        <v>17</v>
      </c>
      <c r="G724" s="57" t="s">
        <v>2289</v>
      </c>
      <c r="H724" s="57" t="s">
        <v>2290</v>
      </c>
      <c r="I724" s="57" t="s">
        <v>17</v>
      </c>
      <c r="J724" s="57" t="s">
        <v>17</v>
      </c>
      <c r="K724" s="57" t="s">
        <v>591</v>
      </c>
      <c r="L724" s="31" t="s">
        <v>644</v>
      </c>
      <c r="M724" s="52">
        <v>28</v>
      </c>
      <c r="N724" s="46">
        <v>714</v>
      </c>
      <c r="O724" s="49">
        <f t="shared" si="15"/>
        <v>19992</v>
      </c>
      <c r="P724" s="5" t="s">
        <v>393</v>
      </c>
      <c r="Q724" s="5" t="s">
        <v>766</v>
      </c>
      <c r="R724" s="11" t="s">
        <v>715</v>
      </c>
      <c r="S724" s="22">
        <v>100</v>
      </c>
    </row>
    <row r="725" spans="1:19" ht="51">
      <c r="A725" s="5">
        <v>710</v>
      </c>
      <c r="B725" s="29" t="s">
        <v>710</v>
      </c>
      <c r="C725" s="30" t="s">
        <v>711</v>
      </c>
      <c r="D725" s="11" t="s">
        <v>459</v>
      </c>
      <c r="E725" s="57" t="s">
        <v>1691</v>
      </c>
      <c r="F725" s="57" t="s">
        <v>460</v>
      </c>
      <c r="G725" s="57" t="s">
        <v>2214</v>
      </c>
      <c r="H725" s="57" t="s">
        <v>2215</v>
      </c>
      <c r="I725" s="57" t="s">
        <v>235</v>
      </c>
      <c r="J725" s="57" t="s">
        <v>235</v>
      </c>
      <c r="K725" s="57" t="s">
        <v>591</v>
      </c>
      <c r="L725" s="31" t="s">
        <v>644</v>
      </c>
      <c r="M725" s="52">
        <v>56</v>
      </c>
      <c r="N725" s="46">
        <v>161</v>
      </c>
      <c r="O725" s="49">
        <f t="shared" si="15"/>
        <v>9016</v>
      </c>
      <c r="P725" s="5" t="s">
        <v>393</v>
      </c>
      <c r="Q725" s="5" t="s">
        <v>766</v>
      </c>
      <c r="R725" s="11" t="s">
        <v>715</v>
      </c>
      <c r="S725" s="22">
        <v>100</v>
      </c>
    </row>
    <row r="726" spans="1:19" ht="39.75" customHeight="1">
      <c r="A726" s="5">
        <v>711</v>
      </c>
      <c r="B726" s="15" t="s">
        <v>710</v>
      </c>
      <c r="C726" s="30" t="s">
        <v>711</v>
      </c>
      <c r="D726" s="10" t="s">
        <v>683</v>
      </c>
      <c r="E726" s="57" t="s">
        <v>466</v>
      </c>
      <c r="F726" s="57" t="s">
        <v>463</v>
      </c>
      <c r="G726" s="57" t="s">
        <v>845</v>
      </c>
      <c r="H726" s="57" t="s">
        <v>770</v>
      </c>
      <c r="I726" s="57" t="s">
        <v>466</v>
      </c>
      <c r="J726" s="57" t="s">
        <v>463</v>
      </c>
      <c r="K726" s="57" t="s">
        <v>591</v>
      </c>
      <c r="L726" s="31" t="s">
        <v>644</v>
      </c>
      <c r="M726" s="52">
        <v>56</v>
      </c>
      <c r="N726" s="46">
        <v>161</v>
      </c>
      <c r="O726" s="49">
        <f t="shared" si="15"/>
        <v>9016</v>
      </c>
      <c r="P726" s="5" t="s">
        <v>393</v>
      </c>
      <c r="Q726" s="5" t="s">
        <v>766</v>
      </c>
      <c r="R726" s="11" t="s">
        <v>715</v>
      </c>
      <c r="S726" s="22">
        <v>100</v>
      </c>
    </row>
    <row r="727" spans="1:19" ht="54" customHeight="1">
      <c r="A727" s="5">
        <v>712</v>
      </c>
      <c r="B727" s="29" t="s">
        <v>710</v>
      </c>
      <c r="C727" s="30" t="s">
        <v>711</v>
      </c>
      <c r="D727" s="10" t="s">
        <v>684</v>
      </c>
      <c r="E727" s="57" t="s">
        <v>466</v>
      </c>
      <c r="F727" s="57" t="s">
        <v>25</v>
      </c>
      <c r="G727" s="57" t="s">
        <v>2191</v>
      </c>
      <c r="H727" s="57" t="s">
        <v>685</v>
      </c>
      <c r="I727" s="57" t="s">
        <v>466</v>
      </c>
      <c r="J727" s="57" t="s">
        <v>25</v>
      </c>
      <c r="K727" s="57" t="s">
        <v>591</v>
      </c>
      <c r="L727" s="31" t="s">
        <v>644</v>
      </c>
      <c r="M727" s="52">
        <v>56</v>
      </c>
      <c r="N727" s="46">
        <v>45</v>
      </c>
      <c r="O727" s="49">
        <f t="shared" si="15"/>
        <v>2520</v>
      </c>
      <c r="P727" s="5" t="s">
        <v>393</v>
      </c>
      <c r="Q727" s="5" t="s">
        <v>766</v>
      </c>
      <c r="R727" s="11" t="s">
        <v>715</v>
      </c>
      <c r="S727" s="22">
        <v>100</v>
      </c>
    </row>
    <row r="728" spans="1:19" ht="51">
      <c r="A728" s="5">
        <v>713</v>
      </c>
      <c r="B728" s="15" t="s">
        <v>710</v>
      </c>
      <c r="C728" s="30" t="s">
        <v>711</v>
      </c>
      <c r="D728" s="10" t="s">
        <v>686</v>
      </c>
      <c r="E728" s="57" t="s">
        <v>2304</v>
      </c>
      <c r="F728" s="57" t="s">
        <v>26</v>
      </c>
      <c r="G728" s="57" t="s">
        <v>2305</v>
      </c>
      <c r="H728" s="57" t="s">
        <v>687</v>
      </c>
      <c r="I728" s="57" t="s">
        <v>2304</v>
      </c>
      <c r="J728" s="57" t="s">
        <v>26</v>
      </c>
      <c r="K728" s="57" t="s">
        <v>591</v>
      </c>
      <c r="L728" s="11" t="s">
        <v>909</v>
      </c>
      <c r="M728" s="52">
        <v>28</v>
      </c>
      <c r="N728" s="46">
        <v>134</v>
      </c>
      <c r="O728" s="49">
        <f t="shared" si="15"/>
        <v>3752</v>
      </c>
      <c r="P728" s="5" t="s">
        <v>393</v>
      </c>
      <c r="Q728" s="5" t="s">
        <v>766</v>
      </c>
      <c r="R728" s="11" t="s">
        <v>715</v>
      </c>
      <c r="S728" s="22">
        <v>100</v>
      </c>
    </row>
    <row r="729" spans="1:19" ht="56.25" customHeight="1">
      <c r="A729" s="5">
        <v>714</v>
      </c>
      <c r="B729" s="29" t="s">
        <v>710</v>
      </c>
      <c r="C729" s="30" t="s">
        <v>711</v>
      </c>
      <c r="D729" s="5" t="s">
        <v>470</v>
      </c>
      <c r="E729" s="57" t="s">
        <v>27</v>
      </c>
      <c r="F729" s="57" t="s">
        <v>27</v>
      </c>
      <c r="G729" s="57" t="s">
        <v>471</v>
      </c>
      <c r="H729" s="57" t="s">
        <v>472</v>
      </c>
      <c r="I729" s="57" t="s">
        <v>27</v>
      </c>
      <c r="J729" s="57" t="s">
        <v>27</v>
      </c>
      <c r="K729" s="57" t="s">
        <v>591</v>
      </c>
      <c r="L729" s="31" t="s">
        <v>644</v>
      </c>
      <c r="M729" s="52">
        <v>3</v>
      </c>
      <c r="N729" s="46">
        <v>2679</v>
      </c>
      <c r="O729" s="49">
        <f t="shared" si="15"/>
        <v>8037</v>
      </c>
      <c r="P729" s="5" t="s">
        <v>393</v>
      </c>
      <c r="Q729" s="5" t="s">
        <v>766</v>
      </c>
      <c r="R729" s="11" t="s">
        <v>715</v>
      </c>
      <c r="S729" s="22">
        <v>100</v>
      </c>
    </row>
    <row r="730" spans="1:19" ht="51">
      <c r="A730" s="5">
        <v>715</v>
      </c>
      <c r="B730" s="29" t="s">
        <v>710</v>
      </c>
      <c r="C730" s="30" t="s">
        <v>711</v>
      </c>
      <c r="D730" s="10" t="s">
        <v>688</v>
      </c>
      <c r="E730" s="57" t="s">
        <v>846</v>
      </c>
      <c r="F730" s="57" t="s">
        <v>846</v>
      </c>
      <c r="G730" s="57" t="s">
        <v>771</v>
      </c>
      <c r="H730" s="57" t="s">
        <v>771</v>
      </c>
      <c r="I730" s="57" t="s">
        <v>846</v>
      </c>
      <c r="J730" s="57" t="s">
        <v>236</v>
      </c>
      <c r="K730" s="57" t="s">
        <v>591</v>
      </c>
      <c r="L730" s="31" t="s">
        <v>644</v>
      </c>
      <c r="M730" s="52">
        <v>336</v>
      </c>
      <c r="N730" s="46">
        <v>45</v>
      </c>
      <c r="O730" s="49">
        <f t="shared" si="15"/>
        <v>15120</v>
      </c>
      <c r="P730" s="5" t="s">
        <v>393</v>
      </c>
      <c r="Q730" s="5" t="s">
        <v>766</v>
      </c>
      <c r="R730" s="11" t="s">
        <v>715</v>
      </c>
      <c r="S730" s="22">
        <v>100</v>
      </c>
    </row>
    <row r="731" spans="1:19" ht="41.25" customHeight="1">
      <c r="A731" s="5">
        <v>716</v>
      </c>
      <c r="B731" s="29" t="s">
        <v>710</v>
      </c>
      <c r="C731" s="30" t="s">
        <v>711</v>
      </c>
      <c r="D731" s="5" t="s">
        <v>476</v>
      </c>
      <c r="E731" s="57" t="s">
        <v>477</v>
      </c>
      <c r="F731" s="57" t="s">
        <v>28</v>
      </c>
      <c r="G731" s="57" t="s">
        <v>478</v>
      </c>
      <c r="H731" s="57" t="s">
        <v>479</v>
      </c>
      <c r="I731" s="57" t="s">
        <v>477</v>
      </c>
      <c r="J731" s="57" t="s">
        <v>28</v>
      </c>
      <c r="K731" s="57" t="s">
        <v>591</v>
      </c>
      <c r="L731" s="31" t="s">
        <v>644</v>
      </c>
      <c r="M731" s="52">
        <v>14</v>
      </c>
      <c r="N731" s="46">
        <v>759</v>
      </c>
      <c r="O731" s="49">
        <f t="shared" ref="O731:O794" si="16">M731*N731</f>
        <v>10626</v>
      </c>
      <c r="P731" s="5" t="s">
        <v>393</v>
      </c>
      <c r="Q731" s="5" t="s">
        <v>766</v>
      </c>
      <c r="R731" s="11" t="s">
        <v>715</v>
      </c>
      <c r="S731" s="22">
        <v>100</v>
      </c>
    </row>
    <row r="732" spans="1:19" ht="51">
      <c r="A732" s="5">
        <v>717</v>
      </c>
      <c r="B732" s="29" t="s">
        <v>710</v>
      </c>
      <c r="C732" s="30" t="s">
        <v>711</v>
      </c>
      <c r="D732" s="10" t="s">
        <v>690</v>
      </c>
      <c r="E732" s="57" t="s">
        <v>2183</v>
      </c>
      <c r="F732" s="57" t="s">
        <v>29</v>
      </c>
      <c r="G732" s="57" t="s">
        <v>847</v>
      </c>
      <c r="H732" s="57" t="s">
        <v>772</v>
      </c>
      <c r="I732" s="57" t="s">
        <v>2183</v>
      </c>
      <c r="J732" s="57" t="s">
        <v>29</v>
      </c>
      <c r="K732" s="57" t="s">
        <v>591</v>
      </c>
      <c r="L732" s="5" t="s">
        <v>480</v>
      </c>
      <c r="M732" s="52">
        <v>168</v>
      </c>
      <c r="N732" s="46">
        <v>27</v>
      </c>
      <c r="O732" s="49">
        <f t="shared" si="16"/>
        <v>4536</v>
      </c>
      <c r="P732" s="5" t="s">
        <v>393</v>
      </c>
      <c r="Q732" s="5" t="s">
        <v>766</v>
      </c>
      <c r="R732" s="11" t="s">
        <v>715</v>
      </c>
      <c r="S732" s="22">
        <v>100</v>
      </c>
    </row>
    <row r="733" spans="1:19" ht="51">
      <c r="A733" s="5">
        <v>718</v>
      </c>
      <c r="B733" s="29" t="s">
        <v>710</v>
      </c>
      <c r="C733" s="30" t="s">
        <v>711</v>
      </c>
      <c r="D733" s="31" t="s">
        <v>691</v>
      </c>
      <c r="E733" s="57" t="s">
        <v>119</v>
      </c>
      <c r="F733" s="57" t="s">
        <v>119</v>
      </c>
      <c r="G733" s="57" t="s">
        <v>848</v>
      </c>
      <c r="H733" s="57" t="s">
        <v>692</v>
      </c>
      <c r="I733" s="57" t="s">
        <v>119</v>
      </c>
      <c r="J733" s="57" t="s">
        <v>119</v>
      </c>
      <c r="K733" s="57" t="s">
        <v>591</v>
      </c>
      <c r="L733" s="31" t="s">
        <v>644</v>
      </c>
      <c r="M733" s="22">
        <v>84</v>
      </c>
      <c r="N733" s="46">
        <v>103</v>
      </c>
      <c r="O733" s="49">
        <f t="shared" si="16"/>
        <v>8652</v>
      </c>
      <c r="P733" s="5" t="s">
        <v>515</v>
      </c>
      <c r="Q733" s="5" t="s">
        <v>766</v>
      </c>
      <c r="R733" s="11" t="s">
        <v>715</v>
      </c>
      <c r="S733" s="22">
        <v>100</v>
      </c>
    </row>
    <row r="734" spans="1:19" s="32" customFormat="1" ht="74.25" customHeight="1">
      <c r="A734" s="5">
        <v>719</v>
      </c>
      <c r="B734" s="29" t="s">
        <v>710</v>
      </c>
      <c r="C734" s="30" t="s">
        <v>711</v>
      </c>
      <c r="D734" s="31" t="s">
        <v>426</v>
      </c>
      <c r="E734" s="57" t="s">
        <v>838</v>
      </c>
      <c r="F734" s="57" t="s">
        <v>19</v>
      </c>
      <c r="G734" s="57" t="s">
        <v>839</v>
      </c>
      <c r="H734" s="57" t="s">
        <v>428</v>
      </c>
      <c r="I734" s="57" t="s">
        <v>838</v>
      </c>
      <c r="J734" s="57" t="s">
        <v>19</v>
      </c>
      <c r="K734" s="57" t="s">
        <v>591</v>
      </c>
      <c r="L734" s="5" t="s">
        <v>669</v>
      </c>
      <c r="M734" s="22">
        <v>22</v>
      </c>
      <c r="N734" s="46">
        <v>313</v>
      </c>
      <c r="O734" s="49">
        <f t="shared" si="16"/>
        <v>6886</v>
      </c>
      <c r="P734" s="5" t="s">
        <v>393</v>
      </c>
      <c r="Q734" s="5" t="s">
        <v>394</v>
      </c>
      <c r="R734" s="11">
        <v>551000000</v>
      </c>
      <c r="S734" s="22">
        <v>100</v>
      </c>
    </row>
    <row r="735" spans="1:19" s="32" customFormat="1" ht="51">
      <c r="A735" s="5">
        <v>720</v>
      </c>
      <c r="B735" s="29" t="s">
        <v>710</v>
      </c>
      <c r="C735" s="30" t="s">
        <v>711</v>
      </c>
      <c r="D735" s="10" t="s">
        <v>429</v>
      </c>
      <c r="E735" s="57" t="s">
        <v>840</v>
      </c>
      <c r="F735" s="57" t="s">
        <v>430</v>
      </c>
      <c r="G735" s="57" t="s">
        <v>841</v>
      </c>
      <c r="H735" s="57" t="s">
        <v>431</v>
      </c>
      <c r="I735" s="57" t="s">
        <v>840</v>
      </c>
      <c r="J735" s="57" t="s">
        <v>231</v>
      </c>
      <c r="K735" s="57" t="s">
        <v>591</v>
      </c>
      <c r="L735" s="11" t="s">
        <v>909</v>
      </c>
      <c r="M735" s="22">
        <v>44</v>
      </c>
      <c r="N735" s="46">
        <v>223</v>
      </c>
      <c r="O735" s="49">
        <f t="shared" si="16"/>
        <v>9812</v>
      </c>
      <c r="P735" s="5" t="s">
        <v>393</v>
      </c>
      <c r="Q735" s="5" t="s">
        <v>766</v>
      </c>
      <c r="R735" s="11">
        <v>551000000</v>
      </c>
      <c r="S735" s="22">
        <v>100</v>
      </c>
    </row>
    <row r="736" spans="1:19" s="32" customFormat="1" ht="25.5">
      <c r="A736" s="5">
        <v>721</v>
      </c>
      <c r="B736" s="29" t="s">
        <v>710</v>
      </c>
      <c r="C736" s="30" t="s">
        <v>711</v>
      </c>
      <c r="D736" s="11" t="s">
        <v>894</v>
      </c>
      <c r="E736" s="57" t="s">
        <v>767</v>
      </c>
      <c r="F736" s="57" t="s">
        <v>18</v>
      </c>
      <c r="G736" s="57" t="s">
        <v>2180</v>
      </c>
      <c r="H736" s="57" t="s">
        <v>670</v>
      </c>
      <c r="I736" s="57" t="s">
        <v>767</v>
      </c>
      <c r="J736" s="57" t="s">
        <v>18</v>
      </c>
      <c r="K736" s="57" t="s">
        <v>591</v>
      </c>
      <c r="L736" s="5" t="s">
        <v>480</v>
      </c>
      <c r="M736" s="22">
        <v>44</v>
      </c>
      <c r="N736" s="46">
        <v>179</v>
      </c>
      <c r="O736" s="49">
        <f t="shared" si="16"/>
        <v>7876</v>
      </c>
      <c r="P736" s="5" t="s">
        <v>393</v>
      </c>
      <c r="Q736" s="5" t="s">
        <v>394</v>
      </c>
      <c r="R736" s="11">
        <v>551000000</v>
      </c>
      <c r="S736" s="22">
        <v>100</v>
      </c>
    </row>
    <row r="737" spans="1:19" s="32" customFormat="1" ht="52.5" customHeight="1">
      <c r="A737" s="5">
        <v>722</v>
      </c>
      <c r="B737" s="15" t="s">
        <v>710</v>
      </c>
      <c r="C737" s="30" t="s">
        <v>711</v>
      </c>
      <c r="D737" s="11" t="s">
        <v>895</v>
      </c>
      <c r="E737" s="57" t="s">
        <v>20</v>
      </c>
      <c r="F737" s="57" t="s">
        <v>20</v>
      </c>
      <c r="G737" s="57" t="s">
        <v>2229</v>
      </c>
      <c r="H737" s="57" t="s">
        <v>896</v>
      </c>
      <c r="I737" s="57" t="s">
        <v>20</v>
      </c>
      <c r="J737" s="57" t="s">
        <v>20</v>
      </c>
      <c r="K737" s="57" t="s">
        <v>591</v>
      </c>
      <c r="L737" s="31" t="s">
        <v>644</v>
      </c>
      <c r="M737" s="22">
        <v>44</v>
      </c>
      <c r="N737" s="46">
        <v>107</v>
      </c>
      <c r="O737" s="49">
        <f t="shared" si="16"/>
        <v>4708</v>
      </c>
      <c r="P737" s="5" t="s">
        <v>393</v>
      </c>
      <c r="Q737" s="5" t="s">
        <v>394</v>
      </c>
      <c r="R737" s="11">
        <v>551000000</v>
      </c>
      <c r="S737" s="22">
        <v>100</v>
      </c>
    </row>
    <row r="738" spans="1:19" s="32" customFormat="1" ht="53.25" customHeight="1">
      <c r="A738" s="5">
        <v>723</v>
      </c>
      <c r="B738" s="29" t="s">
        <v>710</v>
      </c>
      <c r="C738" s="30" t="s">
        <v>711</v>
      </c>
      <c r="D738" s="10" t="s">
        <v>673</v>
      </c>
      <c r="E738" s="57" t="s">
        <v>21</v>
      </c>
      <c r="F738" s="57" t="s">
        <v>21</v>
      </c>
      <c r="G738" s="57" t="s">
        <v>2246</v>
      </c>
      <c r="H738" s="57" t="s">
        <v>674</v>
      </c>
      <c r="I738" s="57" t="s">
        <v>21</v>
      </c>
      <c r="J738" s="57" t="s">
        <v>21</v>
      </c>
      <c r="K738" s="57" t="s">
        <v>591</v>
      </c>
      <c r="L738" s="31" t="s">
        <v>644</v>
      </c>
      <c r="M738" s="22">
        <v>11</v>
      </c>
      <c r="N738" s="46">
        <v>1339</v>
      </c>
      <c r="O738" s="49">
        <f t="shared" si="16"/>
        <v>14729</v>
      </c>
      <c r="P738" s="5" t="s">
        <v>393</v>
      </c>
      <c r="Q738" s="5" t="s">
        <v>394</v>
      </c>
      <c r="R738" s="11">
        <v>551000000</v>
      </c>
      <c r="S738" s="22">
        <v>100</v>
      </c>
    </row>
    <row r="739" spans="1:19" s="32" customFormat="1" ht="54.75" customHeight="1">
      <c r="A739" s="5">
        <v>724</v>
      </c>
      <c r="B739" s="15" t="s">
        <v>710</v>
      </c>
      <c r="C739" s="30" t="s">
        <v>711</v>
      </c>
      <c r="D739" s="10" t="s">
        <v>675</v>
      </c>
      <c r="E739" s="57" t="s">
        <v>2077</v>
      </c>
      <c r="F739" s="57" t="s">
        <v>22</v>
      </c>
      <c r="G739" s="57" t="s">
        <v>843</v>
      </c>
      <c r="H739" s="57" t="s">
        <v>769</v>
      </c>
      <c r="I739" s="57" t="s">
        <v>2077</v>
      </c>
      <c r="J739" s="57" t="s">
        <v>22</v>
      </c>
      <c r="K739" s="57" t="s">
        <v>591</v>
      </c>
      <c r="L739" s="5" t="s">
        <v>480</v>
      </c>
      <c r="M739" s="22">
        <v>264</v>
      </c>
      <c r="N739" s="46">
        <v>13</v>
      </c>
      <c r="O739" s="49">
        <f t="shared" si="16"/>
        <v>3432</v>
      </c>
      <c r="P739" s="5" t="s">
        <v>393</v>
      </c>
      <c r="Q739" s="5" t="s">
        <v>394</v>
      </c>
      <c r="R739" s="11">
        <v>551000000</v>
      </c>
      <c r="S739" s="22">
        <v>100</v>
      </c>
    </row>
    <row r="740" spans="1:19" s="32" customFormat="1" ht="51">
      <c r="A740" s="5">
        <v>725</v>
      </c>
      <c r="B740" s="29" t="s">
        <v>710</v>
      </c>
      <c r="C740" s="30" t="s">
        <v>711</v>
      </c>
      <c r="D740" s="5" t="s">
        <v>443</v>
      </c>
      <c r="E740" s="57" t="s">
        <v>444</v>
      </c>
      <c r="F740" s="57" t="s">
        <v>444</v>
      </c>
      <c r="G740" s="57" t="s">
        <v>445</v>
      </c>
      <c r="H740" s="57" t="s">
        <v>446</v>
      </c>
      <c r="I740" s="57" t="s">
        <v>232</v>
      </c>
      <c r="J740" s="57" t="s">
        <v>232</v>
      </c>
      <c r="K740" s="57" t="s">
        <v>591</v>
      </c>
      <c r="L740" s="31" t="s">
        <v>644</v>
      </c>
      <c r="M740" s="22">
        <v>66</v>
      </c>
      <c r="N740" s="46">
        <v>446</v>
      </c>
      <c r="O740" s="49">
        <f t="shared" si="16"/>
        <v>29436</v>
      </c>
      <c r="P740" s="5" t="s">
        <v>393</v>
      </c>
      <c r="Q740" s="5" t="s">
        <v>766</v>
      </c>
      <c r="R740" s="11">
        <v>551000000</v>
      </c>
      <c r="S740" s="22">
        <v>100</v>
      </c>
    </row>
    <row r="741" spans="1:19" s="32" customFormat="1" ht="57" customHeight="1">
      <c r="A741" s="5">
        <v>726</v>
      </c>
      <c r="B741" s="29" t="s">
        <v>710</v>
      </c>
      <c r="C741" s="30" t="s">
        <v>711</v>
      </c>
      <c r="D741" s="10" t="s">
        <v>677</v>
      </c>
      <c r="E741" s="57" t="s">
        <v>2276</v>
      </c>
      <c r="F741" s="57" t="s">
        <v>23</v>
      </c>
      <c r="G741" s="57" t="s">
        <v>844</v>
      </c>
      <c r="H741" s="57" t="s">
        <v>678</v>
      </c>
      <c r="I741" s="57" t="s">
        <v>2276</v>
      </c>
      <c r="J741" s="57" t="s">
        <v>23</v>
      </c>
      <c r="K741" s="57" t="s">
        <v>591</v>
      </c>
      <c r="L741" s="31" t="s">
        <v>644</v>
      </c>
      <c r="M741" s="22">
        <v>66</v>
      </c>
      <c r="N741" s="46">
        <v>268</v>
      </c>
      <c r="O741" s="49">
        <f t="shared" si="16"/>
        <v>17688</v>
      </c>
      <c r="P741" s="5" t="s">
        <v>393</v>
      </c>
      <c r="Q741" s="5" t="s">
        <v>766</v>
      </c>
      <c r="R741" s="11">
        <v>551000000</v>
      </c>
      <c r="S741" s="22">
        <v>100</v>
      </c>
    </row>
    <row r="742" spans="1:19" s="32" customFormat="1" ht="36" customHeight="1">
      <c r="A742" s="5">
        <v>727</v>
      </c>
      <c r="B742" s="29" t="s">
        <v>710</v>
      </c>
      <c r="C742" s="30" t="s">
        <v>711</v>
      </c>
      <c r="D742" s="10" t="s">
        <v>679</v>
      </c>
      <c r="E742" s="57" t="s">
        <v>24</v>
      </c>
      <c r="F742" s="57" t="s">
        <v>24</v>
      </c>
      <c r="G742" s="57" t="s">
        <v>2279</v>
      </c>
      <c r="H742" s="57" t="s">
        <v>680</v>
      </c>
      <c r="I742" s="57" t="s">
        <v>24</v>
      </c>
      <c r="J742" s="57" t="s">
        <v>24</v>
      </c>
      <c r="K742" s="57" t="s">
        <v>591</v>
      </c>
      <c r="L742" s="31" t="s">
        <v>644</v>
      </c>
      <c r="M742" s="22">
        <v>11</v>
      </c>
      <c r="N742" s="46">
        <v>223</v>
      </c>
      <c r="O742" s="49">
        <f t="shared" si="16"/>
        <v>2453</v>
      </c>
      <c r="P742" s="5" t="s">
        <v>393</v>
      </c>
      <c r="Q742" s="5" t="s">
        <v>766</v>
      </c>
      <c r="R742" s="11">
        <v>551000000</v>
      </c>
      <c r="S742" s="22">
        <v>100</v>
      </c>
    </row>
    <row r="743" spans="1:19" s="32" customFormat="1" ht="51">
      <c r="A743" s="5">
        <v>728</v>
      </c>
      <c r="B743" s="29" t="s">
        <v>710</v>
      </c>
      <c r="C743" s="30" t="s">
        <v>711</v>
      </c>
      <c r="D743" s="11" t="s">
        <v>897</v>
      </c>
      <c r="E743" s="57" t="s">
        <v>2278</v>
      </c>
      <c r="F743" s="57" t="s">
        <v>450</v>
      </c>
      <c r="G743" s="57" t="s">
        <v>2284</v>
      </c>
      <c r="H743" s="57" t="s">
        <v>898</v>
      </c>
      <c r="I743" s="57" t="s">
        <v>2278</v>
      </c>
      <c r="J743" s="57" t="s">
        <v>233</v>
      </c>
      <c r="K743" s="57" t="s">
        <v>591</v>
      </c>
      <c r="L743" s="5" t="s">
        <v>480</v>
      </c>
      <c r="M743" s="22">
        <v>66</v>
      </c>
      <c r="N743" s="46">
        <v>223</v>
      </c>
      <c r="O743" s="49">
        <f t="shared" si="16"/>
        <v>14718</v>
      </c>
      <c r="P743" s="5" t="s">
        <v>393</v>
      </c>
      <c r="Q743" s="5" t="s">
        <v>766</v>
      </c>
      <c r="R743" s="11">
        <v>551000000</v>
      </c>
      <c r="S743" s="22">
        <v>100</v>
      </c>
    </row>
    <row r="744" spans="1:19" s="32" customFormat="1" ht="40.5" customHeight="1">
      <c r="A744" s="5">
        <v>729</v>
      </c>
      <c r="B744" s="29" t="s">
        <v>710</v>
      </c>
      <c r="C744" s="30" t="s">
        <v>711</v>
      </c>
      <c r="D744" s="5" t="s">
        <v>452</v>
      </c>
      <c r="E744" s="57" t="s">
        <v>453</v>
      </c>
      <c r="F744" s="57" t="s">
        <v>454</v>
      </c>
      <c r="G744" s="57" t="s">
        <v>455</v>
      </c>
      <c r="H744" s="57" t="s">
        <v>456</v>
      </c>
      <c r="I744" s="57" t="s">
        <v>453</v>
      </c>
      <c r="J744" s="57" t="s">
        <v>234</v>
      </c>
      <c r="K744" s="57" t="s">
        <v>591</v>
      </c>
      <c r="L744" s="5" t="s">
        <v>480</v>
      </c>
      <c r="M744" s="22">
        <v>66</v>
      </c>
      <c r="N744" s="46">
        <v>179</v>
      </c>
      <c r="O744" s="49">
        <f t="shared" si="16"/>
        <v>11814</v>
      </c>
      <c r="P744" s="5" t="s">
        <v>393</v>
      </c>
      <c r="Q744" s="5" t="s">
        <v>766</v>
      </c>
      <c r="R744" s="11">
        <v>551000000</v>
      </c>
      <c r="S744" s="22">
        <v>100</v>
      </c>
    </row>
    <row r="745" spans="1:19" s="32" customFormat="1" ht="50.25" customHeight="1">
      <c r="A745" s="5">
        <v>730</v>
      </c>
      <c r="B745" s="29" t="s">
        <v>710</v>
      </c>
      <c r="C745" s="30" t="s">
        <v>711</v>
      </c>
      <c r="D745" s="5" t="s">
        <v>457</v>
      </c>
      <c r="E745" s="57" t="s">
        <v>17</v>
      </c>
      <c r="F745" s="57" t="s">
        <v>17</v>
      </c>
      <c r="G745" s="57" t="s">
        <v>2289</v>
      </c>
      <c r="H745" s="57" t="s">
        <v>2290</v>
      </c>
      <c r="I745" s="57" t="s">
        <v>17</v>
      </c>
      <c r="J745" s="57" t="s">
        <v>17</v>
      </c>
      <c r="K745" s="57" t="s">
        <v>591</v>
      </c>
      <c r="L745" s="31" t="s">
        <v>644</v>
      </c>
      <c r="M745" s="22">
        <v>22</v>
      </c>
      <c r="N745" s="46">
        <v>714</v>
      </c>
      <c r="O745" s="49">
        <f t="shared" si="16"/>
        <v>15708</v>
      </c>
      <c r="P745" s="5" t="s">
        <v>393</v>
      </c>
      <c r="Q745" s="5" t="s">
        <v>766</v>
      </c>
      <c r="R745" s="11">
        <v>551000000</v>
      </c>
      <c r="S745" s="22">
        <v>100</v>
      </c>
    </row>
    <row r="746" spans="1:19" s="32" customFormat="1" ht="25.5">
      <c r="A746" s="5">
        <v>731</v>
      </c>
      <c r="B746" s="29" t="s">
        <v>710</v>
      </c>
      <c r="C746" s="30" t="s">
        <v>711</v>
      </c>
      <c r="D746" s="11" t="s">
        <v>459</v>
      </c>
      <c r="E746" s="57" t="s">
        <v>1691</v>
      </c>
      <c r="F746" s="57" t="s">
        <v>460</v>
      </c>
      <c r="G746" s="57" t="s">
        <v>2214</v>
      </c>
      <c r="H746" s="57" t="s">
        <v>2215</v>
      </c>
      <c r="I746" s="57" t="s">
        <v>235</v>
      </c>
      <c r="J746" s="57" t="s">
        <v>235</v>
      </c>
      <c r="K746" s="57" t="s">
        <v>591</v>
      </c>
      <c r="L746" s="31" t="s">
        <v>644</v>
      </c>
      <c r="M746" s="22">
        <v>44</v>
      </c>
      <c r="N746" s="46">
        <v>161</v>
      </c>
      <c r="O746" s="49">
        <f t="shared" si="16"/>
        <v>7084</v>
      </c>
      <c r="P746" s="5" t="s">
        <v>393</v>
      </c>
      <c r="Q746" s="5" t="s">
        <v>394</v>
      </c>
      <c r="R746" s="11">
        <v>551000000</v>
      </c>
      <c r="S746" s="22">
        <v>100</v>
      </c>
    </row>
    <row r="747" spans="1:19" s="32" customFormat="1" ht="51">
      <c r="A747" s="5">
        <v>732</v>
      </c>
      <c r="B747" s="15" t="s">
        <v>710</v>
      </c>
      <c r="C747" s="30" t="s">
        <v>711</v>
      </c>
      <c r="D747" s="11" t="s">
        <v>899</v>
      </c>
      <c r="E747" s="57" t="s">
        <v>466</v>
      </c>
      <c r="F747" s="57" t="s">
        <v>463</v>
      </c>
      <c r="G747" s="57" t="s">
        <v>2271</v>
      </c>
      <c r="H747" s="57" t="s">
        <v>900</v>
      </c>
      <c r="I747" s="57" t="s">
        <v>466</v>
      </c>
      <c r="J747" s="57" t="s">
        <v>463</v>
      </c>
      <c r="K747" s="57" t="s">
        <v>591</v>
      </c>
      <c r="L747" s="31" t="s">
        <v>644</v>
      </c>
      <c r="M747" s="22">
        <v>44</v>
      </c>
      <c r="N747" s="46">
        <v>161</v>
      </c>
      <c r="O747" s="49">
        <f t="shared" si="16"/>
        <v>7084</v>
      </c>
      <c r="P747" s="5" t="s">
        <v>393</v>
      </c>
      <c r="Q747" s="5" t="s">
        <v>766</v>
      </c>
      <c r="R747" s="11">
        <v>551000000</v>
      </c>
      <c r="S747" s="22">
        <v>100</v>
      </c>
    </row>
    <row r="748" spans="1:19" s="32" customFormat="1" ht="44.25" customHeight="1">
      <c r="A748" s="5">
        <v>733</v>
      </c>
      <c r="B748" s="29" t="s">
        <v>710</v>
      </c>
      <c r="C748" s="30" t="s">
        <v>711</v>
      </c>
      <c r="D748" s="10" t="s">
        <v>684</v>
      </c>
      <c r="E748" s="57" t="s">
        <v>466</v>
      </c>
      <c r="F748" s="57" t="s">
        <v>25</v>
      </c>
      <c r="G748" s="57" t="s">
        <v>2191</v>
      </c>
      <c r="H748" s="57" t="s">
        <v>685</v>
      </c>
      <c r="I748" s="57" t="s">
        <v>466</v>
      </c>
      <c r="J748" s="57" t="s">
        <v>25</v>
      </c>
      <c r="K748" s="57" t="s">
        <v>591</v>
      </c>
      <c r="L748" s="31" t="s">
        <v>644</v>
      </c>
      <c r="M748" s="22">
        <v>44</v>
      </c>
      <c r="N748" s="46">
        <v>45</v>
      </c>
      <c r="O748" s="49">
        <f t="shared" si="16"/>
        <v>1980</v>
      </c>
      <c r="P748" s="5" t="s">
        <v>393</v>
      </c>
      <c r="Q748" s="5" t="s">
        <v>394</v>
      </c>
      <c r="R748" s="11">
        <v>551000000</v>
      </c>
      <c r="S748" s="22">
        <v>100</v>
      </c>
    </row>
    <row r="749" spans="1:19" s="32" customFormat="1" ht="39" customHeight="1">
      <c r="A749" s="5">
        <v>734</v>
      </c>
      <c r="B749" s="15" t="s">
        <v>710</v>
      </c>
      <c r="C749" s="30" t="s">
        <v>711</v>
      </c>
      <c r="D749" s="10" t="s">
        <v>686</v>
      </c>
      <c r="E749" s="57" t="s">
        <v>2304</v>
      </c>
      <c r="F749" s="57" t="s">
        <v>26</v>
      </c>
      <c r="G749" s="57" t="s">
        <v>2305</v>
      </c>
      <c r="H749" s="57" t="s">
        <v>687</v>
      </c>
      <c r="I749" s="57" t="s">
        <v>2304</v>
      </c>
      <c r="J749" s="57" t="s">
        <v>26</v>
      </c>
      <c r="K749" s="57" t="s">
        <v>591</v>
      </c>
      <c r="L749" s="11" t="s">
        <v>909</v>
      </c>
      <c r="M749" s="22">
        <v>22</v>
      </c>
      <c r="N749" s="46">
        <v>134</v>
      </c>
      <c r="O749" s="49">
        <f t="shared" si="16"/>
        <v>2948</v>
      </c>
      <c r="P749" s="5" t="s">
        <v>393</v>
      </c>
      <c r="Q749" s="5" t="s">
        <v>394</v>
      </c>
      <c r="R749" s="11">
        <v>551000000</v>
      </c>
      <c r="S749" s="22">
        <v>100</v>
      </c>
    </row>
    <row r="750" spans="1:19" s="32" customFormat="1" ht="77.25" customHeight="1">
      <c r="A750" s="5">
        <v>735</v>
      </c>
      <c r="B750" s="29" t="s">
        <v>710</v>
      </c>
      <c r="C750" s="30" t="s">
        <v>711</v>
      </c>
      <c r="D750" s="5" t="s">
        <v>470</v>
      </c>
      <c r="E750" s="57" t="s">
        <v>27</v>
      </c>
      <c r="F750" s="57" t="s">
        <v>27</v>
      </c>
      <c r="G750" s="57" t="s">
        <v>471</v>
      </c>
      <c r="H750" s="57" t="s">
        <v>472</v>
      </c>
      <c r="I750" s="57" t="s">
        <v>27</v>
      </c>
      <c r="J750" s="57" t="s">
        <v>27</v>
      </c>
      <c r="K750" s="57" t="s">
        <v>591</v>
      </c>
      <c r="L750" s="31" t="s">
        <v>644</v>
      </c>
      <c r="M750" s="22">
        <v>2</v>
      </c>
      <c r="N750" s="46">
        <v>2679</v>
      </c>
      <c r="O750" s="49">
        <f t="shared" si="16"/>
        <v>5358</v>
      </c>
      <c r="P750" s="5" t="s">
        <v>393</v>
      </c>
      <c r="Q750" s="5" t="s">
        <v>394</v>
      </c>
      <c r="R750" s="11">
        <v>551000000</v>
      </c>
      <c r="S750" s="22">
        <v>100</v>
      </c>
    </row>
    <row r="751" spans="1:19" s="32" customFormat="1" ht="25.5">
      <c r="A751" s="5">
        <v>736</v>
      </c>
      <c r="B751" s="29" t="s">
        <v>710</v>
      </c>
      <c r="C751" s="30" t="s">
        <v>711</v>
      </c>
      <c r="D751" s="11" t="s">
        <v>901</v>
      </c>
      <c r="E751" s="57" t="s">
        <v>846</v>
      </c>
      <c r="F751" s="57" t="s">
        <v>846</v>
      </c>
      <c r="G751" s="57" t="s">
        <v>771</v>
      </c>
      <c r="H751" s="57" t="s">
        <v>771</v>
      </c>
      <c r="I751" s="57" t="s">
        <v>846</v>
      </c>
      <c r="J751" s="57" t="s">
        <v>236</v>
      </c>
      <c r="K751" s="57" t="s">
        <v>591</v>
      </c>
      <c r="L751" s="31" t="s">
        <v>644</v>
      </c>
      <c r="M751" s="22">
        <v>264</v>
      </c>
      <c r="N751" s="46">
        <v>45</v>
      </c>
      <c r="O751" s="49">
        <f t="shared" si="16"/>
        <v>11880</v>
      </c>
      <c r="P751" s="5" t="s">
        <v>393</v>
      </c>
      <c r="Q751" s="5" t="s">
        <v>394</v>
      </c>
      <c r="R751" s="11">
        <v>551000000</v>
      </c>
      <c r="S751" s="22">
        <v>100</v>
      </c>
    </row>
    <row r="752" spans="1:19" s="32" customFormat="1" ht="54" customHeight="1">
      <c r="A752" s="5">
        <v>737</v>
      </c>
      <c r="B752" s="29" t="s">
        <v>710</v>
      </c>
      <c r="C752" s="30" t="s">
        <v>711</v>
      </c>
      <c r="D752" s="5" t="s">
        <v>476</v>
      </c>
      <c r="E752" s="57" t="s">
        <v>477</v>
      </c>
      <c r="F752" s="57" t="s">
        <v>28</v>
      </c>
      <c r="G752" s="57" t="s">
        <v>478</v>
      </c>
      <c r="H752" s="57" t="s">
        <v>479</v>
      </c>
      <c r="I752" s="57" t="s">
        <v>477</v>
      </c>
      <c r="J752" s="57" t="s">
        <v>28</v>
      </c>
      <c r="K752" s="57" t="s">
        <v>591</v>
      </c>
      <c r="L752" s="31" t="s">
        <v>644</v>
      </c>
      <c r="M752" s="22">
        <v>11</v>
      </c>
      <c r="N752" s="46">
        <v>759</v>
      </c>
      <c r="O752" s="49">
        <f t="shared" si="16"/>
        <v>8349</v>
      </c>
      <c r="P752" s="5" t="s">
        <v>393</v>
      </c>
      <c r="Q752" s="5" t="s">
        <v>394</v>
      </c>
      <c r="R752" s="11">
        <v>551000000</v>
      </c>
      <c r="S752" s="22">
        <v>100</v>
      </c>
    </row>
    <row r="753" spans="1:19" s="32" customFormat="1" ht="49.5" customHeight="1">
      <c r="A753" s="5">
        <v>738</v>
      </c>
      <c r="B753" s="29" t="s">
        <v>710</v>
      </c>
      <c r="C753" s="30" t="s">
        <v>711</v>
      </c>
      <c r="D753" s="10" t="s">
        <v>690</v>
      </c>
      <c r="E753" s="57" t="s">
        <v>2183</v>
      </c>
      <c r="F753" s="57" t="s">
        <v>29</v>
      </c>
      <c r="G753" s="57" t="s">
        <v>847</v>
      </c>
      <c r="H753" s="57" t="s">
        <v>772</v>
      </c>
      <c r="I753" s="57" t="s">
        <v>2183</v>
      </c>
      <c r="J753" s="57" t="s">
        <v>29</v>
      </c>
      <c r="K753" s="57" t="s">
        <v>591</v>
      </c>
      <c r="L753" s="5" t="s">
        <v>480</v>
      </c>
      <c r="M753" s="22">
        <v>132</v>
      </c>
      <c r="N753" s="46">
        <v>27</v>
      </c>
      <c r="O753" s="49">
        <f t="shared" si="16"/>
        <v>3564</v>
      </c>
      <c r="P753" s="5" t="s">
        <v>393</v>
      </c>
      <c r="Q753" s="5" t="s">
        <v>394</v>
      </c>
      <c r="R753" s="11">
        <v>551000000</v>
      </c>
      <c r="S753" s="22">
        <v>100</v>
      </c>
    </row>
    <row r="754" spans="1:19" s="32" customFormat="1" ht="26.25" customHeight="1">
      <c r="A754" s="5">
        <v>739</v>
      </c>
      <c r="B754" s="29" t="s">
        <v>710</v>
      </c>
      <c r="C754" s="30" t="s">
        <v>711</v>
      </c>
      <c r="D754" s="31" t="s">
        <v>691</v>
      </c>
      <c r="E754" s="57" t="s">
        <v>119</v>
      </c>
      <c r="F754" s="57" t="s">
        <v>119</v>
      </c>
      <c r="G754" s="57" t="s">
        <v>848</v>
      </c>
      <c r="H754" s="57" t="s">
        <v>692</v>
      </c>
      <c r="I754" s="57" t="s">
        <v>119</v>
      </c>
      <c r="J754" s="57" t="s">
        <v>119</v>
      </c>
      <c r="K754" s="57" t="s">
        <v>591</v>
      </c>
      <c r="L754" s="31" t="s">
        <v>644</v>
      </c>
      <c r="M754" s="22">
        <v>66</v>
      </c>
      <c r="N754" s="46">
        <v>103</v>
      </c>
      <c r="O754" s="49">
        <f t="shared" si="16"/>
        <v>6798</v>
      </c>
      <c r="P754" s="5" t="s">
        <v>391</v>
      </c>
      <c r="Q754" s="5" t="s">
        <v>515</v>
      </c>
      <c r="R754" s="11">
        <v>551000000</v>
      </c>
      <c r="S754" s="22">
        <v>100</v>
      </c>
    </row>
    <row r="755" spans="1:19" ht="51">
      <c r="A755" s="5">
        <v>740</v>
      </c>
      <c r="B755" s="29" t="s">
        <v>710</v>
      </c>
      <c r="C755" s="30" t="s">
        <v>711</v>
      </c>
      <c r="D755" s="33" t="s">
        <v>422</v>
      </c>
      <c r="E755" s="57" t="s">
        <v>423</v>
      </c>
      <c r="F755" s="57" t="s">
        <v>424</v>
      </c>
      <c r="G755" s="57" t="s">
        <v>837</v>
      </c>
      <c r="H755" s="57" t="s">
        <v>425</v>
      </c>
      <c r="I755" s="57" t="s">
        <v>2303</v>
      </c>
      <c r="J755" s="57" t="s">
        <v>230</v>
      </c>
      <c r="K755" s="57" t="s">
        <v>591</v>
      </c>
      <c r="L755" s="11" t="s">
        <v>909</v>
      </c>
      <c r="M755" s="22">
        <v>240</v>
      </c>
      <c r="N755" s="46">
        <v>670</v>
      </c>
      <c r="O755" s="49">
        <f t="shared" si="16"/>
        <v>160800</v>
      </c>
      <c r="P755" s="5" t="s">
        <v>393</v>
      </c>
      <c r="Q755" s="5" t="s">
        <v>766</v>
      </c>
      <c r="R755" s="11">
        <v>591000000</v>
      </c>
      <c r="S755" s="22">
        <v>100</v>
      </c>
    </row>
    <row r="756" spans="1:19" ht="63.75">
      <c r="A756" s="5">
        <v>741</v>
      </c>
      <c r="B756" s="29" t="s">
        <v>710</v>
      </c>
      <c r="C756" s="30" t="s">
        <v>711</v>
      </c>
      <c r="D756" s="31" t="s">
        <v>426</v>
      </c>
      <c r="E756" s="57" t="s">
        <v>838</v>
      </c>
      <c r="F756" s="57" t="s">
        <v>19</v>
      </c>
      <c r="G756" s="57" t="s">
        <v>839</v>
      </c>
      <c r="H756" s="57" t="s">
        <v>428</v>
      </c>
      <c r="I756" s="57" t="s">
        <v>838</v>
      </c>
      <c r="J756" s="57" t="s">
        <v>19</v>
      </c>
      <c r="K756" s="57" t="s">
        <v>591</v>
      </c>
      <c r="L756" s="5" t="s">
        <v>669</v>
      </c>
      <c r="M756" s="22">
        <v>20</v>
      </c>
      <c r="N756" s="46">
        <v>313</v>
      </c>
      <c r="O756" s="49">
        <f t="shared" si="16"/>
        <v>6260</v>
      </c>
      <c r="P756" s="5" t="s">
        <v>393</v>
      </c>
      <c r="Q756" s="5" t="s">
        <v>766</v>
      </c>
      <c r="R756" s="11">
        <v>591000000</v>
      </c>
      <c r="S756" s="22">
        <v>0</v>
      </c>
    </row>
    <row r="757" spans="1:19" ht="51">
      <c r="A757" s="5">
        <v>742</v>
      </c>
      <c r="B757" s="29" t="s">
        <v>710</v>
      </c>
      <c r="C757" s="30" t="s">
        <v>711</v>
      </c>
      <c r="D757" s="10" t="s">
        <v>429</v>
      </c>
      <c r="E757" s="57" t="s">
        <v>840</v>
      </c>
      <c r="F757" s="57" t="s">
        <v>430</v>
      </c>
      <c r="G757" s="57" t="s">
        <v>841</v>
      </c>
      <c r="H757" s="57" t="s">
        <v>431</v>
      </c>
      <c r="I757" s="57" t="s">
        <v>840</v>
      </c>
      <c r="J757" s="57" t="s">
        <v>231</v>
      </c>
      <c r="K757" s="57" t="s">
        <v>591</v>
      </c>
      <c r="L757" s="11" t="s">
        <v>909</v>
      </c>
      <c r="M757" s="22">
        <v>40</v>
      </c>
      <c r="N757" s="46">
        <v>223</v>
      </c>
      <c r="O757" s="49">
        <f t="shared" si="16"/>
        <v>8920</v>
      </c>
      <c r="P757" s="5" t="s">
        <v>393</v>
      </c>
      <c r="Q757" s="5" t="s">
        <v>766</v>
      </c>
      <c r="R757" s="11">
        <v>591000000</v>
      </c>
      <c r="S757" s="22">
        <v>0</v>
      </c>
    </row>
    <row r="758" spans="1:19" ht="51" outlineLevel="1">
      <c r="A758" s="5">
        <v>743</v>
      </c>
      <c r="B758" s="29" t="s">
        <v>710</v>
      </c>
      <c r="C758" s="30" t="s">
        <v>711</v>
      </c>
      <c r="D758" s="11" t="s">
        <v>894</v>
      </c>
      <c r="E758" s="57" t="s">
        <v>767</v>
      </c>
      <c r="F758" s="57" t="s">
        <v>18</v>
      </c>
      <c r="G758" s="57" t="s">
        <v>2180</v>
      </c>
      <c r="H758" s="57" t="s">
        <v>670</v>
      </c>
      <c r="I758" s="57" t="s">
        <v>767</v>
      </c>
      <c r="J758" s="57" t="s">
        <v>18</v>
      </c>
      <c r="K758" s="57" t="s">
        <v>591</v>
      </c>
      <c r="L758" s="5" t="s">
        <v>480</v>
      </c>
      <c r="M758" s="22">
        <v>40</v>
      </c>
      <c r="N758" s="46">
        <v>179</v>
      </c>
      <c r="O758" s="49">
        <f t="shared" si="16"/>
        <v>7160</v>
      </c>
      <c r="P758" s="5" t="s">
        <v>393</v>
      </c>
      <c r="Q758" s="5" t="s">
        <v>766</v>
      </c>
      <c r="R758" s="11">
        <v>591000000</v>
      </c>
      <c r="S758" s="22">
        <v>0</v>
      </c>
    </row>
    <row r="759" spans="1:19" ht="51" outlineLevel="1">
      <c r="A759" s="5">
        <v>744</v>
      </c>
      <c r="B759" s="15" t="s">
        <v>710</v>
      </c>
      <c r="C759" s="30" t="s">
        <v>711</v>
      </c>
      <c r="D759" s="5" t="s">
        <v>671</v>
      </c>
      <c r="E759" s="57" t="s">
        <v>20</v>
      </c>
      <c r="F759" s="57" t="s">
        <v>20</v>
      </c>
      <c r="G759" s="57" t="s">
        <v>2228</v>
      </c>
      <c r="H759" s="57" t="s">
        <v>768</v>
      </c>
      <c r="I759" s="57" t="s">
        <v>20</v>
      </c>
      <c r="J759" s="57" t="s">
        <v>20</v>
      </c>
      <c r="K759" s="57" t="s">
        <v>591</v>
      </c>
      <c r="L759" s="31" t="s">
        <v>644</v>
      </c>
      <c r="M759" s="22">
        <v>40</v>
      </c>
      <c r="N759" s="46">
        <v>107</v>
      </c>
      <c r="O759" s="49">
        <f t="shared" si="16"/>
        <v>4280</v>
      </c>
      <c r="P759" s="5" t="s">
        <v>393</v>
      </c>
      <c r="Q759" s="5" t="s">
        <v>766</v>
      </c>
      <c r="R759" s="11">
        <v>591000000</v>
      </c>
      <c r="S759" s="22">
        <v>0</v>
      </c>
    </row>
    <row r="760" spans="1:19" ht="51" outlineLevel="1">
      <c r="A760" s="5">
        <v>745</v>
      </c>
      <c r="B760" s="29" t="s">
        <v>710</v>
      </c>
      <c r="C760" s="30" t="s">
        <v>711</v>
      </c>
      <c r="D760" s="10" t="s">
        <v>673</v>
      </c>
      <c r="E760" s="57" t="s">
        <v>21</v>
      </c>
      <c r="F760" s="57" t="s">
        <v>21</v>
      </c>
      <c r="G760" s="57" t="s">
        <v>2246</v>
      </c>
      <c r="H760" s="57" t="s">
        <v>674</v>
      </c>
      <c r="I760" s="57" t="s">
        <v>21</v>
      </c>
      <c r="J760" s="57" t="s">
        <v>21</v>
      </c>
      <c r="K760" s="57" t="s">
        <v>591</v>
      </c>
      <c r="L760" s="31" t="s">
        <v>644</v>
      </c>
      <c r="M760" s="22">
        <v>10</v>
      </c>
      <c r="N760" s="46">
        <v>1339</v>
      </c>
      <c r="O760" s="49">
        <f t="shared" si="16"/>
        <v>13390</v>
      </c>
      <c r="P760" s="5" t="s">
        <v>393</v>
      </c>
      <c r="Q760" s="5" t="s">
        <v>766</v>
      </c>
      <c r="R760" s="11">
        <v>591000000</v>
      </c>
      <c r="S760" s="22">
        <v>0</v>
      </c>
    </row>
    <row r="761" spans="1:19" ht="63.75" outlineLevel="1">
      <c r="A761" s="5">
        <v>746</v>
      </c>
      <c r="B761" s="15" t="s">
        <v>710</v>
      </c>
      <c r="C761" s="30" t="s">
        <v>711</v>
      </c>
      <c r="D761" s="10" t="s">
        <v>675</v>
      </c>
      <c r="E761" s="57" t="s">
        <v>2077</v>
      </c>
      <c r="F761" s="57" t="s">
        <v>22</v>
      </c>
      <c r="G761" s="57" t="s">
        <v>843</v>
      </c>
      <c r="H761" s="57" t="s">
        <v>769</v>
      </c>
      <c r="I761" s="57" t="s">
        <v>2077</v>
      </c>
      <c r="J761" s="57" t="s">
        <v>22</v>
      </c>
      <c r="K761" s="57" t="s">
        <v>591</v>
      </c>
      <c r="L761" s="5" t="s">
        <v>480</v>
      </c>
      <c r="M761" s="22">
        <v>240</v>
      </c>
      <c r="N761" s="46">
        <v>13</v>
      </c>
      <c r="O761" s="49">
        <f t="shared" si="16"/>
        <v>3120</v>
      </c>
      <c r="P761" s="5" t="s">
        <v>393</v>
      </c>
      <c r="Q761" s="5" t="s">
        <v>766</v>
      </c>
      <c r="R761" s="11">
        <v>591000000</v>
      </c>
      <c r="S761" s="22">
        <v>0</v>
      </c>
    </row>
    <row r="762" spans="1:19" ht="51" outlineLevel="1">
      <c r="A762" s="5">
        <v>747</v>
      </c>
      <c r="B762" s="29" t="s">
        <v>710</v>
      </c>
      <c r="C762" s="30" t="s">
        <v>711</v>
      </c>
      <c r="D762" s="5" t="s">
        <v>443</v>
      </c>
      <c r="E762" s="57" t="s">
        <v>444</v>
      </c>
      <c r="F762" s="57" t="s">
        <v>444</v>
      </c>
      <c r="G762" s="57" t="s">
        <v>445</v>
      </c>
      <c r="H762" s="57" t="s">
        <v>446</v>
      </c>
      <c r="I762" s="57" t="s">
        <v>232</v>
      </c>
      <c r="J762" s="57" t="s">
        <v>232</v>
      </c>
      <c r="K762" s="57" t="s">
        <v>591</v>
      </c>
      <c r="L762" s="31" t="s">
        <v>644</v>
      </c>
      <c r="M762" s="22">
        <v>60</v>
      </c>
      <c r="N762" s="46">
        <v>446</v>
      </c>
      <c r="O762" s="49">
        <f t="shared" si="16"/>
        <v>26760</v>
      </c>
      <c r="P762" s="5" t="s">
        <v>393</v>
      </c>
      <c r="Q762" s="5" t="s">
        <v>766</v>
      </c>
      <c r="R762" s="11">
        <v>591000000</v>
      </c>
      <c r="S762" s="22">
        <v>0</v>
      </c>
    </row>
    <row r="763" spans="1:19" ht="51" outlineLevel="1">
      <c r="A763" s="5">
        <v>748</v>
      </c>
      <c r="B763" s="29" t="s">
        <v>710</v>
      </c>
      <c r="C763" s="30" t="s">
        <v>711</v>
      </c>
      <c r="D763" s="10" t="s">
        <v>677</v>
      </c>
      <c r="E763" s="57" t="s">
        <v>2276</v>
      </c>
      <c r="F763" s="57" t="s">
        <v>23</v>
      </c>
      <c r="G763" s="57" t="s">
        <v>844</v>
      </c>
      <c r="H763" s="57" t="s">
        <v>678</v>
      </c>
      <c r="I763" s="57" t="s">
        <v>2276</v>
      </c>
      <c r="J763" s="57" t="s">
        <v>23</v>
      </c>
      <c r="K763" s="57" t="s">
        <v>591</v>
      </c>
      <c r="L763" s="31" t="s">
        <v>644</v>
      </c>
      <c r="M763" s="22">
        <v>60</v>
      </c>
      <c r="N763" s="46">
        <v>268</v>
      </c>
      <c r="O763" s="49">
        <f t="shared" si="16"/>
        <v>16080</v>
      </c>
      <c r="P763" s="5" t="s">
        <v>393</v>
      </c>
      <c r="Q763" s="5" t="s">
        <v>766</v>
      </c>
      <c r="R763" s="11">
        <v>591000000</v>
      </c>
      <c r="S763" s="22">
        <v>0</v>
      </c>
    </row>
    <row r="764" spans="1:19" ht="51" outlineLevel="1">
      <c r="A764" s="5">
        <v>749</v>
      </c>
      <c r="B764" s="29" t="s">
        <v>710</v>
      </c>
      <c r="C764" s="30" t="s">
        <v>711</v>
      </c>
      <c r="D764" s="5" t="s">
        <v>447</v>
      </c>
      <c r="E764" s="57" t="s">
        <v>24</v>
      </c>
      <c r="F764" s="57" t="s">
        <v>24</v>
      </c>
      <c r="G764" s="57" t="s">
        <v>2280</v>
      </c>
      <c r="H764" s="57" t="s">
        <v>448</v>
      </c>
      <c r="I764" s="57" t="s">
        <v>24</v>
      </c>
      <c r="J764" s="57" t="s">
        <v>24</v>
      </c>
      <c r="K764" s="57" t="s">
        <v>591</v>
      </c>
      <c r="L764" s="31" t="s">
        <v>644</v>
      </c>
      <c r="M764" s="22">
        <v>10</v>
      </c>
      <c r="N764" s="46">
        <v>223</v>
      </c>
      <c r="O764" s="49">
        <f t="shared" si="16"/>
        <v>2230</v>
      </c>
      <c r="P764" s="5" t="s">
        <v>393</v>
      </c>
      <c r="Q764" s="5" t="s">
        <v>766</v>
      </c>
      <c r="R764" s="11">
        <v>591000000</v>
      </c>
      <c r="S764" s="22">
        <v>0</v>
      </c>
    </row>
    <row r="765" spans="1:19" ht="51" outlineLevel="1">
      <c r="A765" s="5">
        <v>750</v>
      </c>
      <c r="B765" s="29" t="s">
        <v>710</v>
      </c>
      <c r="C765" s="30" t="s">
        <v>711</v>
      </c>
      <c r="D765" s="5" t="s">
        <v>449</v>
      </c>
      <c r="E765" s="57" t="s">
        <v>2278</v>
      </c>
      <c r="F765" s="57" t="s">
        <v>450</v>
      </c>
      <c r="G765" s="57" t="s">
        <v>2281</v>
      </c>
      <c r="H765" s="57" t="s">
        <v>451</v>
      </c>
      <c r="I765" s="57" t="s">
        <v>2278</v>
      </c>
      <c r="J765" s="57" t="s">
        <v>233</v>
      </c>
      <c r="K765" s="57" t="s">
        <v>591</v>
      </c>
      <c r="L765" s="5" t="s">
        <v>480</v>
      </c>
      <c r="M765" s="22">
        <v>60</v>
      </c>
      <c r="N765" s="46">
        <v>223</v>
      </c>
      <c r="O765" s="49">
        <f t="shared" si="16"/>
        <v>13380</v>
      </c>
      <c r="P765" s="5" t="s">
        <v>393</v>
      </c>
      <c r="Q765" s="5" t="s">
        <v>766</v>
      </c>
      <c r="R765" s="11">
        <v>591000000</v>
      </c>
      <c r="S765" s="22">
        <v>0</v>
      </c>
    </row>
    <row r="766" spans="1:19" ht="51" outlineLevel="1">
      <c r="A766" s="5">
        <v>751</v>
      </c>
      <c r="B766" s="29" t="s">
        <v>710</v>
      </c>
      <c r="C766" s="30" t="s">
        <v>711</v>
      </c>
      <c r="D766" s="5" t="s">
        <v>452</v>
      </c>
      <c r="E766" s="57" t="s">
        <v>453</v>
      </c>
      <c r="F766" s="57" t="s">
        <v>454</v>
      </c>
      <c r="G766" s="57" t="s">
        <v>455</v>
      </c>
      <c r="H766" s="57" t="s">
        <v>456</v>
      </c>
      <c r="I766" s="57" t="s">
        <v>453</v>
      </c>
      <c r="J766" s="57" t="s">
        <v>234</v>
      </c>
      <c r="K766" s="57" t="s">
        <v>591</v>
      </c>
      <c r="L766" s="5" t="s">
        <v>480</v>
      </c>
      <c r="M766" s="22">
        <v>60</v>
      </c>
      <c r="N766" s="46">
        <v>179</v>
      </c>
      <c r="O766" s="49">
        <f t="shared" si="16"/>
        <v>10740</v>
      </c>
      <c r="P766" s="5" t="s">
        <v>393</v>
      </c>
      <c r="Q766" s="5" t="s">
        <v>766</v>
      </c>
      <c r="R766" s="11">
        <v>591000000</v>
      </c>
      <c r="S766" s="22">
        <v>0</v>
      </c>
    </row>
    <row r="767" spans="1:19" ht="51" outlineLevel="1">
      <c r="A767" s="5">
        <v>752</v>
      </c>
      <c r="B767" s="29" t="s">
        <v>710</v>
      </c>
      <c r="C767" s="30" t="s">
        <v>711</v>
      </c>
      <c r="D767" s="5" t="s">
        <v>457</v>
      </c>
      <c r="E767" s="57" t="s">
        <v>17</v>
      </c>
      <c r="F767" s="57" t="s">
        <v>17</v>
      </c>
      <c r="G767" s="57" t="s">
        <v>2289</v>
      </c>
      <c r="H767" s="57" t="s">
        <v>2290</v>
      </c>
      <c r="I767" s="57" t="s">
        <v>17</v>
      </c>
      <c r="J767" s="57" t="s">
        <v>17</v>
      </c>
      <c r="K767" s="57" t="s">
        <v>591</v>
      </c>
      <c r="L767" s="31" t="s">
        <v>644</v>
      </c>
      <c r="M767" s="22">
        <v>20</v>
      </c>
      <c r="N767" s="46">
        <v>714</v>
      </c>
      <c r="O767" s="49">
        <f t="shared" si="16"/>
        <v>14280</v>
      </c>
      <c r="P767" s="5" t="s">
        <v>393</v>
      </c>
      <c r="Q767" s="5" t="s">
        <v>766</v>
      </c>
      <c r="R767" s="11">
        <v>591000000</v>
      </c>
      <c r="S767" s="22">
        <v>0</v>
      </c>
    </row>
    <row r="768" spans="1:19" ht="51" outlineLevel="1">
      <c r="A768" s="5">
        <v>753</v>
      </c>
      <c r="B768" s="29" t="s">
        <v>710</v>
      </c>
      <c r="C768" s="30" t="s">
        <v>711</v>
      </c>
      <c r="D768" s="11" t="s">
        <v>459</v>
      </c>
      <c r="E768" s="57" t="s">
        <v>1691</v>
      </c>
      <c r="F768" s="57" t="s">
        <v>460</v>
      </c>
      <c r="G768" s="57" t="s">
        <v>2214</v>
      </c>
      <c r="H768" s="57" t="s">
        <v>2215</v>
      </c>
      <c r="I768" s="57" t="s">
        <v>235</v>
      </c>
      <c r="J768" s="57" t="s">
        <v>235</v>
      </c>
      <c r="K768" s="57" t="s">
        <v>591</v>
      </c>
      <c r="L768" s="31" t="s">
        <v>644</v>
      </c>
      <c r="M768" s="22">
        <v>40</v>
      </c>
      <c r="N768" s="46">
        <v>161</v>
      </c>
      <c r="O768" s="49">
        <f t="shared" si="16"/>
        <v>6440</v>
      </c>
      <c r="P768" s="5" t="s">
        <v>393</v>
      </c>
      <c r="Q768" s="5" t="s">
        <v>766</v>
      </c>
      <c r="R768" s="11">
        <v>591000000</v>
      </c>
      <c r="S768" s="22">
        <v>0</v>
      </c>
    </row>
    <row r="769" spans="1:19" ht="51" outlineLevel="1">
      <c r="A769" s="5">
        <v>754</v>
      </c>
      <c r="B769" s="15" t="s">
        <v>710</v>
      </c>
      <c r="C769" s="30" t="s">
        <v>711</v>
      </c>
      <c r="D769" s="10" t="s">
        <v>683</v>
      </c>
      <c r="E769" s="57" t="s">
        <v>466</v>
      </c>
      <c r="F769" s="57" t="s">
        <v>463</v>
      </c>
      <c r="G769" s="57" t="s">
        <v>845</v>
      </c>
      <c r="H769" s="57" t="s">
        <v>770</v>
      </c>
      <c r="I769" s="57" t="s">
        <v>466</v>
      </c>
      <c r="J769" s="57" t="s">
        <v>463</v>
      </c>
      <c r="K769" s="57" t="s">
        <v>591</v>
      </c>
      <c r="L769" s="31" t="s">
        <v>644</v>
      </c>
      <c r="M769" s="22">
        <v>40</v>
      </c>
      <c r="N769" s="46">
        <v>161</v>
      </c>
      <c r="O769" s="49">
        <f t="shared" si="16"/>
        <v>6440</v>
      </c>
      <c r="P769" s="5" t="s">
        <v>393</v>
      </c>
      <c r="Q769" s="5" t="s">
        <v>766</v>
      </c>
      <c r="R769" s="11">
        <v>591000000</v>
      </c>
      <c r="S769" s="22">
        <v>0</v>
      </c>
    </row>
    <row r="770" spans="1:19" ht="51" outlineLevel="1">
      <c r="A770" s="5">
        <v>755</v>
      </c>
      <c r="B770" s="29" t="s">
        <v>710</v>
      </c>
      <c r="C770" s="30" t="s">
        <v>711</v>
      </c>
      <c r="D770" s="10" t="s">
        <v>684</v>
      </c>
      <c r="E770" s="57" t="s">
        <v>466</v>
      </c>
      <c r="F770" s="57" t="s">
        <v>25</v>
      </c>
      <c r="G770" s="57" t="s">
        <v>2191</v>
      </c>
      <c r="H770" s="57" t="s">
        <v>685</v>
      </c>
      <c r="I770" s="57" t="s">
        <v>466</v>
      </c>
      <c r="J770" s="57" t="s">
        <v>25</v>
      </c>
      <c r="K770" s="57" t="s">
        <v>591</v>
      </c>
      <c r="L770" s="31" t="s">
        <v>644</v>
      </c>
      <c r="M770" s="22">
        <v>40</v>
      </c>
      <c r="N770" s="46">
        <v>45</v>
      </c>
      <c r="O770" s="49">
        <f t="shared" si="16"/>
        <v>1800</v>
      </c>
      <c r="P770" s="5" t="s">
        <v>393</v>
      </c>
      <c r="Q770" s="5" t="s">
        <v>766</v>
      </c>
      <c r="R770" s="11">
        <v>591000000</v>
      </c>
      <c r="S770" s="22">
        <v>0</v>
      </c>
    </row>
    <row r="771" spans="1:19" ht="51" outlineLevel="1">
      <c r="A771" s="5">
        <v>756</v>
      </c>
      <c r="B771" s="15" t="s">
        <v>710</v>
      </c>
      <c r="C771" s="30" t="s">
        <v>711</v>
      </c>
      <c r="D771" s="10" t="s">
        <v>686</v>
      </c>
      <c r="E771" s="57" t="s">
        <v>2304</v>
      </c>
      <c r="F771" s="57" t="s">
        <v>26</v>
      </c>
      <c r="G771" s="57" t="s">
        <v>2305</v>
      </c>
      <c r="H771" s="57" t="s">
        <v>687</v>
      </c>
      <c r="I771" s="57" t="s">
        <v>2304</v>
      </c>
      <c r="J771" s="57" t="s">
        <v>26</v>
      </c>
      <c r="K771" s="57" t="s">
        <v>591</v>
      </c>
      <c r="L771" s="11" t="s">
        <v>909</v>
      </c>
      <c r="M771" s="22">
        <v>20</v>
      </c>
      <c r="N771" s="46">
        <v>134</v>
      </c>
      <c r="O771" s="49">
        <f t="shared" si="16"/>
        <v>2680</v>
      </c>
      <c r="P771" s="5" t="s">
        <v>393</v>
      </c>
      <c r="Q771" s="5" t="s">
        <v>766</v>
      </c>
      <c r="R771" s="11">
        <v>591000000</v>
      </c>
      <c r="S771" s="22">
        <v>0</v>
      </c>
    </row>
    <row r="772" spans="1:19" ht="127.5" outlineLevel="1">
      <c r="A772" s="5">
        <v>757</v>
      </c>
      <c r="B772" s="29" t="s">
        <v>710</v>
      </c>
      <c r="C772" s="30" t="s">
        <v>711</v>
      </c>
      <c r="D772" s="5" t="s">
        <v>470</v>
      </c>
      <c r="E772" s="57" t="s">
        <v>27</v>
      </c>
      <c r="F772" s="57" t="s">
        <v>27</v>
      </c>
      <c r="G772" s="57" t="s">
        <v>471</v>
      </c>
      <c r="H772" s="57" t="s">
        <v>472</v>
      </c>
      <c r="I772" s="57" t="s">
        <v>27</v>
      </c>
      <c r="J772" s="57" t="s">
        <v>27</v>
      </c>
      <c r="K772" s="57" t="s">
        <v>591</v>
      </c>
      <c r="L772" s="31" t="s">
        <v>644</v>
      </c>
      <c r="M772" s="22">
        <v>2</v>
      </c>
      <c r="N772" s="46">
        <v>2679</v>
      </c>
      <c r="O772" s="49">
        <f t="shared" si="16"/>
        <v>5358</v>
      </c>
      <c r="P772" s="5" t="s">
        <v>393</v>
      </c>
      <c r="Q772" s="5" t="s">
        <v>766</v>
      </c>
      <c r="R772" s="11">
        <v>591000000</v>
      </c>
      <c r="S772" s="22">
        <v>0</v>
      </c>
    </row>
    <row r="773" spans="1:19" ht="51" outlineLevel="1">
      <c r="A773" s="5">
        <v>758</v>
      </c>
      <c r="B773" s="29" t="s">
        <v>710</v>
      </c>
      <c r="C773" s="30" t="s">
        <v>711</v>
      </c>
      <c r="D773" s="10" t="s">
        <v>688</v>
      </c>
      <c r="E773" s="57" t="s">
        <v>846</v>
      </c>
      <c r="F773" s="57" t="s">
        <v>846</v>
      </c>
      <c r="G773" s="57" t="s">
        <v>771</v>
      </c>
      <c r="H773" s="57" t="s">
        <v>771</v>
      </c>
      <c r="I773" s="57" t="s">
        <v>846</v>
      </c>
      <c r="J773" s="57" t="s">
        <v>236</v>
      </c>
      <c r="K773" s="57" t="s">
        <v>591</v>
      </c>
      <c r="L773" s="31" t="s">
        <v>644</v>
      </c>
      <c r="M773" s="22">
        <v>240</v>
      </c>
      <c r="N773" s="46">
        <v>45</v>
      </c>
      <c r="O773" s="49">
        <f t="shared" si="16"/>
        <v>10800</v>
      </c>
      <c r="P773" s="5" t="s">
        <v>393</v>
      </c>
      <c r="Q773" s="5" t="s">
        <v>766</v>
      </c>
      <c r="R773" s="11">
        <v>591000000</v>
      </c>
      <c r="S773" s="22">
        <v>0</v>
      </c>
    </row>
    <row r="774" spans="1:19" ht="51" outlineLevel="1">
      <c r="A774" s="5">
        <v>759</v>
      </c>
      <c r="B774" s="29" t="s">
        <v>710</v>
      </c>
      <c r="C774" s="30" t="s">
        <v>711</v>
      </c>
      <c r="D774" s="5" t="s">
        <v>476</v>
      </c>
      <c r="E774" s="57" t="s">
        <v>477</v>
      </c>
      <c r="F774" s="57" t="s">
        <v>28</v>
      </c>
      <c r="G774" s="57" t="s">
        <v>478</v>
      </c>
      <c r="H774" s="57" t="s">
        <v>479</v>
      </c>
      <c r="I774" s="57" t="s">
        <v>477</v>
      </c>
      <c r="J774" s="57" t="s">
        <v>28</v>
      </c>
      <c r="K774" s="57" t="s">
        <v>591</v>
      </c>
      <c r="L774" s="31" t="s">
        <v>644</v>
      </c>
      <c r="M774" s="22">
        <v>10</v>
      </c>
      <c r="N774" s="46">
        <v>759</v>
      </c>
      <c r="O774" s="49">
        <f t="shared" si="16"/>
        <v>7590</v>
      </c>
      <c r="P774" s="5" t="s">
        <v>393</v>
      </c>
      <c r="Q774" s="5" t="s">
        <v>766</v>
      </c>
      <c r="R774" s="11">
        <v>591000000</v>
      </c>
      <c r="S774" s="22">
        <v>0</v>
      </c>
    </row>
    <row r="775" spans="1:19" ht="51" outlineLevel="1">
      <c r="A775" s="5">
        <v>760</v>
      </c>
      <c r="B775" s="29" t="s">
        <v>710</v>
      </c>
      <c r="C775" s="30" t="s">
        <v>711</v>
      </c>
      <c r="D775" s="10" t="s">
        <v>690</v>
      </c>
      <c r="E775" s="57" t="s">
        <v>2183</v>
      </c>
      <c r="F775" s="57" t="s">
        <v>29</v>
      </c>
      <c r="G775" s="57" t="s">
        <v>847</v>
      </c>
      <c r="H775" s="57" t="s">
        <v>772</v>
      </c>
      <c r="I775" s="57" t="s">
        <v>2183</v>
      </c>
      <c r="J775" s="57" t="s">
        <v>29</v>
      </c>
      <c r="K775" s="57" t="s">
        <v>591</v>
      </c>
      <c r="L775" s="5" t="s">
        <v>480</v>
      </c>
      <c r="M775" s="22">
        <v>120</v>
      </c>
      <c r="N775" s="46">
        <v>27</v>
      </c>
      <c r="O775" s="49">
        <f t="shared" si="16"/>
        <v>3240</v>
      </c>
      <c r="P775" s="5" t="s">
        <v>393</v>
      </c>
      <c r="Q775" s="5" t="s">
        <v>766</v>
      </c>
      <c r="R775" s="11">
        <v>591000000</v>
      </c>
      <c r="S775" s="22">
        <v>0</v>
      </c>
    </row>
    <row r="776" spans="1:19" ht="51" outlineLevel="1">
      <c r="A776" s="5">
        <v>761</v>
      </c>
      <c r="B776" s="29" t="s">
        <v>710</v>
      </c>
      <c r="C776" s="30" t="s">
        <v>711</v>
      </c>
      <c r="D776" s="31" t="s">
        <v>691</v>
      </c>
      <c r="E776" s="57" t="s">
        <v>119</v>
      </c>
      <c r="F776" s="57" t="s">
        <v>119</v>
      </c>
      <c r="G776" s="57" t="s">
        <v>848</v>
      </c>
      <c r="H776" s="57" t="s">
        <v>692</v>
      </c>
      <c r="I776" s="57" t="s">
        <v>119</v>
      </c>
      <c r="J776" s="57" t="s">
        <v>119</v>
      </c>
      <c r="K776" s="57" t="s">
        <v>591</v>
      </c>
      <c r="L776" s="31" t="s">
        <v>644</v>
      </c>
      <c r="M776" s="22">
        <v>60</v>
      </c>
      <c r="N776" s="46">
        <v>103</v>
      </c>
      <c r="O776" s="49">
        <f t="shared" si="16"/>
        <v>6180</v>
      </c>
      <c r="P776" s="5" t="s">
        <v>515</v>
      </c>
      <c r="Q776" s="5" t="s">
        <v>612</v>
      </c>
      <c r="R776" s="11">
        <v>591000000</v>
      </c>
      <c r="S776" s="22">
        <v>0</v>
      </c>
    </row>
    <row r="777" spans="1:19" ht="51" outlineLevel="1">
      <c r="A777" s="5">
        <v>762</v>
      </c>
      <c r="B777" s="29" t="s">
        <v>710</v>
      </c>
      <c r="C777" s="30" t="s">
        <v>711</v>
      </c>
      <c r="D777" s="33" t="s">
        <v>422</v>
      </c>
      <c r="E777" s="57" t="s">
        <v>423</v>
      </c>
      <c r="F777" s="57" t="s">
        <v>424</v>
      </c>
      <c r="G777" s="57" t="s">
        <v>837</v>
      </c>
      <c r="H777" s="57" t="s">
        <v>425</v>
      </c>
      <c r="I777" s="57" t="s">
        <v>2303</v>
      </c>
      <c r="J777" s="57" t="s">
        <v>230</v>
      </c>
      <c r="K777" s="57" t="s">
        <v>591</v>
      </c>
      <c r="L777" s="11" t="s">
        <v>909</v>
      </c>
      <c r="M777" s="22">
        <v>312</v>
      </c>
      <c r="N777" s="46">
        <v>670</v>
      </c>
      <c r="O777" s="49">
        <f t="shared" si="16"/>
        <v>209040</v>
      </c>
      <c r="P777" s="5" t="s">
        <v>515</v>
      </c>
      <c r="Q777" s="5" t="s">
        <v>766</v>
      </c>
      <c r="R777" s="11" t="s">
        <v>2029</v>
      </c>
      <c r="S777" s="5">
        <v>0</v>
      </c>
    </row>
    <row r="778" spans="1:19" ht="63.75" outlineLevel="1">
      <c r="A778" s="5">
        <v>763</v>
      </c>
      <c r="B778" s="29" t="s">
        <v>710</v>
      </c>
      <c r="C778" s="30" t="s">
        <v>711</v>
      </c>
      <c r="D778" s="31" t="s">
        <v>426</v>
      </c>
      <c r="E778" s="57" t="s">
        <v>838</v>
      </c>
      <c r="F778" s="57" t="s">
        <v>19</v>
      </c>
      <c r="G778" s="57" t="s">
        <v>839</v>
      </c>
      <c r="H778" s="57" t="s">
        <v>428</v>
      </c>
      <c r="I778" s="57" t="s">
        <v>838</v>
      </c>
      <c r="J778" s="57" t="s">
        <v>19</v>
      </c>
      <c r="K778" s="57" t="s">
        <v>591</v>
      </c>
      <c r="L778" s="5" t="s">
        <v>669</v>
      </c>
      <c r="M778" s="22">
        <v>26</v>
      </c>
      <c r="N778" s="46">
        <v>313</v>
      </c>
      <c r="O778" s="49">
        <f t="shared" si="16"/>
        <v>8138</v>
      </c>
      <c r="P778" s="5" t="s">
        <v>393</v>
      </c>
      <c r="Q778" s="5" t="s">
        <v>766</v>
      </c>
      <c r="R778" s="11" t="s">
        <v>2029</v>
      </c>
      <c r="S778" s="5">
        <v>0</v>
      </c>
    </row>
    <row r="779" spans="1:19" ht="51" outlineLevel="1">
      <c r="A779" s="5">
        <v>764</v>
      </c>
      <c r="B779" s="29" t="s">
        <v>710</v>
      </c>
      <c r="C779" s="30" t="s">
        <v>711</v>
      </c>
      <c r="D779" s="10" t="s">
        <v>429</v>
      </c>
      <c r="E779" s="57" t="s">
        <v>840</v>
      </c>
      <c r="F779" s="57" t="s">
        <v>430</v>
      </c>
      <c r="G779" s="57" t="s">
        <v>841</v>
      </c>
      <c r="H779" s="57" t="s">
        <v>431</v>
      </c>
      <c r="I779" s="57" t="s">
        <v>840</v>
      </c>
      <c r="J779" s="57" t="s">
        <v>231</v>
      </c>
      <c r="K779" s="57" t="s">
        <v>591</v>
      </c>
      <c r="L779" s="11" t="s">
        <v>909</v>
      </c>
      <c r="M779" s="22">
        <v>52</v>
      </c>
      <c r="N779" s="46">
        <v>223</v>
      </c>
      <c r="O779" s="49">
        <f t="shared" si="16"/>
        <v>11596</v>
      </c>
      <c r="P779" s="5" t="s">
        <v>393</v>
      </c>
      <c r="Q779" s="5" t="s">
        <v>766</v>
      </c>
      <c r="R779" s="11" t="s">
        <v>2029</v>
      </c>
      <c r="S779" s="5">
        <v>0</v>
      </c>
    </row>
    <row r="780" spans="1:19" ht="51" outlineLevel="1">
      <c r="A780" s="5">
        <v>765</v>
      </c>
      <c r="B780" s="29" t="s">
        <v>710</v>
      </c>
      <c r="C780" s="30" t="s">
        <v>711</v>
      </c>
      <c r="D780" s="11" t="s">
        <v>894</v>
      </c>
      <c r="E780" s="57" t="s">
        <v>767</v>
      </c>
      <c r="F780" s="57" t="s">
        <v>18</v>
      </c>
      <c r="G780" s="57" t="s">
        <v>2180</v>
      </c>
      <c r="H780" s="57" t="s">
        <v>670</v>
      </c>
      <c r="I780" s="57" t="s">
        <v>767</v>
      </c>
      <c r="J780" s="57" t="s">
        <v>18</v>
      </c>
      <c r="K780" s="57" t="s">
        <v>591</v>
      </c>
      <c r="L780" s="5" t="s">
        <v>480</v>
      </c>
      <c r="M780" s="22">
        <v>52</v>
      </c>
      <c r="N780" s="46">
        <v>179</v>
      </c>
      <c r="O780" s="49">
        <f t="shared" si="16"/>
        <v>9308</v>
      </c>
      <c r="P780" s="5" t="s">
        <v>393</v>
      </c>
      <c r="Q780" s="5" t="s">
        <v>766</v>
      </c>
      <c r="R780" s="11" t="s">
        <v>2029</v>
      </c>
      <c r="S780" s="5">
        <v>0</v>
      </c>
    </row>
    <row r="781" spans="1:19" ht="51" outlineLevel="1">
      <c r="A781" s="5">
        <v>766</v>
      </c>
      <c r="B781" s="15" t="s">
        <v>710</v>
      </c>
      <c r="C781" s="30" t="s">
        <v>711</v>
      </c>
      <c r="D781" s="5" t="s">
        <v>671</v>
      </c>
      <c r="E781" s="57" t="s">
        <v>20</v>
      </c>
      <c r="F781" s="57" t="s">
        <v>20</v>
      </c>
      <c r="G781" s="57" t="s">
        <v>2228</v>
      </c>
      <c r="H781" s="57" t="s">
        <v>768</v>
      </c>
      <c r="I781" s="57" t="s">
        <v>20</v>
      </c>
      <c r="J781" s="57" t="s">
        <v>20</v>
      </c>
      <c r="K781" s="57" t="s">
        <v>591</v>
      </c>
      <c r="L781" s="31" t="s">
        <v>644</v>
      </c>
      <c r="M781" s="22">
        <v>52</v>
      </c>
      <c r="N781" s="46">
        <v>107</v>
      </c>
      <c r="O781" s="49">
        <f t="shared" si="16"/>
        <v>5564</v>
      </c>
      <c r="P781" s="5" t="s">
        <v>393</v>
      </c>
      <c r="Q781" s="5" t="s">
        <v>766</v>
      </c>
      <c r="R781" s="11" t="s">
        <v>2029</v>
      </c>
      <c r="S781" s="5">
        <v>0</v>
      </c>
    </row>
    <row r="782" spans="1:19" ht="51" outlineLevel="1">
      <c r="A782" s="5">
        <v>767</v>
      </c>
      <c r="B782" s="29" t="s">
        <v>710</v>
      </c>
      <c r="C782" s="30" t="s">
        <v>711</v>
      </c>
      <c r="D782" s="10" t="s">
        <v>673</v>
      </c>
      <c r="E782" s="57" t="s">
        <v>21</v>
      </c>
      <c r="F782" s="57" t="s">
        <v>21</v>
      </c>
      <c r="G782" s="57" t="s">
        <v>2246</v>
      </c>
      <c r="H782" s="57" t="s">
        <v>674</v>
      </c>
      <c r="I782" s="57" t="s">
        <v>21</v>
      </c>
      <c r="J782" s="57" t="s">
        <v>21</v>
      </c>
      <c r="K782" s="57" t="s">
        <v>591</v>
      </c>
      <c r="L782" s="31" t="s">
        <v>644</v>
      </c>
      <c r="M782" s="22">
        <v>13</v>
      </c>
      <c r="N782" s="46">
        <v>1339</v>
      </c>
      <c r="O782" s="49">
        <f t="shared" si="16"/>
        <v>17407</v>
      </c>
      <c r="P782" s="5" t="s">
        <v>393</v>
      </c>
      <c r="Q782" s="5" t="s">
        <v>766</v>
      </c>
      <c r="R782" s="11" t="s">
        <v>2029</v>
      </c>
      <c r="S782" s="5">
        <v>0</v>
      </c>
    </row>
    <row r="783" spans="1:19" ht="63.75" outlineLevel="1">
      <c r="A783" s="5">
        <v>768</v>
      </c>
      <c r="B783" s="15" t="s">
        <v>710</v>
      </c>
      <c r="C783" s="30" t="s">
        <v>711</v>
      </c>
      <c r="D783" s="10" t="s">
        <v>675</v>
      </c>
      <c r="E783" s="57" t="s">
        <v>2077</v>
      </c>
      <c r="F783" s="57" t="s">
        <v>22</v>
      </c>
      <c r="G783" s="57" t="s">
        <v>843</v>
      </c>
      <c r="H783" s="57" t="s">
        <v>769</v>
      </c>
      <c r="I783" s="57" t="s">
        <v>2077</v>
      </c>
      <c r="J783" s="57" t="s">
        <v>22</v>
      </c>
      <c r="K783" s="57" t="s">
        <v>591</v>
      </c>
      <c r="L783" s="5" t="s">
        <v>480</v>
      </c>
      <c r="M783" s="22">
        <v>312</v>
      </c>
      <c r="N783" s="46">
        <v>13</v>
      </c>
      <c r="O783" s="49">
        <f t="shared" si="16"/>
        <v>4056</v>
      </c>
      <c r="P783" s="5" t="s">
        <v>393</v>
      </c>
      <c r="Q783" s="5" t="s">
        <v>766</v>
      </c>
      <c r="R783" s="11" t="s">
        <v>2029</v>
      </c>
      <c r="S783" s="5">
        <v>0</v>
      </c>
    </row>
    <row r="784" spans="1:19" ht="51" outlineLevel="1">
      <c r="A784" s="5">
        <v>769</v>
      </c>
      <c r="B784" s="29" t="s">
        <v>710</v>
      </c>
      <c r="C784" s="30" t="s">
        <v>711</v>
      </c>
      <c r="D784" s="5" t="s">
        <v>443</v>
      </c>
      <c r="E784" s="57" t="s">
        <v>444</v>
      </c>
      <c r="F784" s="57" t="s">
        <v>444</v>
      </c>
      <c r="G784" s="57" t="s">
        <v>445</v>
      </c>
      <c r="H784" s="57" t="s">
        <v>446</v>
      </c>
      <c r="I784" s="57" t="s">
        <v>232</v>
      </c>
      <c r="J784" s="57" t="s">
        <v>232</v>
      </c>
      <c r="K784" s="57" t="s">
        <v>591</v>
      </c>
      <c r="L784" s="31" t="s">
        <v>644</v>
      </c>
      <c r="M784" s="22">
        <v>78</v>
      </c>
      <c r="N784" s="46">
        <v>446</v>
      </c>
      <c r="O784" s="49">
        <f t="shared" si="16"/>
        <v>34788</v>
      </c>
      <c r="P784" s="5" t="s">
        <v>393</v>
      </c>
      <c r="Q784" s="5" t="s">
        <v>766</v>
      </c>
      <c r="R784" s="11" t="s">
        <v>2029</v>
      </c>
      <c r="S784" s="5">
        <v>0</v>
      </c>
    </row>
    <row r="785" spans="1:19" ht="51" outlineLevel="1">
      <c r="A785" s="5">
        <v>770</v>
      </c>
      <c r="B785" s="29" t="s">
        <v>710</v>
      </c>
      <c r="C785" s="30" t="s">
        <v>711</v>
      </c>
      <c r="D785" s="10" t="s">
        <v>677</v>
      </c>
      <c r="E785" s="57" t="s">
        <v>2276</v>
      </c>
      <c r="F785" s="57" t="s">
        <v>23</v>
      </c>
      <c r="G785" s="57" t="s">
        <v>844</v>
      </c>
      <c r="H785" s="57" t="s">
        <v>678</v>
      </c>
      <c r="I785" s="57" t="s">
        <v>2276</v>
      </c>
      <c r="J785" s="57" t="s">
        <v>23</v>
      </c>
      <c r="K785" s="57" t="s">
        <v>591</v>
      </c>
      <c r="L785" s="31" t="s">
        <v>644</v>
      </c>
      <c r="M785" s="22">
        <v>78</v>
      </c>
      <c r="N785" s="46">
        <v>268</v>
      </c>
      <c r="O785" s="49">
        <f t="shared" si="16"/>
        <v>20904</v>
      </c>
      <c r="P785" s="5" t="s">
        <v>393</v>
      </c>
      <c r="Q785" s="5" t="s">
        <v>766</v>
      </c>
      <c r="R785" s="11" t="s">
        <v>2029</v>
      </c>
      <c r="S785" s="5">
        <v>0</v>
      </c>
    </row>
    <row r="786" spans="1:19" ht="51" outlineLevel="1">
      <c r="A786" s="5">
        <v>771</v>
      </c>
      <c r="B786" s="29" t="s">
        <v>710</v>
      </c>
      <c r="C786" s="30" t="s">
        <v>711</v>
      </c>
      <c r="D786" s="10" t="s">
        <v>679</v>
      </c>
      <c r="E786" s="57" t="s">
        <v>24</v>
      </c>
      <c r="F786" s="57" t="s">
        <v>24</v>
      </c>
      <c r="G786" s="57" t="s">
        <v>2279</v>
      </c>
      <c r="H786" s="57" t="s">
        <v>680</v>
      </c>
      <c r="I786" s="57" t="s">
        <v>24</v>
      </c>
      <c r="J786" s="57" t="s">
        <v>24</v>
      </c>
      <c r="K786" s="57" t="s">
        <v>591</v>
      </c>
      <c r="L786" s="31" t="s">
        <v>644</v>
      </c>
      <c r="M786" s="22">
        <v>13</v>
      </c>
      <c r="N786" s="46">
        <v>223</v>
      </c>
      <c r="O786" s="49">
        <f t="shared" si="16"/>
        <v>2899</v>
      </c>
      <c r="P786" s="5" t="s">
        <v>393</v>
      </c>
      <c r="Q786" s="5" t="s">
        <v>766</v>
      </c>
      <c r="R786" s="11" t="s">
        <v>2029</v>
      </c>
      <c r="S786" s="5">
        <v>0</v>
      </c>
    </row>
    <row r="787" spans="1:19" ht="51" outlineLevel="1">
      <c r="A787" s="5">
        <v>772</v>
      </c>
      <c r="B787" s="29" t="s">
        <v>710</v>
      </c>
      <c r="C787" s="30" t="s">
        <v>711</v>
      </c>
      <c r="D787" s="5" t="s">
        <v>449</v>
      </c>
      <c r="E787" s="57" t="s">
        <v>2278</v>
      </c>
      <c r="F787" s="57" t="s">
        <v>450</v>
      </c>
      <c r="G787" s="57" t="s">
        <v>2281</v>
      </c>
      <c r="H787" s="57" t="s">
        <v>451</v>
      </c>
      <c r="I787" s="57" t="s">
        <v>2278</v>
      </c>
      <c r="J787" s="57" t="s">
        <v>233</v>
      </c>
      <c r="K787" s="57" t="s">
        <v>591</v>
      </c>
      <c r="L787" s="5" t="s">
        <v>480</v>
      </c>
      <c r="M787" s="22">
        <v>78</v>
      </c>
      <c r="N787" s="46">
        <v>223</v>
      </c>
      <c r="O787" s="49">
        <f t="shared" si="16"/>
        <v>17394</v>
      </c>
      <c r="P787" s="5" t="s">
        <v>393</v>
      </c>
      <c r="Q787" s="5" t="s">
        <v>766</v>
      </c>
      <c r="R787" s="11" t="s">
        <v>2029</v>
      </c>
      <c r="S787" s="5">
        <v>0</v>
      </c>
    </row>
    <row r="788" spans="1:19" ht="51" outlineLevel="1">
      <c r="A788" s="5">
        <v>773</v>
      </c>
      <c r="B788" s="29" t="s">
        <v>710</v>
      </c>
      <c r="C788" s="30" t="s">
        <v>711</v>
      </c>
      <c r="D788" s="5" t="s">
        <v>452</v>
      </c>
      <c r="E788" s="57" t="s">
        <v>453</v>
      </c>
      <c r="F788" s="57" t="s">
        <v>454</v>
      </c>
      <c r="G788" s="57" t="s">
        <v>455</v>
      </c>
      <c r="H788" s="57" t="s">
        <v>456</v>
      </c>
      <c r="I788" s="57" t="s">
        <v>453</v>
      </c>
      <c r="J788" s="57" t="s">
        <v>234</v>
      </c>
      <c r="K788" s="57" t="s">
        <v>591</v>
      </c>
      <c r="L788" s="5" t="s">
        <v>480</v>
      </c>
      <c r="M788" s="22">
        <v>78</v>
      </c>
      <c r="N788" s="46">
        <v>179</v>
      </c>
      <c r="O788" s="49">
        <f t="shared" si="16"/>
        <v>13962</v>
      </c>
      <c r="P788" s="5" t="s">
        <v>393</v>
      </c>
      <c r="Q788" s="5" t="s">
        <v>766</v>
      </c>
      <c r="R788" s="11" t="s">
        <v>2029</v>
      </c>
      <c r="S788" s="5">
        <v>0</v>
      </c>
    </row>
    <row r="789" spans="1:19" ht="51" outlineLevel="1">
      <c r="A789" s="5">
        <v>774</v>
      </c>
      <c r="B789" s="29" t="s">
        <v>710</v>
      </c>
      <c r="C789" s="30" t="s">
        <v>711</v>
      </c>
      <c r="D789" s="5" t="s">
        <v>457</v>
      </c>
      <c r="E789" s="57" t="s">
        <v>17</v>
      </c>
      <c r="F789" s="57" t="s">
        <v>17</v>
      </c>
      <c r="G789" s="57" t="s">
        <v>2289</v>
      </c>
      <c r="H789" s="57" t="s">
        <v>2290</v>
      </c>
      <c r="I789" s="57" t="s">
        <v>17</v>
      </c>
      <c r="J789" s="57" t="s">
        <v>17</v>
      </c>
      <c r="K789" s="57" t="s">
        <v>591</v>
      </c>
      <c r="L789" s="31" t="s">
        <v>644</v>
      </c>
      <c r="M789" s="22">
        <v>26</v>
      </c>
      <c r="N789" s="46">
        <v>714</v>
      </c>
      <c r="O789" s="49">
        <f t="shared" si="16"/>
        <v>18564</v>
      </c>
      <c r="P789" s="5" t="s">
        <v>393</v>
      </c>
      <c r="Q789" s="5" t="s">
        <v>766</v>
      </c>
      <c r="R789" s="11" t="s">
        <v>2029</v>
      </c>
      <c r="S789" s="5">
        <v>0</v>
      </c>
    </row>
    <row r="790" spans="1:19" ht="51">
      <c r="A790" s="5">
        <v>775</v>
      </c>
      <c r="B790" s="29" t="s">
        <v>710</v>
      </c>
      <c r="C790" s="30" t="s">
        <v>711</v>
      </c>
      <c r="D790" s="11" t="s">
        <v>459</v>
      </c>
      <c r="E790" s="57" t="s">
        <v>1691</v>
      </c>
      <c r="F790" s="57" t="s">
        <v>460</v>
      </c>
      <c r="G790" s="57" t="s">
        <v>2214</v>
      </c>
      <c r="H790" s="57" t="s">
        <v>2215</v>
      </c>
      <c r="I790" s="57" t="s">
        <v>235</v>
      </c>
      <c r="J790" s="57" t="s">
        <v>235</v>
      </c>
      <c r="K790" s="57" t="s">
        <v>591</v>
      </c>
      <c r="L790" s="31" t="s">
        <v>644</v>
      </c>
      <c r="M790" s="22">
        <v>52</v>
      </c>
      <c r="N790" s="46">
        <v>161</v>
      </c>
      <c r="O790" s="49">
        <f t="shared" si="16"/>
        <v>8372</v>
      </c>
      <c r="P790" s="5" t="s">
        <v>393</v>
      </c>
      <c r="Q790" s="5" t="s">
        <v>766</v>
      </c>
      <c r="R790" s="11" t="s">
        <v>2029</v>
      </c>
      <c r="S790" s="5">
        <v>0</v>
      </c>
    </row>
    <row r="791" spans="1:19" ht="51">
      <c r="A791" s="5">
        <v>776</v>
      </c>
      <c r="B791" s="15" t="s">
        <v>710</v>
      </c>
      <c r="C791" s="30" t="s">
        <v>711</v>
      </c>
      <c r="D791" s="10" t="s">
        <v>683</v>
      </c>
      <c r="E791" s="57" t="s">
        <v>466</v>
      </c>
      <c r="F791" s="57" t="s">
        <v>463</v>
      </c>
      <c r="G791" s="57" t="s">
        <v>845</v>
      </c>
      <c r="H791" s="57" t="s">
        <v>770</v>
      </c>
      <c r="I791" s="57" t="s">
        <v>466</v>
      </c>
      <c r="J791" s="57" t="s">
        <v>463</v>
      </c>
      <c r="K791" s="57" t="s">
        <v>591</v>
      </c>
      <c r="L791" s="31" t="s">
        <v>644</v>
      </c>
      <c r="M791" s="22">
        <v>52</v>
      </c>
      <c r="N791" s="46">
        <v>161</v>
      </c>
      <c r="O791" s="49">
        <f t="shared" si="16"/>
        <v>8372</v>
      </c>
      <c r="P791" s="5" t="s">
        <v>393</v>
      </c>
      <c r="Q791" s="5" t="s">
        <v>766</v>
      </c>
      <c r="R791" s="11" t="s">
        <v>2029</v>
      </c>
      <c r="S791" s="5">
        <v>0</v>
      </c>
    </row>
    <row r="792" spans="1:19" ht="51" outlineLevel="1">
      <c r="A792" s="5">
        <v>777</v>
      </c>
      <c r="B792" s="29" t="s">
        <v>710</v>
      </c>
      <c r="C792" s="30" t="s">
        <v>711</v>
      </c>
      <c r="D792" s="10" t="s">
        <v>684</v>
      </c>
      <c r="E792" s="57" t="s">
        <v>466</v>
      </c>
      <c r="F792" s="57" t="s">
        <v>25</v>
      </c>
      <c r="G792" s="57" t="s">
        <v>2191</v>
      </c>
      <c r="H792" s="57" t="s">
        <v>685</v>
      </c>
      <c r="I792" s="57" t="s">
        <v>466</v>
      </c>
      <c r="J792" s="57" t="s">
        <v>25</v>
      </c>
      <c r="K792" s="57" t="s">
        <v>591</v>
      </c>
      <c r="L792" s="31" t="s">
        <v>644</v>
      </c>
      <c r="M792" s="22">
        <v>52</v>
      </c>
      <c r="N792" s="46">
        <v>45</v>
      </c>
      <c r="O792" s="49">
        <f t="shared" si="16"/>
        <v>2340</v>
      </c>
      <c r="P792" s="5" t="s">
        <v>393</v>
      </c>
      <c r="Q792" s="5" t="s">
        <v>766</v>
      </c>
      <c r="R792" s="11" t="s">
        <v>2029</v>
      </c>
      <c r="S792" s="5">
        <v>0</v>
      </c>
    </row>
    <row r="793" spans="1:19" ht="51" outlineLevel="1">
      <c r="A793" s="5">
        <v>778</v>
      </c>
      <c r="B793" s="15" t="s">
        <v>710</v>
      </c>
      <c r="C793" s="30" t="s">
        <v>711</v>
      </c>
      <c r="D793" s="10" t="s">
        <v>686</v>
      </c>
      <c r="E793" s="57" t="s">
        <v>2304</v>
      </c>
      <c r="F793" s="57" t="s">
        <v>26</v>
      </c>
      <c r="G793" s="57" t="s">
        <v>2305</v>
      </c>
      <c r="H793" s="57" t="s">
        <v>687</v>
      </c>
      <c r="I793" s="57" t="s">
        <v>2304</v>
      </c>
      <c r="J793" s="57" t="s">
        <v>26</v>
      </c>
      <c r="K793" s="57" t="s">
        <v>591</v>
      </c>
      <c r="L793" s="11" t="s">
        <v>909</v>
      </c>
      <c r="M793" s="22">
        <v>26</v>
      </c>
      <c r="N793" s="46">
        <v>134</v>
      </c>
      <c r="O793" s="49">
        <f t="shared" si="16"/>
        <v>3484</v>
      </c>
      <c r="P793" s="5" t="s">
        <v>393</v>
      </c>
      <c r="Q793" s="5" t="s">
        <v>766</v>
      </c>
      <c r="R793" s="11" t="s">
        <v>2029</v>
      </c>
      <c r="S793" s="5">
        <v>0</v>
      </c>
    </row>
    <row r="794" spans="1:19" ht="127.5" outlineLevel="1">
      <c r="A794" s="5">
        <v>779</v>
      </c>
      <c r="B794" s="29" t="s">
        <v>710</v>
      </c>
      <c r="C794" s="30" t="s">
        <v>711</v>
      </c>
      <c r="D794" s="5" t="s">
        <v>470</v>
      </c>
      <c r="E794" s="57" t="s">
        <v>27</v>
      </c>
      <c r="F794" s="57" t="s">
        <v>27</v>
      </c>
      <c r="G794" s="57" t="s">
        <v>471</v>
      </c>
      <c r="H794" s="57" t="s">
        <v>472</v>
      </c>
      <c r="I794" s="57" t="s">
        <v>27</v>
      </c>
      <c r="J794" s="57" t="s">
        <v>27</v>
      </c>
      <c r="K794" s="57" t="s">
        <v>591</v>
      </c>
      <c r="L794" s="31" t="s">
        <v>644</v>
      </c>
      <c r="M794" s="22">
        <v>3</v>
      </c>
      <c r="N794" s="46">
        <v>2679</v>
      </c>
      <c r="O794" s="49">
        <f t="shared" si="16"/>
        <v>8037</v>
      </c>
      <c r="P794" s="5" t="s">
        <v>393</v>
      </c>
      <c r="Q794" s="5" t="s">
        <v>766</v>
      </c>
      <c r="R794" s="11" t="s">
        <v>2029</v>
      </c>
      <c r="S794" s="5">
        <v>0</v>
      </c>
    </row>
    <row r="795" spans="1:19" ht="51" outlineLevel="1">
      <c r="A795" s="5">
        <v>780</v>
      </c>
      <c r="B795" s="29" t="s">
        <v>710</v>
      </c>
      <c r="C795" s="30" t="s">
        <v>711</v>
      </c>
      <c r="D795" s="10" t="s">
        <v>688</v>
      </c>
      <c r="E795" s="57" t="s">
        <v>846</v>
      </c>
      <c r="F795" s="57" t="s">
        <v>846</v>
      </c>
      <c r="G795" s="57" t="s">
        <v>771</v>
      </c>
      <c r="H795" s="57" t="s">
        <v>771</v>
      </c>
      <c r="I795" s="57" t="s">
        <v>846</v>
      </c>
      <c r="J795" s="57" t="s">
        <v>236</v>
      </c>
      <c r="K795" s="57" t="s">
        <v>591</v>
      </c>
      <c r="L795" s="31" t="s">
        <v>644</v>
      </c>
      <c r="M795" s="22">
        <v>312</v>
      </c>
      <c r="N795" s="46">
        <v>45</v>
      </c>
      <c r="O795" s="49">
        <f t="shared" ref="O795:O858" si="17">M795*N795</f>
        <v>14040</v>
      </c>
      <c r="P795" s="5" t="s">
        <v>393</v>
      </c>
      <c r="Q795" s="5" t="s">
        <v>766</v>
      </c>
      <c r="R795" s="11" t="s">
        <v>2029</v>
      </c>
      <c r="S795" s="5">
        <v>0</v>
      </c>
    </row>
    <row r="796" spans="1:19" ht="51" outlineLevel="1">
      <c r="A796" s="5">
        <v>781</v>
      </c>
      <c r="B796" s="29" t="s">
        <v>710</v>
      </c>
      <c r="C796" s="30" t="s">
        <v>711</v>
      </c>
      <c r="D796" s="5" t="s">
        <v>476</v>
      </c>
      <c r="E796" s="57" t="s">
        <v>477</v>
      </c>
      <c r="F796" s="57" t="s">
        <v>28</v>
      </c>
      <c r="G796" s="57" t="s">
        <v>478</v>
      </c>
      <c r="H796" s="57" t="s">
        <v>479</v>
      </c>
      <c r="I796" s="57" t="s">
        <v>477</v>
      </c>
      <c r="J796" s="57" t="s">
        <v>28</v>
      </c>
      <c r="K796" s="57" t="s">
        <v>591</v>
      </c>
      <c r="L796" s="31" t="s">
        <v>644</v>
      </c>
      <c r="M796" s="22">
        <v>13</v>
      </c>
      <c r="N796" s="46">
        <v>759</v>
      </c>
      <c r="O796" s="49">
        <f t="shared" si="17"/>
        <v>9867</v>
      </c>
      <c r="P796" s="5" t="s">
        <v>393</v>
      </c>
      <c r="Q796" s="5" t="s">
        <v>766</v>
      </c>
      <c r="R796" s="11" t="s">
        <v>2029</v>
      </c>
      <c r="S796" s="5">
        <v>0</v>
      </c>
    </row>
    <row r="797" spans="1:19" ht="51" outlineLevel="1">
      <c r="A797" s="5">
        <v>782</v>
      </c>
      <c r="B797" s="29" t="s">
        <v>710</v>
      </c>
      <c r="C797" s="30" t="s">
        <v>711</v>
      </c>
      <c r="D797" s="10" t="s">
        <v>690</v>
      </c>
      <c r="E797" s="57" t="s">
        <v>2183</v>
      </c>
      <c r="F797" s="57" t="s">
        <v>29</v>
      </c>
      <c r="G797" s="57" t="s">
        <v>2975</v>
      </c>
      <c r="H797" s="57" t="s">
        <v>772</v>
      </c>
      <c r="I797" s="57" t="s">
        <v>2183</v>
      </c>
      <c r="J797" s="57" t="s">
        <v>29</v>
      </c>
      <c r="K797" s="57" t="s">
        <v>591</v>
      </c>
      <c r="L797" s="5" t="s">
        <v>480</v>
      </c>
      <c r="M797" s="22">
        <v>156</v>
      </c>
      <c r="N797" s="46">
        <v>27</v>
      </c>
      <c r="O797" s="49">
        <f t="shared" si="17"/>
        <v>4212</v>
      </c>
      <c r="P797" s="5" t="s">
        <v>393</v>
      </c>
      <c r="Q797" s="5" t="s">
        <v>766</v>
      </c>
      <c r="R797" s="11" t="s">
        <v>2029</v>
      </c>
      <c r="S797" s="5">
        <v>0</v>
      </c>
    </row>
    <row r="798" spans="1:19" ht="51" outlineLevel="1">
      <c r="A798" s="5">
        <v>783</v>
      </c>
      <c r="B798" s="29" t="s">
        <v>710</v>
      </c>
      <c r="C798" s="30" t="s">
        <v>711</v>
      </c>
      <c r="D798" s="31" t="s">
        <v>691</v>
      </c>
      <c r="E798" s="57" t="s">
        <v>119</v>
      </c>
      <c r="F798" s="57" t="s">
        <v>119</v>
      </c>
      <c r="G798" s="57" t="s">
        <v>848</v>
      </c>
      <c r="H798" s="57" t="s">
        <v>692</v>
      </c>
      <c r="I798" s="57" t="s">
        <v>119</v>
      </c>
      <c r="J798" s="57" t="s">
        <v>119</v>
      </c>
      <c r="K798" s="57" t="s">
        <v>591</v>
      </c>
      <c r="L798" s="31" t="s">
        <v>644</v>
      </c>
      <c r="M798" s="22">
        <v>78</v>
      </c>
      <c r="N798" s="46">
        <f>O798/M798</f>
        <v>0</v>
      </c>
      <c r="O798" s="49">
        <f>8034-8034</f>
        <v>0</v>
      </c>
      <c r="P798" s="5" t="s">
        <v>612</v>
      </c>
      <c r="Q798" s="5" t="s">
        <v>766</v>
      </c>
      <c r="R798" s="11" t="s">
        <v>2029</v>
      </c>
      <c r="S798" s="5">
        <v>0</v>
      </c>
    </row>
    <row r="799" spans="1:19" ht="63.75" outlineLevel="1">
      <c r="A799" s="5">
        <v>784</v>
      </c>
      <c r="B799" s="29" t="s">
        <v>710</v>
      </c>
      <c r="C799" s="30" t="s">
        <v>711</v>
      </c>
      <c r="D799" s="5" t="s">
        <v>603</v>
      </c>
      <c r="E799" s="57" t="s">
        <v>604</v>
      </c>
      <c r="F799" s="57" t="s">
        <v>605</v>
      </c>
      <c r="G799" s="57" t="s">
        <v>606</v>
      </c>
      <c r="H799" s="57" t="s">
        <v>607</v>
      </c>
      <c r="I799" s="57" t="s">
        <v>2255</v>
      </c>
      <c r="J799" s="57" t="s">
        <v>608</v>
      </c>
      <c r="K799" s="57" t="s">
        <v>591</v>
      </c>
      <c r="L799" s="5" t="s">
        <v>1478</v>
      </c>
      <c r="M799" s="22">
        <v>1791</v>
      </c>
      <c r="N799" s="46">
        <f>O799/M799</f>
        <v>616.08263539921836</v>
      </c>
      <c r="O799" s="49">
        <f>626850+476554</f>
        <v>1103404</v>
      </c>
      <c r="P799" s="5" t="s">
        <v>391</v>
      </c>
      <c r="Q799" s="5" t="s">
        <v>766</v>
      </c>
      <c r="R799" s="11" t="s">
        <v>2022</v>
      </c>
      <c r="S799" s="22">
        <v>0</v>
      </c>
    </row>
    <row r="800" spans="1:19" ht="53.25" customHeight="1" outlineLevel="1">
      <c r="A800" s="5">
        <v>785</v>
      </c>
      <c r="B800" s="29" t="s">
        <v>710</v>
      </c>
      <c r="C800" s="30" t="s">
        <v>711</v>
      </c>
      <c r="D800" s="11" t="s">
        <v>1344</v>
      </c>
      <c r="E800" s="57" t="s">
        <v>2976</v>
      </c>
      <c r="F800" s="57" t="s">
        <v>1345</v>
      </c>
      <c r="G800" s="57" t="s">
        <v>1732</v>
      </c>
      <c r="H800" s="57" t="s">
        <v>1346</v>
      </c>
      <c r="I800" s="57" t="s">
        <v>1733</v>
      </c>
      <c r="J800" s="57" t="s">
        <v>1347</v>
      </c>
      <c r="K800" s="57" t="s">
        <v>591</v>
      </c>
      <c r="L800" s="31" t="s">
        <v>644</v>
      </c>
      <c r="M800" s="22">
        <v>20</v>
      </c>
      <c r="N800" s="46">
        <f>O800/M800</f>
        <v>27857</v>
      </c>
      <c r="O800" s="49">
        <f>357140+200000</f>
        <v>557140</v>
      </c>
      <c r="P800" s="5" t="s">
        <v>699</v>
      </c>
      <c r="Q800" s="5" t="s">
        <v>394</v>
      </c>
      <c r="R800" s="11" t="s">
        <v>1175</v>
      </c>
      <c r="S800" s="5">
        <v>100</v>
      </c>
    </row>
    <row r="801" spans="1:19" ht="51" outlineLevel="1">
      <c r="A801" s="5">
        <v>786</v>
      </c>
      <c r="B801" s="15" t="s">
        <v>710</v>
      </c>
      <c r="C801" s="30" t="s">
        <v>711</v>
      </c>
      <c r="D801" s="5" t="s">
        <v>671</v>
      </c>
      <c r="E801" s="57" t="s">
        <v>20</v>
      </c>
      <c r="F801" s="57" t="s">
        <v>20</v>
      </c>
      <c r="G801" s="57" t="s">
        <v>2228</v>
      </c>
      <c r="H801" s="57" t="s">
        <v>768</v>
      </c>
      <c r="I801" s="57" t="s">
        <v>20</v>
      </c>
      <c r="J801" s="57" t="s">
        <v>20</v>
      </c>
      <c r="K801" s="57" t="s">
        <v>591</v>
      </c>
      <c r="L801" s="31" t="s">
        <v>644</v>
      </c>
      <c r="M801" s="9">
        <v>53</v>
      </c>
      <c r="N801" s="46">
        <v>204</v>
      </c>
      <c r="O801" s="49">
        <f t="shared" si="17"/>
        <v>10812</v>
      </c>
      <c r="P801" s="5" t="s">
        <v>515</v>
      </c>
      <c r="Q801" s="5" t="s">
        <v>766</v>
      </c>
      <c r="R801" s="11" t="s">
        <v>2030</v>
      </c>
      <c r="S801" s="22">
        <v>100</v>
      </c>
    </row>
    <row r="802" spans="1:19" ht="38.25" outlineLevel="1">
      <c r="A802" s="5">
        <v>787</v>
      </c>
      <c r="B802" s="15" t="s">
        <v>710</v>
      </c>
      <c r="C802" s="30" t="s">
        <v>711</v>
      </c>
      <c r="D802" s="11" t="s">
        <v>481</v>
      </c>
      <c r="E802" s="57" t="s">
        <v>2230</v>
      </c>
      <c r="F802" s="57" t="s">
        <v>2230</v>
      </c>
      <c r="G802" s="57" t="s">
        <v>2231</v>
      </c>
      <c r="H802" s="57" t="s">
        <v>1273</v>
      </c>
      <c r="I802" s="57" t="s">
        <v>2232</v>
      </c>
      <c r="J802" s="57" t="s">
        <v>383</v>
      </c>
      <c r="K802" s="57" t="s">
        <v>591</v>
      </c>
      <c r="L802" s="31" t="s">
        <v>644</v>
      </c>
      <c r="M802" s="9">
        <v>57</v>
      </c>
      <c r="N802" s="46">
        <v>138</v>
      </c>
      <c r="O802" s="49">
        <f t="shared" si="17"/>
        <v>7866</v>
      </c>
      <c r="P802" s="5" t="s">
        <v>515</v>
      </c>
      <c r="Q802" s="5" t="s">
        <v>939</v>
      </c>
      <c r="R802" s="11" t="s">
        <v>1021</v>
      </c>
      <c r="S802" s="5">
        <v>100</v>
      </c>
    </row>
    <row r="803" spans="1:19" ht="38.25" outlineLevel="1">
      <c r="A803" s="5">
        <v>788</v>
      </c>
      <c r="B803" s="15" t="s">
        <v>710</v>
      </c>
      <c r="C803" s="30" t="s">
        <v>711</v>
      </c>
      <c r="D803" s="11" t="s">
        <v>481</v>
      </c>
      <c r="E803" s="57" t="s">
        <v>2230</v>
      </c>
      <c r="F803" s="57" t="s">
        <v>2230</v>
      </c>
      <c r="G803" s="57" t="s">
        <v>2231</v>
      </c>
      <c r="H803" s="57" t="s">
        <v>1273</v>
      </c>
      <c r="I803" s="57" t="s">
        <v>2232</v>
      </c>
      <c r="J803" s="57" t="s">
        <v>383</v>
      </c>
      <c r="K803" s="57" t="s">
        <v>591</v>
      </c>
      <c r="L803" s="31" t="s">
        <v>644</v>
      </c>
      <c r="M803" s="9">
        <v>26</v>
      </c>
      <c r="N803" s="46">
        <v>211</v>
      </c>
      <c r="O803" s="49">
        <f t="shared" si="17"/>
        <v>5486</v>
      </c>
      <c r="P803" s="5" t="s">
        <v>391</v>
      </c>
      <c r="Q803" s="5" t="s">
        <v>515</v>
      </c>
      <c r="R803" s="11" t="s">
        <v>789</v>
      </c>
      <c r="S803" s="5">
        <v>0</v>
      </c>
    </row>
    <row r="804" spans="1:19" s="13" customFormat="1" ht="38.25">
      <c r="A804" s="5">
        <v>789</v>
      </c>
      <c r="B804" s="15" t="s">
        <v>710</v>
      </c>
      <c r="C804" s="30" t="s">
        <v>711</v>
      </c>
      <c r="D804" s="11" t="s">
        <v>481</v>
      </c>
      <c r="E804" s="57" t="s">
        <v>2230</v>
      </c>
      <c r="F804" s="57" t="s">
        <v>2230</v>
      </c>
      <c r="G804" s="57" t="s">
        <v>2231</v>
      </c>
      <c r="H804" s="57" t="s">
        <v>1273</v>
      </c>
      <c r="I804" s="57" t="s">
        <v>2232</v>
      </c>
      <c r="J804" s="57" t="s">
        <v>383</v>
      </c>
      <c r="K804" s="57" t="s">
        <v>591</v>
      </c>
      <c r="L804" s="31" t="s">
        <v>644</v>
      </c>
      <c r="M804" s="9">
        <v>20</v>
      </c>
      <c r="N804" s="46">
        <v>286</v>
      </c>
      <c r="O804" s="49">
        <f t="shared" si="17"/>
        <v>5720</v>
      </c>
      <c r="P804" s="5" t="s">
        <v>391</v>
      </c>
      <c r="Q804" s="15" t="s">
        <v>1024</v>
      </c>
      <c r="R804" s="11" t="s">
        <v>2023</v>
      </c>
      <c r="S804" s="22">
        <v>100</v>
      </c>
    </row>
    <row r="805" spans="1:19" ht="51">
      <c r="A805" s="5">
        <v>790</v>
      </c>
      <c r="B805" s="15" t="s">
        <v>710</v>
      </c>
      <c r="C805" s="30" t="s">
        <v>711</v>
      </c>
      <c r="D805" s="11" t="s">
        <v>481</v>
      </c>
      <c r="E805" s="57" t="s">
        <v>2230</v>
      </c>
      <c r="F805" s="57" t="s">
        <v>2230</v>
      </c>
      <c r="G805" s="57" t="s">
        <v>2231</v>
      </c>
      <c r="H805" s="57" t="s">
        <v>1273</v>
      </c>
      <c r="I805" s="57" t="s">
        <v>2232</v>
      </c>
      <c r="J805" s="57" t="s">
        <v>383</v>
      </c>
      <c r="K805" s="57" t="s">
        <v>591</v>
      </c>
      <c r="L805" s="31" t="s">
        <v>644</v>
      </c>
      <c r="M805" s="22">
        <v>44</v>
      </c>
      <c r="N805" s="46">
        <v>207</v>
      </c>
      <c r="O805" s="49">
        <f t="shared" si="17"/>
        <v>9108</v>
      </c>
      <c r="P805" s="5" t="s">
        <v>393</v>
      </c>
      <c r="Q805" s="5" t="s">
        <v>766</v>
      </c>
      <c r="R805" s="11" t="s">
        <v>633</v>
      </c>
      <c r="S805" s="22">
        <v>0</v>
      </c>
    </row>
    <row r="806" spans="1:19" ht="51" outlineLevel="1">
      <c r="A806" s="5">
        <v>791</v>
      </c>
      <c r="B806" s="15" t="s">
        <v>710</v>
      </c>
      <c r="C806" s="30" t="s">
        <v>711</v>
      </c>
      <c r="D806" s="11" t="s">
        <v>481</v>
      </c>
      <c r="E806" s="57" t="s">
        <v>2230</v>
      </c>
      <c r="F806" s="57" t="s">
        <v>2230</v>
      </c>
      <c r="G806" s="57" t="s">
        <v>2231</v>
      </c>
      <c r="H806" s="57" t="s">
        <v>1273</v>
      </c>
      <c r="I806" s="57" t="s">
        <v>2232</v>
      </c>
      <c r="J806" s="57" t="s">
        <v>383</v>
      </c>
      <c r="K806" s="57" t="s">
        <v>591</v>
      </c>
      <c r="L806" s="31" t="s">
        <v>644</v>
      </c>
      <c r="M806" s="9">
        <v>100</v>
      </c>
      <c r="N806" s="46">
        <v>262</v>
      </c>
      <c r="O806" s="49">
        <f t="shared" si="17"/>
        <v>26200</v>
      </c>
      <c r="P806" s="5" t="s">
        <v>501</v>
      </c>
      <c r="Q806" s="5" t="s">
        <v>766</v>
      </c>
      <c r="R806" s="11">
        <v>311000000</v>
      </c>
      <c r="S806" s="22">
        <v>30</v>
      </c>
    </row>
    <row r="807" spans="1:19" ht="51" outlineLevel="1">
      <c r="A807" s="5">
        <v>792</v>
      </c>
      <c r="B807" s="15" t="s">
        <v>710</v>
      </c>
      <c r="C807" s="30" t="s">
        <v>711</v>
      </c>
      <c r="D807" s="11" t="s">
        <v>481</v>
      </c>
      <c r="E807" s="57" t="s">
        <v>2230</v>
      </c>
      <c r="F807" s="57" t="s">
        <v>2230</v>
      </c>
      <c r="G807" s="57" t="s">
        <v>2231</v>
      </c>
      <c r="H807" s="57" t="s">
        <v>1273</v>
      </c>
      <c r="I807" s="57" t="s">
        <v>2232</v>
      </c>
      <c r="J807" s="57" t="s">
        <v>383</v>
      </c>
      <c r="K807" s="57" t="s">
        <v>591</v>
      </c>
      <c r="L807" s="31" t="s">
        <v>644</v>
      </c>
      <c r="M807" s="9">
        <v>10</v>
      </c>
      <c r="N807" s="46">
        <v>371</v>
      </c>
      <c r="O807" s="49">
        <f t="shared" si="17"/>
        <v>3710</v>
      </c>
      <c r="P807" s="5" t="s">
        <v>393</v>
      </c>
      <c r="Q807" s="5" t="s">
        <v>766</v>
      </c>
      <c r="R807" s="11" t="s">
        <v>2024</v>
      </c>
      <c r="S807" s="5">
        <v>100</v>
      </c>
    </row>
    <row r="808" spans="1:19" ht="51" outlineLevel="1">
      <c r="A808" s="5">
        <v>793</v>
      </c>
      <c r="B808" s="15" t="s">
        <v>710</v>
      </c>
      <c r="C808" s="30" t="s">
        <v>711</v>
      </c>
      <c r="D808" s="11" t="s">
        <v>481</v>
      </c>
      <c r="E808" s="57" t="s">
        <v>2230</v>
      </c>
      <c r="F808" s="57" t="s">
        <v>2230</v>
      </c>
      <c r="G808" s="57" t="s">
        <v>2231</v>
      </c>
      <c r="H808" s="57" t="s">
        <v>1273</v>
      </c>
      <c r="I808" s="57" t="s">
        <v>2232</v>
      </c>
      <c r="J808" s="57" t="s">
        <v>383</v>
      </c>
      <c r="K808" s="57" t="s">
        <v>591</v>
      </c>
      <c r="L808" s="31" t="s">
        <v>644</v>
      </c>
      <c r="M808" s="9">
        <v>20</v>
      </c>
      <c r="N808" s="46">
        <v>165</v>
      </c>
      <c r="O808" s="49">
        <f t="shared" si="17"/>
        <v>3300</v>
      </c>
      <c r="P808" s="5" t="s">
        <v>393</v>
      </c>
      <c r="Q808" s="5" t="s">
        <v>766</v>
      </c>
      <c r="R808" s="11">
        <v>351000000</v>
      </c>
      <c r="S808" s="22">
        <v>0</v>
      </c>
    </row>
    <row r="809" spans="1:19" ht="51" outlineLevel="1">
      <c r="A809" s="5">
        <v>794</v>
      </c>
      <c r="B809" s="15" t="s">
        <v>710</v>
      </c>
      <c r="C809" s="30" t="s">
        <v>711</v>
      </c>
      <c r="D809" s="11" t="s">
        <v>481</v>
      </c>
      <c r="E809" s="57" t="s">
        <v>2230</v>
      </c>
      <c r="F809" s="57" t="s">
        <v>2230</v>
      </c>
      <c r="G809" s="57" t="s">
        <v>2231</v>
      </c>
      <c r="H809" s="57" t="s">
        <v>1273</v>
      </c>
      <c r="I809" s="57" t="s">
        <v>2232</v>
      </c>
      <c r="J809" s="57" t="s">
        <v>383</v>
      </c>
      <c r="K809" s="57" t="s">
        <v>591</v>
      </c>
      <c r="L809" s="31" t="s">
        <v>644</v>
      </c>
      <c r="M809" s="9">
        <v>64</v>
      </c>
      <c r="N809" s="46">
        <v>102</v>
      </c>
      <c r="O809" s="49">
        <f t="shared" si="17"/>
        <v>6528</v>
      </c>
      <c r="P809" s="5" t="s">
        <v>391</v>
      </c>
      <c r="Q809" s="5" t="s">
        <v>766</v>
      </c>
      <c r="R809" s="11" t="s">
        <v>925</v>
      </c>
      <c r="S809" s="22">
        <v>0</v>
      </c>
    </row>
    <row r="810" spans="1:19" ht="51" outlineLevel="1">
      <c r="A810" s="5">
        <v>795</v>
      </c>
      <c r="B810" s="15" t="s">
        <v>710</v>
      </c>
      <c r="C810" s="30" t="s">
        <v>711</v>
      </c>
      <c r="D810" s="11" t="s">
        <v>481</v>
      </c>
      <c r="E810" s="57" t="s">
        <v>2230</v>
      </c>
      <c r="F810" s="57" t="s">
        <v>2230</v>
      </c>
      <c r="G810" s="57" t="s">
        <v>2231</v>
      </c>
      <c r="H810" s="57" t="s">
        <v>1273</v>
      </c>
      <c r="I810" s="57" t="s">
        <v>2232</v>
      </c>
      <c r="J810" s="57" t="s">
        <v>383</v>
      </c>
      <c r="K810" s="57" t="s">
        <v>591</v>
      </c>
      <c r="L810" s="31" t="s">
        <v>644</v>
      </c>
      <c r="M810" s="9">
        <v>51</v>
      </c>
      <c r="N810" s="46">
        <v>265</v>
      </c>
      <c r="O810" s="49">
        <f t="shared" si="17"/>
        <v>13515</v>
      </c>
      <c r="P810" s="5" t="s">
        <v>393</v>
      </c>
      <c r="Q810" s="5" t="s">
        <v>766</v>
      </c>
      <c r="R810" s="11">
        <v>431000000</v>
      </c>
      <c r="S810" s="22">
        <v>0</v>
      </c>
    </row>
    <row r="811" spans="1:19" ht="51" outlineLevel="1">
      <c r="A811" s="5">
        <v>796</v>
      </c>
      <c r="B811" s="15" t="s">
        <v>710</v>
      </c>
      <c r="C811" s="30" t="s">
        <v>711</v>
      </c>
      <c r="D811" s="11" t="s">
        <v>481</v>
      </c>
      <c r="E811" s="57" t="s">
        <v>2230</v>
      </c>
      <c r="F811" s="57" t="s">
        <v>2230</v>
      </c>
      <c r="G811" s="57" t="s">
        <v>2231</v>
      </c>
      <c r="H811" s="57" t="s">
        <v>1273</v>
      </c>
      <c r="I811" s="57" t="s">
        <v>2232</v>
      </c>
      <c r="J811" s="57" t="s">
        <v>383</v>
      </c>
      <c r="K811" s="57" t="s">
        <v>591</v>
      </c>
      <c r="L811" s="31" t="s">
        <v>644</v>
      </c>
      <c r="M811" s="9">
        <v>38</v>
      </c>
      <c r="N811" s="46">
        <v>127</v>
      </c>
      <c r="O811" s="49">
        <f t="shared" si="17"/>
        <v>4826</v>
      </c>
      <c r="P811" s="5" t="s">
        <v>515</v>
      </c>
      <c r="Q811" s="5" t="s">
        <v>766</v>
      </c>
      <c r="R811" s="11" t="s">
        <v>715</v>
      </c>
      <c r="S811" s="22">
        <v>100</v>
      </c>
    </row>
    <row r="812" spans="1:19" s="32" customFormat="1" ht="38.25">
      <c r="A812" s="5">
        <v>797</v>
      </c>
      <c r="B812" s="15" t="s">
        <v>710</v>
      </c>
      <c r="C812" s="30" t="s">
        <v>711</v>
      </c>
      <c r="D812" s="11" t="s">
        <v>481</v>
      </c>
      <c r="E812" s="57" t="s">
        <v>2230</v>
      </c>
      <c r="F812" s="57" t="s">
        <v>2230</v>
      </c>
      <c r="G812" s="57" t="s">
        <v>2231</v>
      </c>
      <c r="H812" s="57" t="s">
        <v>1273</v>
      </c>
      <c r="I812" s="57" t="s">
        <v>2232</v>
      </c>
      <c r="J812" s="57" t="s">
        <v>383</v>
      </c>
      <c r="K812" s="57" t="s">
        <v>591</v>
      </c>
      <c r="L812" s="31" t="s">
        <v>644</v>
      </c>
      <c r="M812" s="9">
        <v>54</v>
      </c>
      <c r="N812" s="46">
        <v>56</v>
      </c>
      <c r="O812" s="49">
        <f t="shared" si="17"/>
        <v>3024</v>
      </c>
      <c r="P812" s="5" t="s">
        <v>391</v>
      </c>
      <c r="Q812" s="5" t="s">
        <v>515</v>
      </c>
      <c r="R812" s="11">
        <v>551000000</v>
      </c>
      <c r="S812" s="22">
        <v>100</v>
      </c>
    </row>
    <row r="813" spans="1:19" ht="38.25" outlineLevel="1">
      <c r="A813" s="5">
        <v>798</v>
      </c>
      <c r="B813" s="15" t="s">
        <v>710</v>
      </c>
      <c r="C813" s="30" t="s">
        <v>711</v>
      </c>
      <c r="D813" s="11" t="s">
        <v>481</v>
      </c>
      <c r="E813" s="57" t="s">
        <v>2230</v>
      </c>
      <c r="F813" s="57" t="s">
        <v>2230</v>
      </c>
      <c r="G813" s="57" t="s">
        <v>2231</v>
      </c>
      <c r="H813" s="57" t="s">
        <v>1273</v>
      </c>
      <c r="I813" s="57" t="s">
        <v>2232</v>
      </c>
      <c r="J813" s="57" t="s">
        <v>383</v>
      </c>
      <c r="K813" s="57" t="s">
        <v>591</v>
      </c>
      <c r="L813" s="31" t="s">
        <v>644</v>
      </c>
      <c r="M813" s="9">
        <v>20</v>
      </c>
      <c r="N813" s="46">
        <v>96</v>
      </c>
      <c r="O813" s="49">
        <f t="shared" si="17"/>
        <v>1920</v>
      </c>
      <c r="P813" s="5" t="s">
        <v>515</v>
      </c>
      <c r="Q813" s="5" t="s">
        <v>612</v>
      </c>
      <c r="R813" s="11">
        <v>591000000</v>
      </c>
      <c r="S813" s="22">
        <v>0</v>
      </c>
    </row>
    <row r="814" spans="1:19" ht="51" outlineLevel="1">
      <c r="A814" s="5">
        <v>799</v>
      </c>
      <c r="B814" s="15" t="s">
        <v>710</v>
      </c>
      <c r="C814" s="30" t="s">
        <v>711</v>
      </c>
      <c r="D814" s="11" t="s">
        <v>481</v>
      </c>
      <c r="E814" s="57" t="s">
        <v>2230</v>
      </c>
      <c r="F814" s="57" t="s">
        <v>2230</v>
      </c>
      <c r="G814" s="57" t="s">
        <v>2231</v>
      </c>
      <c r="H814" s="57" t="s">
        <v>1273</v>
      </c>
      <c r="I814" s="57" t="s">
        <v>2232</v>
      </c>
      <c r="J814" s="57" t="s">
        <v>383</v>
      </c>
      <c r="K814" s="57" t="s">
        <v>591</v>
      </c>
      <c r="L814" s="31" t="s">
        <v>644</v>
      </c>
      <c r="M814" s="9">
        <v>44</v>
      </c>
      <c r="N814" s="46">
        <f>O814/M814</f>
        <v>0</v>
      </c>
      <c r="O814" s="49">
        <f>3652-3652</f>
        <v>0</v>
      </c>
      <c r="P814" s="31" t="s">
        <v>391</v>
      </c>
      <c r="Q814" s="5" t="s">
        <v>766</v>
      </c>
      <c r="R814" s="11" t="s">
        <v>2029</v>
      </c>
      <c r="S814" s="5">
        <v>0</v>
      </c>
    </row>
    <row r="815" spans="1:19" ht="51" outlineLevel="1">
      <c r="A815" s="5">
        <v>800</v>
      </c>
      <c r="B815" s="15" t="s">
        <v>710</v>
      </c>
      <c r="C815" s="30" t="s">
        <v>711</v>
      </c>
      <c r="D815" s="11" t="s">
        <v>481</v>
      </c>
      <c r="E815" s="57" t="s">
        <v>2230</v>
      </c>
      <c r="F815" s="57" t="s">
        <v>2230</v>
      </c>
      <c r="G815" s="57" t="s">
        <v>2231</v>
      </c>
      <c r="H815" s="57" t="s">
        <v>1273</v>
      </c>
      <c r="I815" s="57" t="s">
        <v>2232</v>
      </c>
      <c r="J815" s="57" t="s">
        <v>383</v>
      </c>
      <c r="K815" s="57" t="s">
        <v>591</v>
      </c>
      <c r="L815" s="31" t="s">
        <v>644</v>
      </c>
      <c r="M815" s="9">
        <f>20+20</f>
        <v>40</v>
      </c>
      <c r="N815" s="46">
        <f>O815/M815</f>
        <v>96</v>
      </c>
      <c r="O815" s="49">
        <f>1920+1920</f>
        <v>3840</v>
      </c>
      <c r="P815" s="5" t="s">
        <v>393</v>
      </c>
      <c r="Q815" s="5" t="s">
        <v>766</v>
      </c>
      <c r="R815" s="11" t="s">
        <v>2022</v>
      </c>
      <c r="S815" s="22">
        <v>0</v>
      </c>
    </row>
    <row r="816" spans="1:19" ht="38.25" outlineLevel="1">
      <c r="A816" s="5">
        <v>801</v>
      </c>
      <c r="B816" s="15" t="s">
        <v>710</v>
      </c>
      <c r="C816" s="30" t="s">
        <v>711</v>
      </c>
      <c r="D816" s="11" t="s">
        <v>481</v>
      </c>
      <c r="E816" s="57" t="s">
        <v>2230</v>
      </c>
      <c r="F816" s="57" t="s">
        <v>2230</v>
      </c>
      <c r="G816" s="57" t="s">
        <v>2231</v>
      </c>
      <c r="H816" s="57" t="s">
        <v>1273</v>
      </c>
      <c r="I816" s="57" t="s">
        <v>2232</v>
      </c>
      <c r="J816" s="57" t="s">
        <v>383</v>
      </c>
      <c r="K816" s="57" t="s">
        <v>591</v>
      </c>
      <c r="L816" s="31" t="s">
        <v>644</v>
      </c>
      <c r="M816" s="9">
        <v>44</v>
      </c>
      <c r="N816" s="46">
        <v>83</v>
      </c>
      <c r="O816" s="49">
        <f t="shared" si="17"/>
        <v>3652</v>
      </c>
      <c r="P816" s="5" t="s">
        <v>391</v>
      </c>
      <c r="Q816" s="5" t="s">
        <v>391</v>
      </c>
      <c r="R816" s="11" t="s">
        <v>2027</v>
      </c>
      <c r="S816" s="22">
        <v>0</v>
      </c>
    </row>
    <row r="817" spans="1:19" ht="25.5" outlineLevel="1">
      <c r="A817" s="5">
        <v>802</v>
      </c>
      <c r="B817" s="29" t="s">
        <v>710</v>
      </c>
      <c r="C817" s="30" t="s">
        <v>711</v>
      </c>
      <c r="D817" s="10" t="s">
        <v>482</v>
      </c>
      <c r="E817" s="57" t="s">
        <v>849</v>
      </c>
      <c r="F817" s="57" t="s">
        <v>384</v>
      </c>
      <c r="G817" s="57" t="s">
        <v>849</v>
      </c>
      <c r="H817" s="57" t="s">
        <v>384</v>
      </c>
      <c r="I817" s="57" t="s">
        <v>849</v>
      </c>
      <c r="J817" s="57" t="s">
        <v>384</v>
      </c>
      <c r="K817" s="57" t="s">
        <v>591</v>
      </c>
      <c r="L817" s="31" t="s">
        <v>644</v>
      </c>
      <c r="M817" s="9">
        <v>2</v>
      </c>
      <c r="N817" s="46">
        <v>554</v>
      </c>
      <c r="O817" s="49">
        <f t="shared" si="17"/>
        <v>1108</v>
      </c>
      <c r="P817" s="5" t="s">
        <v>515</v>
      </c>
      <c r="Q817" s="5" t="s">
        <v>939</v>
      </c>
      <c r="R817" s="11" t="s">
        <v>1021</v>
      </c>
      <c r="S817" s="5">
        <v>100</v>
      </c>
    </row>
    <row r="818" spans="1:19" ht="25.5" outlineLevel="1">
      <c r="A818" s="5">
        <v>803</v>
      </c>
      <c r="B818" s="29" t="s">
        <v>710</v>
      </c>
      <c r="C818" s="30" t="s">
        <v>711</v>
      </c>
      <c r="D818" s="10" t="s">
        <v>482</v>
      </c>
      <c r="E818" s="57" t="s">
        <v>849</v>
      </c>
      <c r="F818" s="57" t="s">
        <v>384</v>
      </c>
      <c r="G818" s="57" t="s">
        <v>849</v>
      </c>
      <c r="H818" s="57" t="s">
        <v>384</v>
      </c>
      <c r="I818" s="57" t="s">
        <v>849</v>
      </c>
      <c r="J818" s="57" t="s">
        <v>384</v>
      </c>
      <c r="K818" s="57" t="s">
        <v>591</v>
      </c>
      <c r="L818" s="31" t="s">
        <v>644</v>
      </c>
      <c r="M818" s="9">
        <v>2</v>
      </c>
      <c r="N818" s="46">
        <v>500</v>
      </c>
      <c r="O818" s="49">
        <f t="shared" si="17"/>
        <v>1000</v>
      </c>
      <c r="P818" s="5" t="s">
        <v>391</v>
      </c>
      <c r="Q818" s="5" t="s">
        <v>515</v>
      </c>
      <c r="R818" s="11" t="s">
        <v>789</v>
      </c>
      <c r="S818" s="5">
        <v>0</v>
      </c>
    </row>
    <row r="819" spans="1:19" ht="51" outlineLevel="1">
      <c r="A819" s="5">
        <v>804</v>
      </c>
      <c r="B819" s="29" t="s">
        <v>710</v>
      </c>
      <c r="C819" s="30" t="s">
        <v>711</v>
      </c>
      <c r="D819" s="10" t="s">
        <v>482</v>
      </c>
      <c r="E819" s="57" t="s">
        <v>849</v>
      </c>
      <c r="F819" s="57" t="s">
        <v>384</v>
      </c>
      <c r="G819" s="57" t="s">
        <v>849</v>
      </c>
      <c r="H819" s="57" t="s">
        <v>384</v>
      </c>
      <c r="I819" s="57" t="s">
        <v>849</v>
      </c>
      <c r="J819" s="57" t="s">
        <v>384</v>
      </c>
      <c r="K819" s="57" t="s">
        <v>591</v>
      </c>
      <c r="L819" s="31" t="s">
        <v>644</v>
      </c>
      <c r="M819" s="9">
        <v>2</v>
      </c>
      <c r="N819" s="46">
        <v>179</v>
      </c>
      <c r="O819" s="49">
        <f t="shared" si="17"/>
        <v>358</v>
      </c>
      <c r="P819" s="5" t="s">
        <v>393</v>
      </c>
      <c r="Q819" s="5" t="s">
        <v>766</v>
      </c>
      <c r="R819" s="11" t="s">
        <v>633</v>
      </c>
      <c r="S819" s="22">
        <v>0</v>
      </c>
    </row>
    <row r="820" spans="1:19" ht="51" outlineLevel="1">
      <c r="A820" s="5">
        <v>805</v>
      </c>
      <c r="B820" s="29" t="s">
        <v>710</v>
      </c>
      <c r="C820" s="30" t="s">
        <v>711</v>
      </c>
      <c r="D820" s="10" t="s">
        <v>482</v>
      </c>
      <c r="E820" s="57" t="s">
        <v>849</v>
      </c>
      <c r="F820" s="57" t="s">
        <v>384</v>
      </c>
      <c r="G820" s="57" t="s">
        <v>849</v>
      </c>
      <c r="H820" s="57" t="s">
        <v>384</v>
      </c>
      <c r="I820" s="57" t="s">
        <v>849</v>
      </c>
      <c r="J820" s="57" t="s">
        <v>384</v>
      </c>
      <c r="K820" s="57" t="s">
        <v>591</v>
      </c>
      <c r="L820" s="31" t="s">
        <v>644</v>
      </c>
      <c r="M820" s="9">
        <v>2</v>
      </c>
      <c r="N820" s="46">
        <v>800</v>
      </c>
      <c r="O820" s="49">
        <f t="shared" si="17"/>
        <v>1600</v>
      </c>
      <c r="P820" s="5" t="s">
        <v>393</v>
      </c>
      <c r="Q820" s="5" t="s">
        <v>766</v>
      </c>
      <c r="R820" s="11" t="s">
        <v>2024</v>
      </c>
      <c r="S820" s="5">
        <v>100</v>
      </c>
    </row>
    <row r="821" spans="1:19" ht="51" outlineLevel="1">
      <c r="A821" s="5">
        <v>806</v>
      </c>
      <c r="B821" s="29" t="s">
        <v>710</v>
      </c>
      <c r="C821" s="30" t="s">
        <v>711</v>
      </c>
      <c r="D821" s="10" t="s">
        <v>482</v>
      </c>
      <c r="E821" s="57" t="s">
        <v>849</v>
      </c>
      <c r="F821" s="57" t="s">
        <v>384</v>
      </c>
      <c r="G821" s="57" t="s">
        <v>849</v>
      </c>
      <c r="H821" s="57" t="s">
        <v>384</v>
      </c>
      <c r="I821" s="57" t="s">
        <v>849</v>
      </c>
      <c r="J821" s="57" t="s">
        <v>384</v>
      </c>
      <c r="K821" s="57" t="s">
        <v>591</v>
      </c>
      <c r="L821" s="31" t="s">
        <v>644</v>
      </c>
      <c r="M821" s="9">
        <v>6</v>
      </c>
      <c r="N821" s="46">
        <v>346</v>
      </c>
      <c r="O821" s="49">
        <f t="shared" si="17"/>
        <v>2076</v>
      </c>
      <c r="P821" s="5" t="s">
        <v>393</v>
      </c>
      <c r="Q821" s="5" t="s">
        <v>766</v>
      </c>
      <c r="R821" s="11">
        <v>351000000</v>
      </c>
      <c r="S821" s="22">
        <v>0</v>
      </c>
    </row>
    <row r="822" spans="1:19" ht="51" outlineLevel="1">
      <c r="A822" s="5">
        <v>807</v>
      </c>
      <c r="B822" s="29" t="s">
        <v>710</v>
      </c>
      <c r="C822" s="30" t="s">
        <v>711</v>
      </c>
      <c r="D822" s="10" t="s">
        <v>482</v>
      </c>
      <c r="E822" s="57" t="s">
        <v>849</v>
      </c>
      <c r="F822" s="57" t="s">
        <v>384</v>
      </c>
      <c r="G822" s="57" t="s">
        <v>849</v>
      </c>
      <c r="H822" s="57" t="s">
        <v>384</v>
      </c>
      <c r="I822" s="57" t="s">
        <v>849</v>
      </c>
      <c r="J822" s="57" t="s">
        <v>384</v>
      </c>
      <c r="K822" s="57" t="s">
        <v>591</v>
      </c>
      <c r="L822" s="31" t="s">
        <v>644</v>
      </c>
      <c r="M822" s="9">
        <v>2</v>
      </c>
      <c r="N822" s="46">
        <v>1589</v>
      </c>
      <c r="O822" s="49">
        <f t="shared" si="17"/>
        <v>3178</v>
      </c>
      <c r="P822" s="5" t="s">
        <v>391</v>
      </c>
      <c r="Q822" s="5" t="s">
        <v>766</v>
      </c>
      <c r="R822" s="11" t="s">
        <v>925</v>
      </c>
      <c r="S822" s="22">
        <v>0</v>
      </c>
    </row>
    <row r="823" spans="1:19" s="13" customFormat="1" ht="51">
      <c r="A823" s="5">
        <v>808</v>
      </c>
      <c r="B823" s="29" t="s">
        <v>710</v>
      </c>
      <c r="C823" s="30" t="s">
        <v>711</v>
      </c>
      <c r="D823" s="10" t="s">
        <v>482</v>
      </c>
      <c r="E823" s="57" t="s">
        <v>849</v>
      </c>
      <c r="F823" s="57" t="s">
        <v>384</v>
      </c>
      <c r="G823" s="57" t="s">
        <v>849</v>
      </c>
      <c r="H823" s="57" t="s">
        <v>384</v>
      </c>
      <c r="I823" s="57" t="s">
        <v>849</v>
      </c>
      <c r="J823" s="57" t="s">
        <v>384</v>
      </c>
      <c r="K823" s="57" t="s">
        <v>591</v>
      </c>
      <c r="L823" s="31" t="s">
        <v>644</v>
      </c>
      <c r="M823" s="9">
        <v>1</v>
      </c>
      <c r="N823" s="46">
        <v>500</v>
      </c>
      <c r="O823" s="49">
        <f t="shared" si="17"/>
        <v>500</v>
      </c>
      <c r="P823" s="5" t="s">
        <v>393</v>
      </c>
      <c r="Q823" s="5" t="s">
        <v>766</v>
      </c>
      <c r="R823" s="11">
        <v>431000000</v>
      </c>
      <c r="S823" s="22">
        <v>0</v>
      </c>
    </row>
    <row r="824" spans="1:19" ht="51" outlineLevel="1">
      <c r="A824" s="5">
        <v>809</v>
      </c>
      <c r="B824" s="29" t="s">
        <v>710</v>
      </c>
      <c r="C824" s="30" t="s">
        <v>711</v>
      </c>
      <c r="D824" s="10" t="s">
        <v>482</v>
      </c>
      <c r="E824" s="57" t="s">
        <v>849</v>
      </c>
      <c r="F824" s="57" t="s">
        <v>384</v>
      </c>
      <c r="G824" s="57" t="s">
        <v>849</v>
      </c>
      <c r="H824" s="57" t="s">
        <v>384</v>
      </c>
      <c r="I824" s="57" t="s">
        <v>849</v>
      </c>
      <c r="J824" s="57" t="s">
        <v>384</v>
      </c>
      <c r="K824" s="57" t="s">
        <v>591</v>
      </c>
      <c r="L824" s="31" t="s">
        <v>644</v>
      </c>
      <c r="M824" s="9">
        <v>3</v>
      </c>
      <c r="N824" s="46">
        <v>1161</v>
      </c>
      <c r="O824" s="49">
        <f t="shared" si="17"/>
        <v>3483</v>
      </c>
      <c r="P824" s="5" t="s">
        <v>515</v>
      </c>
      <c r="Q824" s="5" t="s">
        <v>766</v>
      </c>
      <c r="R824" s="11" t="s">
        <v>715</v>
      </c>
      <c r="S824" s="22">
        <v>100</v>
      </c>
    </row>
    <row r="825" spans="1:19" s="32" customFormat="1" ht="33" customHeight="1">
      <c r="A825" s="5">
        <v>810</v>
      </c>
      <c r="B825" s="29" t="s">
        <v>710</v>
      </c>
      <c r="C825" s="30" t="s">
        <v>711</v>
      </c>
      <c r="D825" s="10" t="s">
        <v>482</v>
      </c>
      <c r="E825" s="57" t="s">
        <v>849</v>
      </c>
      <c r="F825" s="57" t="s">
        <v>384</v>
      </c>
      <c r="G825" s="57" t="s">
        <v>849</v>
      </c>
      <c r="H825" s="57" t="s">
        <v>384</v>
      </c>
      <c r="I825" s="57" t="s">
        <v>849</v>
      </c>
      <c r="J825" s="57" t="s">
        <v>384</v>
      </c>
      <c r="K825" s="57" t="s">
        <v>591</v>
      </c>
      <c r="L825" s="31" t="s">
        <v>644</v>
      </c>
      <c r="M825" s="9">
        <v>2</v>
      </c>
      <c r="N825" s="46">
        <v>1200</v>
      </c>
      <c r="O825" s="49">
        <f t="shared" si="17"/>
        <v>2400</v>
      </c>
      <c r="P825" s="5" t="s">
        <v>391</v>
      </c>
      <c r="Q825" s="5" t="s">
        <v>515</v>
      </c>
      <c r="R825" s="11">
        <v>551000000</v>
      </c>
      <c r="S825" s="22">
        <v>100</v>
      </c>
    </row>
    <row r="826" spans="1:19" ht="25.5" outlineLevel="1">
      <c r="A826" s="5">
        <v>811</v>
      </c>
      <c r="B826" s="29" t="s">
        <v>710</v>
      </c>
      <c r="C826" s="30" t="s">
        <v>711</v>
      </c>
      <c r="D826" s="10" t="s">
        <v>482</v>
      </c>
      <c r="E826" s="57" t="s">
        <v>849</v>
      </c>
      <c r="F826" s="57" t="s">
        <v>384</v>
      </c>
      <c r="G826" s="57" t="s">
        <v>849</v>
      </c>
      <c r="H826" s="57" t="s">
        <v>384</v>
      </c>
      <c r="I826" s="57" t="s">
        <v>849</v>
      </c>
      <c r="J826" s="57" t="s">
        <v>384</v>
      </c>
      <c r="K826" s="57" t="s">
        <v>591</v>
      </c>
      <c r="L826" s="31" t="s">
        <v>644</v>
      </c>
      <c r="M826" s="9">
        <v>3</v>
      </c>
      <c r="N826" s="46">
        <v>611</v>
      </c>
      <c r="O826" s="49">
        <f t="shared" si="17"/>
        <v>1833</v>
      </c>
      <c r="P826" s="5" t="s">
        <v>515</v>
      </c>
      <c r="Q826" s="5" t="s">
        <v>612</v>
      </c>
      <c r="R826" s="11">
        <v>591000000</v>
      </c>
      <c r="S826" s="22">
        <v>0</v>
      </c>
    </row>
    <row r="827" spans="1:19" ht="51" outlineLevel="1">
      <c r="A827" s="5">
        <v>812</v>
      </c>
      <c r="B827" s="29" t="s">
        <v>710</v>
      </c>
      <c r="C827" s="30" t="s">
        <v>711</v>
      </c>
      <c r="D827" s="10" t="s">
        <v>482</v>
      </c>
      <c r="E827" s="57" t="s">
        <v>849</v>
      </c>
      <c r="F827" s="57" t="s">
        <v>384</v>
      </c>
      <c r="G827" s="57" t="s">
        <v>849</v>
      </c>
      <c r="H827" s="57" t="s">
        <v>384</v>
      </c>
      <c r="I827" s="57" t="s">
        <v>849</v>
      </c>
      <c r="J827" s="57" t="s">
        <v>384</v>
      </c>
      <c r="K827" s="57" t="s">
        <v>591</v>
      </c>
      <c r="L827" s="31" t="s">
        <v>644</v>
      </c>
      <c r="M827" s="9">
        <v>2</v>
      </c>
      <c r="N827" s="46">
        <f>O827/M827</f>
        <v>0</v>
      </c>
      <c r="O827" s="49">
        <f>692-692</f>
        <v>0</v>
      </c>
      <c r="P827" s="31" t="s">
        <v>391</v>
      </c>
      <c r="Q827" s="5" t="s">
        <v>766</v>
      </c>
      <c r="R827" s="11" t="s">
        <v>2029</v>
      </c>
      <c r="S827" s="5">
        <v>0</v>
      </c>
    </row>
    <row r="828" spans="1:19" ht="51" outlineLevel="1">
      <c r="A828" s="5">
        <v>813</v>
      </c>
      <c r="B828" s="29" t="s">
        <v>710</v>
      </c>
      <c r="C828" s="30" t="s">
        <v>711</v>
      </c>
      <c r="D828" s="10" t="s">
        <v>773</v>
      </c>
      <c r="E828" s="57" t="s">
        <v>1010</v>
      </c>
      <c r="F828" s="57" t="s">
        <v>693</v>
      </c>
      <c r="G828" s="57" t="s">
        <v>2181</v>
      </c>
      <c r="H828" s="57" t="s">
        <v>774</v>
      </c>
      <c r="I828" s="57" t="s">
        <v>2182</v>
      </c>
      <c r="J828" s="57" t="s">
        <v>385</v>
      </c>
      <c r="K828" s="57" t="s">
        <v>591</v>
      </c>
      <c r="L828" s="31" t="s">
        <v>644</v>
      </c>
      <c r="M828" s="9">
        <v>1</v>
      </c>
      <c r="N828" s="46">
        <v>32411</v>
      </c>
      <c r="O828" s="49">
        <f t="shared" si="17"/>
        <v>32411</v>
      </c>
      <c r="P828" s="5" t="s">
        <v>515</v>
      </c>
      <c r="Q828" s="5" t="s">
        <v>766</v>
      </c>
      <c r="R828" s="11" t="s">
        <v>2030</v>
      </c>
      <c r="S828" s="22">
        <v>100</v>
      </c>
    </row>
    <row r="829" spans="1:19" ht="25.5" outlineLevel="1">
      <c r="A829" s="5">
        <v>814</v>
      </c>
      <c r="B829" s="29" t="s">
        <v>710</v>
      </c>
      <c r="C829" s="30" t="s">
        <v>711</v>
      </c>
      <c r="D829" s="10" t="s">
        <v>773</v>
      </c>
      <c r="E829" s="57" t="s">
        <v>1010</v>
      </c>
      <c r="F829" s="57" t="s">
        <v>693</v>
      </c>
      <c r="G829" s="57" t="s">
        <v>2181</v>
      </c>
      <c r="H829" s="57" t="s">
        <v>774</v>
      </c>
      <c r="I829" s="57" t="s">
        <v>2182</v>
      </c>
      <c r="J829" s="57" t="s">
        <v>385</v>
      </c>
      <c r="K829" s="57" t="s">
        <v>591</v>
      </c>
      <c r="L829" s="31" t="s">
        <v>644</v>
      </c>
      <c r="M829" s="9">
        <v>2</v>
      </c>
      <c r="N829" s="46">
        <f>O829/M829</f>
        <v>0</v>
      </c>
      <c r="O829" s="49">
        <f>20196-20196</f>
        <v>0</v>
      </c>
      <c r="P829" s="5" t="s">
        <v>515</v>
      </c>
      <c r="Q829" s="5" t="s">
        <v>939</v>
      </c>
      <c r="R829" s="11" t="s">
        <v>1021</v>
      </c>
      <c r="S829" s="5">
        <v>100</v>
      </c>
    </row>
    <row r="830" spans="1:19" s="13" customFormat="1" ht="25.5">
      <c r="A830" s="5">
        <v>815</v>
      </c>
      <c r="B830" s="29" t="s">
        <v>710</v>
      </c>
      <c r="C830" s="30" t="s">
        <v>711</v>
      </c>
      <c r="D830" s="10" t="s">
        <v>773</v>
      </c>
      <c r="E830" s="57" t="s">
        <v>1010</v>
      </c>
      <c r="F830" s="57" t="s">
        <v>693</v>
      </c>
      <c r="G830" s="57" t="s">
        <v>2181</v>
      </c>
      <c r="H830" s="57" t="s">
        <v>774</v>
      </c>
      <c r="I830" s="57" t="s">
        <v>2182</v>
      </c>
      <c r="J830" s="57" t="s">
        <v>385</v>
      </c>
      <c r="K830" s="57" t="s">
        <v>591</v>
      </c>
      <c r="L830" s="31" t="s">
        <v>644</v>
      </c>
      <c r="M830" s="9">
        <v>1</v>
      </c>
      <c r="N830" s="46">
        <v>15179</v>
      </c>
      <c r="O830" s="49">
        <f t="shared" si="17"/>
        <v>15179</v>
      </c>
      <c r="P830" s="5" t="s">
        <v>391</v>
      </c>
      <c r="Q830" s="15" t="s">
        <v>1024</v>
      </c>
      <c r="R830" s="11" t="s">
        <v>2023</v>
      </c>
      <c r="S830" s="22">
        <v>100</v>
      </c>
    </row>
    <row r="831" spans="1:19" ht="51" outlineLevel="1">
      <c r="A831" s="5">
        <v>816</v>
      </c>
      <c r="B831" s="29" t="s">
        <v>710</v>
      </c>
      <c r="C831" s="30" t="s">
        <v>711</v>
      </c>
      <c r="D831" s="10" t="s">
        <v>773</v>
      </c>
      <c r="E831" s="57" t="s">
        <v>1010</v>
      </c>
      <c r="F831" s="57" t="s">
        <v>693</v>
      </c>
      <c r="G831" s="57" t="s">
        <v>2181</v>
      </c>
      <c r="H831" s="57" t="s">
        <v>774</v>
      </c>
      <c r="I831" s="57" t="s">
        <v>2182</v>
      </c>
      <c r="J831" s="57" t="s">
        <v>385</v>
      </c>
      <c r="K831" s="57" t="s">
        <v>591</v>
      </c>
      <c r="L831" s="31" t="s">
        <v>644</v>
      </c>
      <c r="M831" s="9">
        <v>2</v>
      </c>
      <c r="N831" s="46">
        <v>19185</v>
      </c>
      <c r="O831" s="49">
        <f t="shared" si="17"/>
        <v>38370</v>
      </c>
      <c r="P831" s="5" t="s">
        <v>393</v>
      </c>
      <c r="Q831" s="5" t="s">
        <v>766</v>
      </c>
      <c r="R831" s="11" t="s">
        <v>633</v>
      </c>
      <c r="S831" s="22">
        <v>0</v>
      </c>
    </row>
    <row r="832" spans="1:19" ht="51" outlineLevel="1">
      <c r="A832" s="5">
        <v>817</v>
      </c>
      <c r="B832" s="29" t="s">
        <v>710</v>
      </c>
      <c r="C832" s="30" t="s">
        <v>711</v>
      </c>
      <c r="D832" s="10" t="s">
        <v>773</v>
      </c>
      <c r="E832" s="57" t="s">
        <v>1010</v>
      </c>
      <c r="F832" s="57" t="s">
        <v>693</v>
      </c>
      <c r="G832" s="57" t="s">
        <v>2181</v>
      </c>
      <c r="H832" s="57" t="s">
        <v>774</v>
      </c>
      <c r="I832" s="57" t="s">
        <v>2182</v>
      </c>
      <c r="J832" s="57" t="s">
        <v>385</v>
      </c>
      <c r="K832" s="57" t="s">
        <v>591</v>
      </c>
      <c r="L832" s="31" t="s">
        <v>644</v>
      </c>
      <c r="M832" s="9">
        <v>2</v>
      </c>
      <c r="N832" s="46">
        <f>O832/M832</f>
        <v>16500</v>
      </c>
      <c r="O832" s="49">
        <f>22114+10886</f>
        <v>33000</v>
      </c>
      <c r="P832" s="5" t="s">
        <v>515</v>
      </c>
      <c r="Q832" s="5" t="s">
        <v>766</v>
      </c>
      <c r="R832" s="11" t="s">
        <v>2024</v>
      </c>
      <c r="S832" s="5">
        <v>100</v>
      </c>
    </row>
    <row r="833" spans="1:19" ht="51" outlineLevel="1">
      <c r="A833" s="5">
        <v>818</v>
      </c>
      <c r="B833" s="29" t="s">
        <v>710</v>
      </c>
      <c r="C833" s="30" t="s">
        <v>711</v>
      </c>
      <c r="D833" s="10" t="s">
        <v>773</v>
      </c>
      <c r="E833" s="57" t="s">
        <v>1010</v>
      </c>
      <c r="F833" s="57" t="s">
        <v>693</v>
      </c>
      <c r="G833" s="57" t="s">
        <v>2181</v>
      </c>
      <c r="H833" s="57" t="s">
        <v>774</v>
      </c>
      <c r="I833" s="57" t="s">
        <v>2182</v>
      </c>
      <c r="J833" s="57" t="s">
        <v>385</v>
      </c>
      <c r="K833" s="57" t="s">
        <v>591</v>
      </c>
      <c r="L833" s="31" t="s">
        <v>644</v>
      </c>
      <c r="M833" s="9">
        <v>2</v>
      </c>
      <c r="N833" s="46">
        <v>11044</v>
      </c>
      <c r="O833" s="49">
        <f t="shared" si="17"/>
        <v>22088</v>
      </c>
      <c r="P833" s="5" t="s">
        <v>393</v>
      </c>
      <c r="Q833" s="5" t="s">
        <v>766</v>
      </c>
      <c r="R833" s="11">
        <v>351000000</v>
      </c>
      <c r="S833" s="22">
        <v>0</v>
      </c>
    </row>
    <row r="834" spans="1:19" ht="51" outlineLevel="1">
      <c r="A834" s="5">
        <v>819</v>
      </c>
      <c r="B834" s="29" t="s">
        <v>710</v>
      </c>
      <c r="C834" s="30" t="s">
        <v>711</v>
      </c>
      <c r="D834" s="10" t="s">
        <v>773</v>
      </c>
      <c r="E834" s="57" t="s">
        <v>1010</v>
      </c>
      <c r="F834" s="57" t="s">
        <v>693</v>
      </c>
      <c r="G834" s="57" t="s">
        <v>2181</v>
      </c>
      <c r="H834" s="57" t="s">
        <v>774</v>
      </c>
      <c r="I834" s="57" t="s">
        <v>2182</v>
      </c>
      <c r="J834" s="57" t="s">
        <v>385</v>
      </c>
      <c r="K834" s="57" t="s">
        <v>591</v>
      </c>
      <c r="L834" s="31" t="s">
        <v>644</v>
      </c>
      <c r="M834" s="9">
        <v>2</v>
      </c>
      <c r="N834" s="46">
        <v>15179</v>
      </c>
      <c r="O834" s="49">
        <f t="shared" si="17"/>
        <v>30358</v>
      </c>
      <c r="P834" s="5" t="s">
        <v>515</v>
      </c>
      <c r="Q834" s="5" t="s">
        <v>766</v>
      </c>
      <c r="R834" s="11" t="s">
        <v>715</v>
      </c>
      <c r="S834" s="22">
        <v>100</v>
      </c>
    </row>
    <row r="835" spans="1:19" s="32" customFormat="1" ht="35.25" customHeight="1">
      <c r="A835" s="5">
        <v>820</v>
      </c>
      <c r="B835" s="29" t="s">
        <v>710</v>
      </c>
      <c r="C835" s="30" t="s">
        <v>711</v>
      </c>
      <c r="D835" s="10" t="s">
        <v>773</v>
      </c>
      <c r="E835" s="57" t="s">
        <v>1010</v>
      </c>
      <c r="F835" s="57" t="s">
        <v>693</v>
      </c>
      <c r="G835" s="57" t="s">
        <v>2181</v>
      </c>
      <c r="H835" s="57" t="s">
        <v>774</v>
      </c>
      <c r="I835" s="57" t="s">
        <v>2182</v>
      </c>
      <c r="J835" s="57" t="s">
        <v>385</v>
      </c>
      <c r="K835" s="57" t="s">
        <v>591</v>
      </c>
      <c r="L835" s="31" t="s">
        <v>644</v>
      </c>
      <c r="M835" s="9">
        <v>2</v>
      </c>
      <c r="N835" s="46">
        <v>23719</v>
      </c>
      <c r="O835" s="49">
        <f t="shared" si="17"/>
        <v>47438</v>
      </c>
      <c r="P835" s="5" t="s">
        <v>391</v>
      </c>
      <c r="Q835" s="5" t="s">
        <v>515</v>
      </c>
      <c r="R835" s="11">
        <v>551000000</v>
      </c>
      <c r="S835" s="22">
        <v>100</v>
      </c>
    </row>
    <row r="836" spans="1:19" ht="25.5" outlineLevel="1">
      <c r="A836" s="5">
        <v>821</v>
      </c>
      <c r="B836" s="29" t="s">
        <v>710</v>
      </c>
      <c r="C836" s="30" t="s">
        <v>711</v>
      </c>
      <c r="D836" s="10" t="s">
        <v>773</v>
      </c>
      <c r="E836" s="57" t="s">
        <v>1010</v>
      </c>
      <c r="F836" s="57" t="s">
        <v>693</v>
      </c>
      <c r="G836" s="57" t="s">
        <v>2181</v>
      </c>
      <c r="H836" s="57" t="s">
        <v>774</v>
      </c>
      <c r="I836" s="57" t="s">
        <v>2182</v>
      </c>
      <c r="J836" s="57" t="s">
        <v>385</v>
      </c>
      <c r="K836" s="57" t="s">
        <v>591</v>
      </c>
      <c r="L836" s="31" t="s">
        <v>644</v>
      </c>
      <c r="M836" s="22">
        <v>1</v>
      </c>
      <c r="N836" s="46">
        <v>26384</v>
      </c>
      <c r="O836" s="49">
        <f t="shared" si="17"/>
        <v>26384</v>
      </c>
      <c r="P836" s="5" t="s">
        <v>515</v>
      </c>
      <c r="Q836" s="5" t="s">
        <v>612</v>
      </c>
      <c r="R836" s="11">
        <v>591000000</v>
      </c>
      <c r="S836" s="22">
        <v>0</v>
      </c>
    </row>
    <row r="837" spans="1:19" ht="51" outlineLevel="1">
      <c r="A837" s="5">
        <v>822</v>
      </c>
      <c r="B837" s="29" t="s">
        <v>710</v>
      </c>
      <c r="C837" s="30" t="s">
        <v>711</v>
      </c>
      <c r="D837" s="10" t="s">
        <v>773</v>
      </c>
      <c r="E837" s="57" t="s">
        <v>1010</v>
      </c>
      <c r="F837" s="57" t="s">
        <v>693</v>
      </c>
      <c r="G837" s="57" t="s">
        <v>2181</v>
      </c>
      <c r="H837" s="57" t="s">
        <v>774</v>
      </c>
      <c r="I837" s="57" t="s">
        <v>2182</v>
      </c>
      <c r="J837" s="57" t="s">
        <v>385</v>
      </c>
      <c r="K837" s="57" t="s">
        <v>591</v>
      </c>
      <c r="L837" s="31" t="s">
        <v>644</v>
      </c>
      <c r="M837" s="22">
        <v>2</v>
      </c>
      <c r="N837" s="46">
        <f>O837/M837</f>
        <v>0</v>
      </c>
      <c r="O837" s="49">
        <f>54366-54366</f>
        <v>0</v>
      </c>
      <c r="P837" s="31" t="s">
        <v>391</v>
      </c>
      <c r="Q837" s="5" t="s">
        <v>766</v>
      </c>
      <c r="R837" s="11" t="s">
        <v>2029</v>
      </c>
      <c r="S837" s="5">
        <v>100</v>
      </c>
    </row>
    <row r="838" spans="1:19" ht="51" outlineLevel="1">
      <c r="A838" s="5">
        <v>823</v>
      </c>
      <c r="B838" s="29" t="s">
        <v>710</v>
      </c>
      <c r="C838" s="30" t="s">
        <v>711</v>
      </c>
      <c r="D838" s="11" t="s">
        <v>911</v>
      </c>
      <c r="E838" s="57" t="s">
        <v>423</v>
      </c>
      <c r="F838" s="57" t="s">
        <v>427</v>
      </c>
      <c r="G838" s="57" t="s">
        <v>2240</v>
      </c>
      <c r="H838" s="57" t="s">
        <v>912</v>
      </c>
      <c r="I838" s="57" t="s">
        <v>2241</v>
      </c>
      <c r="J838" s="57" t="s">
        <v>386</v>
      </c>
      <c r="K838" s="57" t="s">
        <v>591</v>
      </c>
      <c r="L838" s="11" t="s">
        <v>909</v>
      </c>
      <c r="M838" s="22">
        <v>60</v>
      </c>
      <c r="N838" s="46">
        <v>1591</v>
      </c>
      <c r="O838" s="49">
        <f t="shared" si="17"/>
        <v>95460</v>
      </c>
      <c r="P838" s="5" t="s">
        <v>515</v>
      </c>
      <c r="Q838" s="5" t="s">
        <v>766</v>
      </c>
      <c r="R838" s="11" t="s">
        <v>2030</v>
      </c>
      <c r="S838" s="22">
        <v>100</v>
      </c>
    </row>
    <row r="839" spans="1:19" ht="25.5" outlineLevel="1">
      <c r="A839" s="5">
        <v>824</v>
      </c>
      <c r="B839" s="29" t="s">
        <v>710</v>
      </c>
      <c r="C839" s="30" t="s">
        <v>711</v>
      </c>
      <c r="D839" s="11" t="s">
        <v>911</v>
      </c>
      <c r="E839" s="57" t="s">
        <v>423</v>
      </c>
      <c r="F839" s="57" t="s">
        <v>427</v>
      </c>
      <c r="G839" s="57" t="s">
        <v>2240</v>
      </c>
      <c r="H839" s="57" t="s">
        <v>912</v>
      </c>
      <c r="I839" s="57" t="s">
        <v>2241</v>
      </c>
      <c r="J839" s="57" t="s">
        <v>386</v>
      </c>
      <c r="K839" s="57" t="s">
        <v>591</v>
      </c>
      <c r="L839" s="11" t="s">
        <v>909</v>
      </c>
      <c r="M839" s="22">
        <v>15</v>
      </c>
      <c r="N839" s="46">
        <v>2286</v>
      </c>
      <c r="O839" s="49">
        <f t="shared" si="17"/>
        <v>34290</v>
      </c>
      <c r="P839" s="5" t="s">
        <v>515</v>
      </c>
      <c r="Q839" s="5" t="s">
        <v>939</v>
      </c>
      <c r="R839" s="11" t="s">
        <v>1021</v>
      </c>
      <c r="S839" s="5">
        <v>100</v>
      </c>
    </row>
    <row r="840" spans="1:19" ht="25.5" outlineLevel="1">
      <c r="A840" s="5">
        <v>825</v>
      </c>
      <c r="B840" s="15" t="s">
        <v>710</v>
      </c>
      <c r="C840" s="30" t="s">
        <v>711</v>
      </c>
      <c r="D840" s="11" t="s">
        <v>911</v>
      </c>
      <c r="E840" s="57" t="s">
        <v>423</v>
      </c>
      <c r="F840" s="57" t="s">
        <v>427</v>
      </c>
      <c r="G840" s="57" t="s">
        <v>2240</v>
      </c>
      <c r="H840" s="57" t="s">
        <v>912</v>
      </c>
      <c r="I840" s="57" t="s">
        <v>2241</v>
      </c>
      <c r="J840" s="57" t="s">
        <v>386</v>
      </c>
      <c r="K840" s="57" t="s">
        <v>591</v>
      </c>
      <c r="L840" s="11" t="s">
        <v>909</v>
      </c>
      <c r="M840" s="22">
        <v>20</v>
      </c>
      <c r="N840" s="46">
        <v>2063</v>
      </c>
      <c r="O840" s="49">
        <f t="shared" si="17"/>
        <v>41260</v>
      </c>
      <c r="P840" s="5" t="s">
        <v>391</v>
      </c>
      <c r="Q840" s="5" t="s">
        <v>391</v>
      </c>
      <c r="R840" s="11" t="s">
        <v>2027</v>
      </c>
      <c r="S840" s="22">
        <v>0</v>
      </c>
    </row>
    <row r="841" spans="1:19" ht="25.5">
      <c r="A841" s="5">
        <v>826</v>
      </c>
      <c r="B841" s="29" t="s">
        <v>710</v>
      </c>
      <c r="C841" s="30" t="s">
        <v>711</v>
      </c>
      <c r="D841" s="11" t="s">
        <v>911</v>
      </c>
      <c r="E841" s="57" t="s">
        <v>423</v>
      </c>
      <c r="F841" s="57" t="s">
        <v>427</v>
      </c>
      <c r="G841" s="57" t="s">
        <v>2240</v>
      </c>
      <c r="H841" s="57" t="s">
        <v>912</v>
      </c>
      <c r="I841" s="57" t="s">
        <v>2241</v>
      </c>
      <c r="J841" s="57" t="s">
        <v>386</v>
      </c>
      <c r="K841" s="57" t="s">
        <v>591</v>
      </c>
      <c r="L841" s="11" t="s">
        <v>909</v>
      </c>
      <c r="M841" s="22">
        <v>16</v>
      </c>
      <c r="N841" s="46">
        <v>1105</v>
      </c>
      <c r="O841" s="49">
        <f t="shared" si="17"/>
        <v>17680</v>
      </c>
      <c r="P841" s="5" t="s">
        <v>393</v>
      </c>
      <c r="Q841" s="5" t="s">
        <v>1025</v>
      </c>
      <c r="R841" s="11" t="s">
        <v>2023</v>
      </c>
      <c r="S841" s="22">
        <v>0</v>
      </c>
    </row>
    <row r="842" spans="1:19" ht="51" outlineLevel="1">
      <c r="A842" s="5">
        <v>827</v>
      </c>
      <c r="B842" s="29" t="s">
        <v>710</v>
      </c>
      <c r="C842" s="30" t="s">
        <v>711</v>
      </c>
      <c r="D842" s="11" t="s">
        <v>911</v>
      </c>
      <c r="E842" s="57" t="s">
        <v>423</v>
      </c>
      <c r="F842" s="57" t="s">
        <v>427</v>
      </c>
      <c r="G842" s="57" t="s">
        <v>2240</v>
      </c>
      <c r="H842" s="57" t="s">
        <v>912</v>
      </c>
      <c r="I842" s="57" t="s">
        <v>2241</v>
      </c>
      <c r="J842" s="57" t="s">
        <v>386</v>
      </c>
      <c r="K842" s="57" t="s">
        <v>591</v>
      </c>
      <c r="L842" s="11" t="s">
        <v>909</v>
      </c>
      <c r="M842" s="22">
        <v>30</v>
      </c>
      <c r="N842" s="46">
        <v>2287</v>
      </c>
      <c r="O842" s="49">
        <f t="shared" si="17"/>
        <v>68610</v>
      </c>
      <c r="P842" s="5" t="s">
        <v>393</v>
      </c>
      <c r="Q842" s="5" t="s">
        <v>766</v>
      </c>
      <c r="R842" s="11" t="s">
        <v>633</v>
      </c>
      <c r="S842" s="22">
        <v>0</v>
      </c>
    </row>
    <row r="843" spans="1:19" ht="51" outlineLevel="1">
      <c r="A843" s="5">
        <v>828</v>
      </c>
      <c r="B843" s="29" t="s">
        <v>710</v>
      </c>
      <c r="C843" s="30" t="s">
        <v>711</v>
      </c>
      <c r="D843" s="11" t="s">
        <v>911</v>
      </c>
      <c r="E843" s="57" t="s">
        <v>423</v>
      </c>
      <c r="F843" s="57" t="s">
        <v>427</v>
      </c>
      <c r="G843" s="57" t="s">
        <v>2240</v>
      </c>
      <c r="H843" s="57" t="s">
        <v>912</v>
      </c>
      <c r="I843" s="57" t="s">
        <v>2241</v>
      </c>
      <c r="J843" s="57" t="s">
        <v>386</v>
      </c>
      <c r="K843" s="57" t="s">
        <v>591</v>
      </c>
      <c r="L843" s="11" t="s">
        <v>909</v>
      </c>
      <c r="M843" s="22">
        <v>30</v>
      </c>
      <c r="N843" s="46">
        <v>1991</v>
      </c>
      <c r="O843" s="49">
        <f t="shared" si="17"/>
        <v>59730</v>
      </c>
      <c r="P843" s="5" t="s">
        <v>501</v>
      </c>
      <c r="Q843" s="5" t="s">
        <v>766</v>
      </c>
      <c r="R843" s="11">
        <v>311000000</v>
      </c>
      <c r="S843" s="22">
        <v>30</v>
      </c>
    </row>
    <row r="844" spans="1:19" ht="51" outlineLevel="1">
      <c r="A844" s="5">
        <v>829</v>
      </c>
      <c r="B844" s="29" t="s">
        <v>710</v>
      </c>
      <c r="C844" s="30" t="s">
        <v>711</v>
      </c>
      <c r="D844" s="11" t="s">
        <v>911</v>
      </c>
      <c r="E844" s="57" t="s">
        <v>423</v>
      </c>
      <c r="F844" s="57" t="s">
        <v>427</v>
      </c>
      <c r="G844" s="57" t="s">
        <v>2240</v>
      </c>
      <c r="H844" s="57" t="s">
        <v>912</v>
      </c>
      <c r="I844" s="57" t="s">
        <v>2241</v>
      </c>
      <c r="J844" s="57" t="s">
        <v>386</v>
      </c>
      <c r="K844" s="57" t="s">
        <v>591</v>
      </c>
      <c r="L844" s="11" t="s">
        <v>909</v>
      </c>
      <c r="M844" s="22">
        <v>20</v>
      </c>
      <c r="N844" s="46">
        <v>1950</v>
      </c>
      <c r="O844" s="49">
        <f t="shared" si="17"/>
        <v>39000</v>
      </c>
      <c r="P844" s="5" t="s">
        <v>393</v>
      </c>
      <c r="Q844" s="5" t="s">
        <v>766</v>
      </c>
      <c r="R844" s="11" t="s">
        <v>2024</v>
      </c>
      <c r="S844" s="5">
        <v>100</v>
      </c>
    </row>
    <row r="845" spans="1:19" ht="51" outlineLevel="1">
      <c r="A845" s="5">
        <v>830</v>
      </c>
      <c r="B845" s="29" t="s">
        <v>710</v>
      </c>
      <c r="C845" s="30" t="s">
        <v>711</v>
      </c>
      <c r="D845" s="11" t="s">
        <v>911</v>
      </c>
      <c r="E845" s="57" t="s">
        <v>423</v>
      </c>
      <c r="F845" s="57" t="s">
        <v>427</v>
      </c>
      <c r="G845" s="57" t="s">
        <v>2240</v>
      </c>
      <c r="H845" s="57" t="s">
        <v>912</v>
      </c>
      <c r="I845" s="57" t="s">
        <v>2241</v>
      </c>
      <c r="J845" s="57" t="s">
        <v>386</v>
      </c>
      <c r="K845" s="57" t="s">
        <v>591</v>
      </c>
      <c r="L845" s="11" t="s">
        <v>909</v>
      </c>
      <c r="M845" s="22">
        <v>20</v>
      </c>
      <c r="N845" s="46">
        <v>1711</v>
      </c>
      <c r="O845" s="49">
        <f t="shared" si="17"/>
        <v>34220</v>
      </c>
      <c r="P845" s="5" t="s">
        <v>393</v>
      </c>
      <c r="Q845" s="5" t="s">
        <v>766</v>
      </c>
      <c r="R845" s="11">
        <v>351000000</v>
      </c>
      <c r="S845" s="22">
        <v>0</v>
      </c>
    </row>
    <row r="846" spans="1:19" ht="51" outlineLevel="1">
      <c r="A846" s="5">
        <v>831</v>
      </c>
      <c r="B846" s="29" t="s">
        <v>710</v>
      </c>
      <c r="C846" s="30" t="s">
        <v>711</v>
      </c>
      <c r="D846" s="11" t="s">
        <v>911</v>
      </c>
      <c r="E846" s="57" t="s">
        <v>423</v>
      </c>
      <c r="F846" s="57" t="s">
        <v>427</v>
      </c>
      <c r="G846" s="57" t="s">
        <v>2240</v>
      </c>
      <c r="H846" s="57" t="s">
        <v>912</v>
      </c>
      <c r="I846" s="57" t="s">
        <v>2241</v>
      </c>
      <c r="J846" s="57" t="s">
        <v>386</v>
      </c>
      <c r="K846" s="57" t="s">
        <v>591</v>
      </c>
      <c r="L846" s="11" t="s">
        <v>909</v>
      </c>
      <c r="M846" s="22">
        <v>15</v>
      </c>
      <c r="N846" s="46">
        <v>1786</v>
      </c>
      <c r="O846" s="49">
        <f t="shared" si="17"/>
        <v>26790</v>
      </c>
      <c r="P846" s="5" t="s">
        <v>391</v>
      </c>
      <c r="Q846" s="5" t="s">
        <v>766</v>
      </c>
      <c r="R846" s="11" t="s">
        <v>925</v>
      </c>
      <c r="S846" s="22">
        <v>0</v>
      </c>
    </row>
    <row r="847" spans="1:19" ht="51" outlineLevel="1">
      <c r="A847" s="5">
        <v>832</v>
      </c>
      <c r="B847" s="29" t="s">
        <v>710</v>
      </c>
      <c r="C847" s="30" t="s">
        <v>711</v>
      </c>
      <c r="D847" s="11" t="s">
        <v>911</v>
      </c>
      <c r="E847" s="57" t="s">
        <v>423</v>
      </c>
      <c r="F847" s="57" t="s">
        <v>427</v>
      </c>
      <c r="G847" s="57" t="s">
        <v>2240</v>
      </c>
      <c r="H847" s="57" t="s">
        <v>912</v>
      </c>
      <c r="I847" s="57" t="s">
        <v>2241</v>
      </c>
      <c r="J847" s="57" t="s">
        <v>386</v>
      </c>
      <c r="K847" s="57" t="s">
        <v>591</v>
      </c>
      <c r="L847" s="11" t="s">
        <v>909</v>
      </c>
      <c r="M847" s="22">
        <v>20</v>
      </c>
      <c r="N847" s="46">
        <v>530</v>
      </c>
      <c r="O847" s="49">
        <f t="shared" si="17"/>
        <v>10600</v>
      </c>
      <c r="P847" s="5" t="s">
        <v>393</v>
      </c>
      <c r="Q847" s="5" t="s">
        <v>766</v>
      </c>
      <c r="R847" s="11">
        <v>431000000</v>
      </c>
      <c r="S847" s="22">
        <v>0</v>
      </c>
    </row>
    <row r="848" spans="1:19" ht="51" outlineLevel="1">
      <c r="A848" s="5">
        <v>833</v>
      </c>
      <c r="B848" s="29" t="s">
        <v>710</v>
      </c>
      <c r="C848" s="30" t="s">
        <v>711</v>
      </c>
      <c r="D848" s="11" t="s">
        <v>911</v>
      </c>
      <c r="E848" s="57" t="s">
        <v>423</v>
      </c>
      <c r="F848" s="57" t="s">
        <v>427</v>
      </c>
      <c r="G848" s="57" t="s">
        <v>2240</v>
      </c>
      <c r="H848" s="57" t="s">
        <v>912</v>
      </c>
      <c r="I848" s="57" t="s">
        <v>2241</v>
      </c>
      <c r="J848" s="57" t="s">
        <v>386</v>
      </c>
      <c r="K848" s="57" t="s">
        <v>591</v>
      </c>
      <c r="L848" s="11" t="s">
        <v>909</v>
      </c>
      <c r="M848" s="22">
        <v>15</v>
      </c>
      <c r="N848" s="46">
        <v>2232</v>
      </c>
      <c r="O848" s="49">
        <f t="shared" si="17"/>
        <v>33480</v>
      </c>
      <c r="P848" s="5" t="s">
        <v>515</v>
      </c>
      <c r="Q848" s="5" t="s">
        <v>766</v>
      </c>
      <c r="R848" s="11" t="s">
        <v>715</v>
      </c>
      <c r="S848" s="22">
        <v>100</v>
      </c>
    </row>
    <row r="849" spans="1:19" s="32" customFormat="1" ht="43.5" customHeight="1">
      <c r="A849" s="5">
        <v>834</v>
      </c>
      <c r="B849" s="29" t="s">
        <v>710</v>
      </c>
      <c r="C849" s="30" t="s">
        <v>711</v>
      </c>
      <c r="D849" s="11" t="s">
        <v>911</v>
      </c>
      <c r="E849" s="57" t="s">
        <v>423</v>
      </c>
      <c r="F849" s="57" t="s">
        <v>427</v>
      </c>
      <c r="G849" s="57" t="s">
        <v>2240</v>
      </c>
      <c r="H849" s="57" t="s">
        <v>912</v>
      </c>
      <c r="I849" s="57" t="s">
        <v>2241</v>
      </c>
      <c r="J849" s="57" t="s">
        <v>386</v>
      </c>
      <c r="K849" s="57" t="s">
        <v>591</v>
      </c>
      <c r="L849" s="11" t="s">
        <v>909</v>
      </c>
      <c r="M849" s="22">
        <v>20</v>
      </c>
      <c r="N849" s="46">
        <v>1473</v>
      </c>
      <c r="O849" s="49">
        <f t="shared" si="17"/>
        <v>29460</v>
      </c>
      <c r="P849" s="5" t="s">
        <v>391</v>
      </c>
      <c r="Q849" s="5" t="s">
        <v>515</v>
      </c>
      <c r="R849" s="11">
        <v>551000000</v>
      </c>
      <c r="S849" s="22">
        <v>100</v>
      </c>
    </row>
    <row r="850" spans="1:19" ht="27" customHeight="1" outlineLevel="1">
      <c r="A850" s="5">
        <v>835</v>
      </c>
      <c r="B850" s="29" t="s">
        <v>710</v>
      </c>
      <c r="C850" s="30" t="s">
        <v>711</v>
      </c>
      <c r="D850" s="11" t="s">
        <v>911</v>
      </c>
      <c r="E850" s="57" t="s">
        <v>423</v>
      </c>
      <c r="F850" s="57" t="s">
        <v>427</v>
      </c>
      <c r="G850" s="57" t="s">
        <v>2240</v>
      </c>
      <c r="H850" s="57" t="s">
        <v>912</v>
      </c>
      <c r="I850" s="57" t="s">
        <v>2241</v>
      </c>
      <c r="J850" s="57" t="s">
        <v>386</v>
      </c>
      <c r="K850" s="57" t="s">
        <v>591</v>
      </c>
      <c r="L850" s="11" t="s">
        <v>909</v>
      </c>
      <c r="M850" s="22">
        <v>20</v>
      </c>
      <c r="N850" s="46">
        <v>2059</v>
      </c>
      <c r="O850" s="49">
        <f t="shared" si="17"/>
        <v>41180</v>
      </c>
      <c r="P850" s="5" t="s">
        <v>515</v>
      </c>
      <c r="Q850" s="5" t="s">
        <v>612</v>
      </c>
      <c r="R850" s="11">
        <v>591000000</v>
      </c>
      <c r="S850" s="22">
        <v>0</v>
      </c>
    </row>
    <row r="851" spans="1:19" ht="51" outlineLevel="1">
      <c r="A851" s="5">
        <v>836</v>
      </c>
      <c r="B851" s="29" t="s">
        <v>710</v>
      </c>
      <c r="C851" s="30" t="s">
        <v>711</v>
      </c>
      <c r="D851" s="11" t="s">
        <v>911</v>
      </c>
      <c r="E851" s="57" t="s">
        <v>423</v>
      </c>
      <c r="F851" s="57" t="s">
        <v>427</v>
      </c>
      <c r="G851" s="57" t="s">
        <v>2240</v>
      </c>
      <c r="H851" s="57" t="s">
        <v>912</v>
      </c>
      <c r="I851" s="57" t="s">
        <v>2241</v>
      </c>
      <c r="J851" s="57" t="s">
        <v>386</v>
      </c>
      <c r="K851" s="57" t="s">
        <v>591</v>
      </c>
      <c r="L851" s="11" t="s">
        <v>909</v>
      </c>
      <c r="M851" s="22">
        <v>37</v>
      </c>
      <c r="N851" s="46">
        <f>O851/M851</f>
        <v>0</v>
      </c>
      <c r="O851" s="49">
        <f>57757-57757</f>
        <v>0</v>
      </c>
      <c r="P851" s="31" t="s">
        <v>391</v>
      </c>
      <c r="Q851" s="5" t="s">
        <v>766</v>
      </c>
      <c r="R851" s="11" t="s">
        <v>2029</v>
      </c>
      <c r="S851" s="5">
        <v>0</v>
      </c>
    </row>
    <row r="852" spans="1:19" ht="51" outlineLevel="1">
      <c r="A852" s="5">
        <v>837</v>
      </c>
      <c r="B852" s="15" t="s">
        <v>710</v>
      </c>
      <c r="C852" s="30" t="s">
        <v>711</v>
      </c>
      <c r="D852" s="31" t="s">
        <v>1168</v>
      </c>
      <c r="E852" s="57" t="s">
        <v>1169</v>
      </c>
      <c r="F852" s="57" t="s">
        <v>1170</v>
      </c>
      <c r="G852" s="57" t="s">
        <v>1171</v>
      </c>
      <c r="H852" s="57" t="s">
        <v>1172</v>
      </c>
      <c r="I852" s="57" t="s">
        <v>1879</v>
      </c>
      <c r="J852" s="57" t="s">
        <v>277</v>
      </c>
      <c r="K852" s="57" t="s">
        <v>591</v>
      </c>
      <c r="L852" s="31" t="s">
        <v>644</v>
      </c>
      <c r="M852" s="22">
        <v>1</v>
      </c>
      <c r="N852" s="46">
        <v>9516600</v>
      </c>
      <c r="O852" s="49">
        <f t="shared" si="17"/>
        <v>9516600</v>
      </c>
      <c r="P852" s="5" t="s">
        <v>393</v>
      </c>
      <c r="Q852" s="5" t="s">
        <v>766</v>
      </c>
      <c r="R852" s="11" t="s">
        <v>1175</v>
      </c>
      <c r="S852" s="22">
        <v>100</v>
      </c>
    </row>
    <row r="853" spans="1:19" s="13" customFormat="1" ht="25.5">
      <c r="A853" s="5">
        <v>838</v>
      </c>
      <c r="B853" s="56" t="s">
        <v>710</v>
      </c>
      <c r="C853" s="30" t="s">
        <v>711</v>
      </c>
      <c r="D853" s="11" t="s">
        <v>616</v>
      </c>
      <c r="E853" s="57" t="s">
        <v>2260</v>
      </c>
      <c r="F853" s="57" t="s">
        <v>617</v>
      </c>
      <c r="G853" s="57" t="s">
        <v>2261</v>
      </c>
      <c r="H853" s="57" t="s">
        <v>618</v>
      </c>
      <c r="I853" s="57" t="s">
        <v>2262</v>
      </c>
      <c r="J853" s="57" t="s">
        <v>619</v>
      </c>
      <c r="K853" s="57" t="s">
        <v>591</v>
      </c>
      <c r="L853" s="31" t="s">
        <v>644</v>
      </c>
      <c r="M853" s="22">
        <v>20</v>
      </c>
      <c r="N853" s="46">
        <v>536</v>
      </c>
      <c r="O853" s="49">
        <f t="shared" si="17"/>
        <v>10720</v>
      </c>
      <c r="P853" s="5" t="s">
        <v>393</v>
      </c>
      <c r="Q853" s="15" t="s">
        <v>394</v>
      </c>
      <c r="R853" s="11">
        <v>431000000</v>
      </c>
      <c r="S853" s="22">
        <v>100</v>
      </c>
    </row>
    <row r="854" spans="1:19" s="13" customFormat="1" ht="25.5">
      <c r="A854" s="5">
        <v>839</v>
      </c>
      <c r="B854" s="56" t="s">
        <v>710</v>
      </c>
      <c r="C854" s="30" t="s">
        <v>711</v>
      </c>
      <c r="D854" s="11" t="s">
        <v>620</v>
      </c>
      <c r="E854" s="57" t="s">
        <v>2320</v>
      </c>
      <c r="F854" s="57" t="s">
        <v>621</v>
      </c>
      <c r="G854" s="57" t="s">
        <v>2321</v>
      </c>
      <c r="H854" s="57" t="s">
        <v>622</v>
      </c>
      <c r="I854" s="57" t="s">
        <v>2320</v>
      </c>
      <c r="J854" s="57" t="s">
        <v>621</v>
      </c>
      <c r="K854" s="57" t="s">
        <v>591</v>
      </c>
      <c r="L854" s="31" t="s">
        <v>644</v>
      </c>
      <c r="M854" s="22">
        <v>20</v>
      </c>
      <c r="N854" s="46">
        <v>300</v>
      </c>
      <c r="O854" s="49">
        <f t="shared" si="17"/>
        <v>6000</v>
      </c>
      <c r="P854" s="5" t="s">
        <v>393</v>
      </c>
      <c r="Q854" s="15" t="s">
        <v>394</v>
      </c>
      <c r="R854" s="11">
        <v>431000000</v>
      </c>
      <c r="S854" s="22">
        <v>100</v>
      </c>
    </row>
    <row r="855" spans="1:19" s="13" customFormat="1" ht="25.5">
      <c r="A855" s="5">
        <v>840</v>
      </c>
      <c r="B855" s="56" t="s">
        <v>710</v>
      </c>
      <c r="C855" s="30" t="s">
        <v>711</v>
      </c>
      <c r="D855" s="11" t="s">
        <v>623</v>
      </c>
      <c r="E855" s="57" t="s">
        <v>2322</v>
      </c>
      <c r="F855" s="57" t="s">
        <v>624</v>
      </c>
      <c r="G855" s="57" t="s">
        <v>2323</v>
      </c>
      <c r="H855" s="57" t="s">
        <v>625</v>
      </c>
      <c r="I855" s="57" t="s">
        <v>2322</v>
      </c>
      <c r="J855" s="57" t="s">
        <v>624</v>
      </c>
      <c r="K855" s="57" t="s">
        <v>591</v>
      </c>
      <c r="L855" s="31" t="s">
        <v>644</v>
      </c>
      <c r="M855" s="22">
        <v>5</v>
      </c>
      <c r="N855" s="46">
        <v>3000</v>
      </c>
      <c r="O855" s="49">
        <f t="shared" si="17"/>
        <v>15000</v>
      </c>
      <c r="P855" s="5" t="s">
        <v>393</v>
      </c>
      <c r="Q855" s="15" t="s">
        <v>394</v>
      </c>
      <c r="R855" s="11">
        <v>431000000</v>
      </c>
      <c r="S855" s="22">
        <v>100</v>
      </c>
    </row>
    <row r="856" spans="1:19" s="13" customFormat="1" ht="25.5">
      <c r="A856" s="5">
        <v>841</v>
      </c>
      <c r="B856" s="56" t="s">
        <v>710</v>
      </c>
      <c r="C856" s="30" t="s">
        <v>711</v>
      </c>
      <c r="D856" s="11" t="s">
        <v>626</v>
      </c>
      <c r="E856" s="57" t="s">
        <v>627</v>
      </c>
      <c r="F856" s="57" t="s">
        <v>627</v>
      </c>
      <c r="G856" s="57" t="s">
        <v>2195</v>
      </c>
      <c r="H856" s="57" t="s">
        <v>628</v>
      </c>
      <c r="I856" s="57" t="s">
        <v>2195</v>
      </c>
      <c r="J856" s="57" t="s">
        <v>628</v>
      </c>
      <c r="K856" s="57" t="s">
        <v>591</v>
      </c>
      <c r="L856" s="11" t="s">
        <v>629</v>
      </c>
      <c r="M856" s="54">
        <v>13</v>
      </c>
      <c r="N856" s="46">
        <v>4000</v>
      </c>
      <c r="O856" s="49">
        <f t="shared" si="17"/>
        <v>52000</v>
      </c>
      <c r="P856" s="5" t="s">
        <v>393</v>
      </c>
      <c r="Q856" s="15" t="s">
        <v>394</v>
      </c>
      <c r="R856" s="11">
        <v>431000000</v>
      </c>
      <c r="S856" s="22">
        <v>100</v>
      </c>
    </row>
    <row r="857" spans="1:19" ht="25.5">
      <c r="A857" s="5">
        <v>842</v>
      </c>
      <c r="B857" s="56" t="s">
        <v>710</v>
      </c>
      <c r="C857" s="30" t="s">
        <v>711</v>
      </c>
      <c r="D857" s="11" t="s">
        <v>1274</v>
      </c>
      <c r="E857" s="57" t="s">
        <v>2273</v>
      </c>
      <c r="F857" s="57" t="s">
        <v>1275</v>
      </c>
      <c r="G857" s="57" t="s">
        <v>2274</v>
      </c>
      <c r="H857" s="57" t="s">
        <v>1276</v>
      </c>
      <c r="I857" s="57" t="s">
        <v>2275</v>
      </c>
      <c r="J857" s="57" t="s">
        <v>1277</v>
      </c>
      <c r="K857" s="57" t="s">
        <v>591</v>
      </c>
      <c r="L857" s="31" t="s">
        <v>644</v>
      </c>
      <c r="M857" s="22">
        <v>1</v>
      </c>
      <c r="N857" s="46">
        <v>44643</v>
      </c>
      <c r="O857" s="49">
        <f t="shared" si="17"/>
        <v>44643</v>
      </c>
      <c r="P857" s="50" t="s">
        <v>391</v>
      </c>
      <c r="Q857" s="50" t="s">
        <v>391</v>
      </c>
      <c r="R857" s="11" t="s">
        <v>2027</v>
      </c>
      <c r="S857" s="22">
        <v>0</v>
      </c>
    </row>
    <row r="858" spans="1:19" ht="25.5">
      <c r="A858" s="5">
        <v>843</v>
      </c>
      <c r="B858" s="56" t="s">
        <v>710</v>
      </c>
      <c r="C858" s="30" t="s">
        <v>711</v>
      </c>
      <c r="D858" s="11" t="s">
        <v>1278</v>
      </c>
      <c r="E858" s="57" t="s">
        <v>4</v>
      </c>
      <c r="F858" s="57" t="s">
        <v>4</v>
      </c>
      <c r="G858" s="57" t="s">
        <v>2328</v>
      </c>
      <c r="H858" s="57" t="s">
        <v>1279</v>
      </c>
      <c r="I858" s="57" t="s">
        <v>4</v>
      </c>
      <c r="J858" s="57" t="s">
        <v>1280</v>
      </c>
      <c r="K858" s="57" t="s">
        <v>591</v>
      </c>
      <c r="L858" s="31" t="s">
        <v>644</v>
      </c>
      <c r="M858" s="22">
        <v>1</v>
      </c>
      <c r="N858" s="46">
        <v>80357</v>
      </c>
      <c r="O858" s="49">
        <f t="shared" si="17"/>
        <v>80357</v>
      </c>
      <c r="P858" s="50" t="s">
        <v>391</v>
      </c>
      <c r="Q858" s="50" t="s">
        <v>391</v>
      </c>
      <c r="R858" s="11" t="s">
        <v>2027</v>
      </c>
      <c r="S858" s="22">
        <v>100</v>
      </c>
    </row>
    <row r="859" spans="1:19" ht="51">
      <c r="A859" s="5">
        <v>844</v>
      </c>
      <c r="B859" s="56" t="s">
        <v>710</v>
      </c>
      <c r="C859" s="30" t="s">
        <v>711</v>
      </c>
      <c r="D859" s="11" t="s">
        <v>1281</v>
      </c>
      <c r="E859" s="57" t="s">
        <v>2080</v>
      </c>
      <c r="F859" s="57" t="s">
        <v>1053</v>
      </c>
      <c r="G859" s="57" t="s">
        <v>2081</v>
      </c>
      <c r="H859" s="57" t="s">
        <v>1054</v>
      </c>
      <c r="I859" s="57" t="s">
        <v>3</v>
      </c>
      <c r="J859" s="57" t="s">
        <v>1282</v>
      </c>
      <c r="K859" s="57" t="s">
        <v>591</v>
      </c>
      <c r="L859" s="31" t="s">
        <v>644</v>
      </c>
      <c r="M859" s="22">
        <v>1</v>
      </c>
      <c r="N859" s="46">
        <v>93750</v>
      </c>
      <c r="O859" s="49">
        <f t="shared" ref="O859:O910" si="18">M859*N859</f>
        <v>93750</v>
      </c>
      <c r="P859" s="50" t="s">
        <v>391</v>
      </c>
      <c r="Q859" s="50" t="s">
        <v>391</v>
      </c>
      <c r="R859" s="11" t="s">
        <v>2027</v>
      </c>
      <c r="S859" s="22">
        <v>100</v>
      </c>
    </row>
    <row r="860" spans="1:19" ht="114.75">
      <c r="A860" s="5">
        <v>845</v>
      </c>
      <c r="B860" s="56" t="s">
        <v>710</v>
      </c>
      <c r="C860" s="30" t="s">
        <v>711</v>
      </c>
      <c r="D860" s="11" t="s">
        <v>1286</v>
      </c>
      <c r="E860" s="57" t="s">
        <v>720</v>
      </c>
      <c r="F860" s="57" t="s">
        <v>720</v>
      </c>
      <c r="G860" s="57" t="s">
        <v>2096</v>
      </c>
      <c r="H860" s="57" t="s">
        <v>1287</v>
      </c>
      <c r="I860" s="57" t="s">
        <v>2093</v>
      </c>
      <c r="J860" s="57" t="s">
        <v>1288</v>
      </c>
      <c r="K860" s="57" t="s">
        <v>591</v>
      </c>
      <c r="L860" s="31" t="s">
        <v>644</v>
      </c>
      <c r="M860" s="22">
        <v>5</v>
      </c>
      <c r="N860" s="46">
        <v>31250</v>
      </c>
      <c r="O860" s="49">
        <f t="shared" si="18"/>
        <v>156250</v>
      </c>
      <c r="P860" s="5" t="s">
        <v>391</v>
      </c>
      <c r="Q860" s="5" t="s">
        <v>391</v>
      </c>
      <c r="R860" s="11" t="s">
        <v>2027</v>
      </c>
      <c r="S860" s="22">
        <v>0</v>
      </c>
    </row>
    <row r="861" spans="1:19" ht="102">
      <c r="A861" s="5">
        <v>846</v>
      </c>
      <c r="B861" s="56" t="s">
        <v>710</v>
      </c>
      <c r="C861" s="30" t="s">
        <v>711</v>
      </c>
      <c r="D861" s="11" t="s">
        <v>748</v>
      </c>
      <c r="E861" s="57" t="s">
        <v>979</v>
      </c>
      <c r="F861" s="57" t="s">
        <v>979</v>
      </c>
      <c r="G861" s="57" t="s">
        <v>2161</v>
      </c>
      <c r="H861" s="57" t="s">
        <v>751</v>
      </c>
      <c r="I861" s="57" t="s">
        <v>2160</v>
      </c>
      <c r="J861" s="57" t="s">
        <v>1293</v>
      </c>
      <c r="K861" s="57" t="s">
        <v>591</v>
      </c>
      <c r="L861" s="31" t="s">
        <v>644</v>
      </c>
      <c r="M861" s="22">
        <v>15</v>
      </c>
      <c r="N861" s="46">
        <v>7143</v>
      </c>
      <c r="O861" s="49">
        <f t="shared" si="18"/>
        <v>107145</v>
      </c>
      <c r="P861" s="5" t="s">
        <v>391</v>
      </c>
      <c r="Q861" s="5" t="s">
        <v>391</v>
      </c>
      <c r="R861" s="11" t="s">
        <v>2027</v>
      </c>
      <c r="S861" s="22">
        <v>0</v>
      </c>
    </row>
    <row r="862" spans="1:19" ht="51.75" customHeight="1">
      <c r="A862" s="5">
        <v>847</v>
      </c>
      <c r="B862" s="56" t="s">
        <v>710</v>
      </c>
      <c r="C862" s="30" t="s">
        <v>711</v>
      </c>
      <c r="D862" s="11" t="s">
        <v>1297</v>
      </c>
      <c r="E862" s="57" t="s">
        <v>720</v>
      </c>
      <c r="F862" s="57" t="s">
        <v>874</v>
      </c>
      <c r="G862" s="57" t="s">
        <v>2097</v>
      </c>
      <c r="H862" s="57" t="s">
        <v>1298</v>
      </c>
      <c r="I862" s="57" t="s">
        <v>2095</v>
      </c>
      <c r="J862" s="57" t="s">
        <v>2094</v>
      </c>
      <c r="K862" s="57" t="s">
        <v>591</v>
      </c>
      <c r="L862" s="31" t="s">
        <v>644</v>
      </c>
      <c r="M862" s="22">
        <v>8</v>
      </c>
      <c r="N862" s="46">
        <v>35714</v>
      </c>
      <c r="O862" s="49">
        <f t="shared" si="18"/>
        <v>285712</v>
      </c>
      <c r="P862" s="5" t="s">
        <v>391</v>
      </c>
      <c r="Q862" s="5" t="s">
        <v>391</v>
      </c>
      <c r="R862" s="11" t="s">
        <v>2027</v>
      </c>
      <c r="S862" s="22">
        <v>0</v>
      </c>
    </row>
    <row r="863" spans="1:19" ht="25.5">
      <c r="A863" s="5">
        <v>848</v>
      </c>
      <c r="B863" s="56" t="s">
        <v>710</v>
      </c>
      <c r="C863" s="30" t="s">
        <v>711</v>
      </c>
      <c r="D863" s="10" t="s">
        <v>1122</v>
      </c>
      <c r="E863" s="57" t="s">
        <v>846</v>
      </c>
      <c r="F863" s="57" t="s">
        <v>474</v>
      </c>
      <c r="G863" s="57" t="s">
        <v>1123</v>
      </c>
      <c r="H863" s="57" t="s">
        <v>1123</v>
      </c>
      <c r="I863" s="57" t="s">
        <v>846</v>
      </c>
      <c r="J863" s="57" t="s">
        <v>236</v>
      </c>
      <c r="K863" s="57" t="s">
        <v>591</v>
      </c>
      <c r="L863" s="31" t="s">
        <v>644</v>
      </c>
      <c r="M863" s="22">
        <v>200</v>
      </c>
      <c r="N863" s="46">
        <v>67</v>
      </c>
      <c r="O863" s="49">
        <f t="shared" si="18"/>
        <v>13400</v>
      </c>
      <c r="P863" s="5" t="s">
        <v>391</v>
      </c>
      <c r="Q863" s="5" t="s">
        <v>391</v>
      </c>
      <c r="R863" s="11" t="s">
        <v>2027</v>
      </c>
      <c r="S863" s="22">
        <v>0</v>
      </c>
    </row>
    <row r="864" spans="1:19" ht="25.5">
      <c r="A864" s="5">
        <v>849</v>
      </c>
      <c r="B864" s="56" t="s">
        <v>710</v>
      </c>
      <c r="C864" s="30" t="s">
        <v>711</v>
      </c>
      <c r="D864" s="11" t="s">
        <v>1283</v>
      </c>
      <c r="E864" s="57" t="s">
        <v>1284</v>
      </c>
      <c r="F864" s="57" t="s">
        <v>1284</v>
      </c>
      <c r="G864" s="57" t="s">
        <v>2329</v>
      </c>
      <c r="H864" s="57" t="s">
        <v>1285</v>
      </c>
      <c r="I864" s="57" t="s">
        <v>1284</v>
      </c>
      <c r="J864" s="57" t="s">
        <v>1284</v>
      </c>
      <c r="K864" s="57" t="s">
        <v>591</v>
      </c>
      <c r="L864" s="31" t="s">
        <v>644</v>
      </c>
      <c r="M864" s="22">
        <v>1</v>
      </c>
      <c r="N864" s="46">
        <v>26786</v>
      </c>
      <c r="O864" s="49">
        <f t="shared" si="18"/>
        <v>26786</v>
      </c>
      <c r="P864" s="5" t="s">
        <v>391</v>
      </c>
      <c r="Q864" s="5" t="s">
        <v>391</v>
      </c>
      <c r="R864" s="11" t="s">
        <v>2027</v>
      </c>
      <c r="S864" s="22">
        <v>0</v>
      </c>
    </row>
    <row r="865" spans="1:19" ht="38.25">
      <c r="A865" s="5">
        <v>850</v>
      </c>
      <c r="B865" s="56" t="s">
        <v>710</v>
      </c>
      <c r="C865" s="30" t="s">
        <v>711</v>
      </c>
      <c r="D865" s="11" t="s">
        <v>1294</v>
      </c>
      <c r="E865" s="57" t="s">
        <v>2330</v>
      </c>
      <c r="F865" s="57" t="s">
        <v>2331</v>
      </c>
      <c r="G865" s="57" t="s">
        <v>2332</v>
      </c>
      <c r="H865" s="57" t="s">
        <v>1296</v>
      </c>
      <c r="I865" s="57" t="s">
        <v>2330</v>
      </c>
      <c r="J865" s="57" t="s">
        <v>1295</v>
      </c>
      <c r="K865" s="57" t="s">
        <v>591</v>
      </c>
      <c r="L865" s="31" t="s">
        <v>644</v>
      </c>
      <c r="M865" s="22">
        <v>3</v>
      </c>
      <c r="N865" s="46">
        <v>29762</v>
      </c>
      <c r="O865" s="49">
        <f t="shared" si="18"/>
        <v>89286</v>
      </c>
      <c r="P865" s="5" t="s">
        <v>391</v>
      </c>
      <c r="Q865" s="5" t="s">
        <v>391</v>
      </c>
      <c r="R865" s="11" t="s">
        <v>2027</v>
      </c>
      <c r="S865" s="22">
        <v>0</v>
      </c>
    </row>
    <row r="866" spans="1:19" ht="38.25">
      <c r="A866" s="5">
        <v>851</v>
      </c>
      <c r="B866" s="56" t="s">
        <v>710</v>
      </c>
      <c r="C866" s="30" t="s">
        <v>711</v>
      </c>
      <c r="D866" s="11" t="s">
        <v>1289</v>
      </c>
      <c r="E866" s="57" t="s">
        <v>2333</v>
      </c>
      <c r="F866" s="57" t="s">
        <v>1290</v>
      </c>
      <c r="G866" s="57" t="s">
        <v>2334</v>
      </c>
      <c r="H866" s="57" t="s">
        <v>1291</v>
      </c>
      <c r="I866" s="57" t="s">
        <v>2335</v>
      </c>
      <c r="J866" s="57" t="s">
        <v>1292</v>
      </c>
      <c r="K866" s="57" t="s">
        <v>591</v>
      </c>
      <c r="L866" s="31" t="s">
        <v>644</v>
      </c>
      <c r="M866" s="22">
        <v>5</v>
      </c>
      <c r="N866" s="46">
        <v>4464</v>
      </c>
      <c r="O866" s="49">
        <f t="shared" si="18"/>
        <v>22320</v>
      </c>
      <c r="P866" s="5" t="s">
        <v>391</v>
      </c>
      <c r="Q866" s="5" t="s">
        <v>391</v>
      </c>
      <c r="R866" s="11" t="s">
        <v>2027</v>
      </c>
      <c r="S866" s="22">
        <v>0</v>
      </c>
    </row>
    <row r="867" spans="1:19" s="47" customFormat="1" ht="38.25">
      <c r="A867" s="5">
        <v>852</v>
      </c>
      <c r="B867" s="15" t="s">
        <v>710</v>
      </c>
      <c r="C867" s="30" t="s">
        <v>711</v>
      </c>
      <c r="D867" s="5" t="s">
        <v>1518</v>
      </c>
      <c r="E867" s="57" t="s">
        <v>627</v>
      </c>
      <c r="F867" s="57" t="s">
        <v>627</v>
      </c>
      <c r="G867" s="57" t="s">
        <v>2258</v>
      </c>
      <c r="H867" s="57" t="s">
        <v>628</v>
      </c>
      <c r="I867" s="57" t="s">
        <v>2259</v>
      </c>
      <c r="J867" s="57" t="s">
        <v>1519</v>
      </c>
      <c r="K867" s="57" t="s">
        <v>591</v>
      </c>
      <c r="L867" s="31" t="s">
        <v>644</v>
      </c>
      <c r="M867" s="55">
        <v>25</v>
      </c>
      <c r="N867" s="46">
        <v>4286</v>
      </c>
      <c r="O867" s="49">
        <f t="shared" si="18"/>
        <v>107150</v>
      </c>
      <c r="P867" s="5" t="s">
        <v>393</v>
      </c>
      <c r="Q867" s="8" t="s">
        <v>393</v>
      </c>
      <c r="R867" s="11">
        <v>551000000</v>
      </c>
      <c r="S867" s="8">
        <v>100</v>
      </c>
    </row>
    <row r="868" spans="1:19" s="47" customFormat="1" ht="39.75" customHeight="1">
      <c r="A868" s="5">
        <v>853</v>
      </c>
      <c r="B868" s="56" t="s">
        <v>710</v>
      </c>
      <c r="C868" s="30" t="s">
        <v>711</v>
      </c>
      <c r="D868" s="5" t="s">
        <v>1520</v>
      </c>
      <c r="E868" s="57" t="s">
        <v>2253</v>
      </c>
      <c r="F868" s="57" t="s">
        <v>2249</v>
      </c>
      <c r="G868" s="57" t="s">
        <v>2251</v>
      </c>
      <c r="H868" s="57" t="s">
        <v>2250</v>
      </c>
      <c r="I868" s="57" t="s">
        <v>2254</v>
      </c>
      <c r="J868" s="57" t="s">
        <v>2252</v>
      </c>
      <c r="K868" s="57" t="s">
        <v>591</v>
      </c>
      <c r="L868" s="31" t="s">
        <v>644</v>
      </c>
      <c r="M868" s="55">
        <v>1</v>
      </c>
      <c r="N868" s="46">
        <v>123214</v>
      </c>
      <c r="O868" s="49">
        <f t="shared" si="18"/>
        <v>123214</v>
      </c>
      <c r="P868" s="5" t="s">
        <v>393</v>
      </c>
      <c r="Q868" s="8" t="s">
        <v>393</v>
      </c>
      <c r="R868" s="11">
        <v>551000000</v>
      </c>
      <c r="S868" s="8">
        <v>100</v>
      </c>
    </row>
    <row r="869" spans="1:19" s="47" customFormat="1" ht="41.25" customHeight="1">
      <c r="A869" s="5">
        <v>854</v>
      </c>
      <c r="B869" s="29" t="s">
        <v>710</v>
      </c>
      <c r="C869" s="30" t="s">
        <v>711</v>
      </c>
      <c r="D869" s="5" t="s">
        <v>1521</v>
      </c>
      <c r="E869" s="57" t="s">
        <v>2105</v>
      </c>
      <c r="F869" s="57" t="s">
        <v>2105</v>
      </c>
      <c r="G869" s="57" t="s">
        <v>2107</v>
      </c>
      <c r="H869" s="57" t="s">
        <v>2106</v>
      </c>
      <c r="I869" s="57" t="s">
        <v>2103</v>
      </c>
      <c r="J869" s="57" t="s">
        <v>1522</v>
      </c>
      <c r="K869" s="57" t="s">
        <v>591</v>
      </c>
      <c r="L869" s="31" t="s">
        <v>644</v>
      </c>
      <c r="M869" s="55">
        <v>1</v>
      </c>
      <c r="N869" s="46">
        <v>23719</v>
      </c>
      <c r="O869" s="49">
        <f t="shared" si="18"/>
        <v>23719</v>
      </c>
      <c r="P869" s="8" t="s">
        <v>391</v>
      </c>
      <c r="Q869" s="8" t="s">
        <v>391</v>
      </c>
      <c r="R869" s="11">
        <v>551000000</v>
      </c>
      <c r="S869" s="8">
        <v>100</v>
      </c>
    </row>
    <row r="870" spans="1:19" s="47" customFormat="1" ht="45" customHeight="1">
      <c r="A870" s="5">
        <v>855</v>
      </c>
      <c r="B870" s="29" t="s">
        <v>710</v>
      </c>
      <c r="C870" s="30" t="s">
        <v>711</v>
      </c>
      <c r="D870" s="5" t="s">
        <v>1521</v>
      </c>
      <c r="E870" s="57" t="s">
        <v>2105</v>
      </c>
      <c r="F870" s="57" t="s">
        <v>2105</v>
      </c>
      <c r="G870" s="57" t="s">
        <v>2107</v>
      </c>
      <c r="H870" s="57" t="s">
        <v>2106</v>
      </c>
      <c r="I870" s="57" t="s">
        <v>2104</v>
      </c>
      <c r="J870" s="57" t="s">
        <v>1523</v>
      </c>
      <c r="K870" s="57" t="s">
        <v>591</v>
      </c>
      <c r="L870" s="31" t="s">
        <v>644</v>
      </c>
      <c r="M870" s="55">
        <v>1</v>
      </c>
      <c r="N870" s="46">
        <v>23719</v>
      </c>
      <c r="O870" s="49">
        <f t="shared" si="18"/>
        <v>23719</v>
      </c>
      <c r="P870" s="8" t="s">
        <v>391</v>
      </c>
      <c r="Q870" s="8" t="s">
        <v>391</v>
      </c>
      <c r="R870" s="11">
        <v>551000000</v>
      </c>
      <c r="S870" s="8">
        <v>100</v>
      </c>
    </row>
    <row r="871" spans="1:19" s="47" customFormat="1" ht="39.75" customHeight="1">
      <c r="A871" s="5">
        <v>856</v>
      </c>
      <c r="B871" s="56" t="s">
        <v>710</v>
      </c>
      <c r="C871" s="30" t="s">
        <v>711</v>
      </c>
      <c r="D871" s="5" t="s">
        <v>1524</v>
      </c>
      <c r="E871" s="57" t="s">
        <v>2216</v>
      </c>
      <c r="F871" s="57" t="s">
        <v>1525</v>
      </c>
      <c r="G871" s="57" t="s">
        <v>2216</v>
      </c>
      <c r="H871" s="57" t="s">
        <v>1525</v>
      </c>
      <c r="I871" s="57" t="s">
        <v>2216</v>
      </c>
      <c r="J871" s="57" t="s">
        <v>1525</v>
      </c>
      <c r="K871" s="57" t="s">
        <v>591</v>
      </c>
      <c r="L871" s="31" t="s">
        <v>644</v>
      </c>
      <c r="M871" s="55">
        <v>10</v>
      </c>
      <c r="N871" s="46">
        <v>536</v>
      </c>
      <c r="O871" s="49">
        <f t="shared" si="18"/>
        <v>5360</v>
      </c>
      <c r="P871" s="8" t="s">
        <v>391</v>
      </c>
      <c r="Q871" s="8" t="s">
        <v>391</v>
      </c>
      <c r="R871" s="11">
        <v>551000000</v>
      </c>
      <c r="S871" s="8">
        <v>100</v>
      </c>
    </row>
    <row r="872" spans="1:19" ht="63.75">
      <c r="A872" s="5">
        <v>857</v>
      </c>
      <c r="B872" s="56" t="s">
        <v>710</v>
      </c>
      <c r="C872" s="30" t="s">
        <v>711</v>
      </c>
      <c r="D872" s="5" t="s">
        <v>603</v>
      </c>
      <c r="E872" s="57" t="s">
        <v>604</v>
      </c>
      <c r="F872" s="57" t="s">
        <v>605</v>
      </c>
      <c r="G872" s="57" t="s">
        <v>606</v>
      </c>
      <c r="H872" s="57" t="s">
        <v>607</v>
      </c>
      <c r="I872" s="57" t="s">
        <v>2256</v>
      </c>
      <c r="J872" s="57" t="s">
        <v>1527</v>
      </c>
      <c r="K872" s="57" t="s">
        <v>591</v>
      </c>
      <c r="L872" s="31" t="s">
        <v>1478</v>
      </c>
      <c r="M872" s="22">
        <v>144</v>
      </c>
      <c r="N872" s="46">
        <v>350</v>
      </c>
      <c r="O872" s="49">
        <f t="shared" si="18"/>
        <v>50400</v>
      </c>
      <c r="P872" s="5" t="s">
        <v>393</v>
      </c>
      <c r="Q872" s="5" t="s">
        <v>766</v>
      </c>
      <c r="R872" s="11" t="s">
        <v>2030</v>
      </c>
      <c r="S872" s="5">
        <v>0</v>
      </c>
    </row>
    <row r="873" spans="1:19" ht="63.75">
      <c r="A873" s="5">
        <v>858</v>
      </c>
      <c r="B873" s="56" t="s">
        <v>710</v>
      </c>
      <c r="C873" s="30" t="s">
        <v>711</v>
      </c>
      <c r="D873" s="5" t="s">
        <v>603</v>
      </c>
      <c r="E873" s="57" t="s">
        <v>604</v>
      </c>
      <c r="F873" s="57" t="s">
        <v>605</v>
      </c>
      <c r="G873" s="57" t="s">
        <v>606</v>
      </c>
      <c r="H873" s="57" t="s">
        <v>607</v>
      </c>
      <c r="I873" s="57" t="s">
        <v>2256</v>
      </c>
      <c r="J873" s="57" t="s">
        <v>1527</v>
      </c>
      <c r="K873" s="57" t="s">
        <v>591</v>
      </c>
      <c r="L873" s="31" t="s">
        <v>1478</v>
      </c>
      <c r="M873" s="22">
        <v>144</v>
      </c>
      <c r="N873" s="46">
        <v>350</v>
      </c>
      <c r="O873" s="49">
        <f t="shared" si="18"/>
        <v>50400</v>
      </c>
      <c r="P873" s="5" t="s">
        <v>393</v>
      </c>
      <c r="Q873" s="5" t="s">
        <v>766</v>
      </c>
      <c r="R873" s="11" t="s">
        <v>1021</v>
      </c>
      <c r="S873" s="5">
        <v>0</v>
      </c>
    </row>
    <row r="874" spans="1:19" ht="63.75">
      <c r="A874" s="5">
        <v>859</v>
      </c>
      <c r="B874" s="56" t="s">
        <v>710</v>
      </c>
      <c r="C874" s="30" t="s">
        <v>711</v>
      </c>
      <c r="D874" s="5" t="s">
        <v>603</v>
      </c>
      <c r="E874" s="57" t="s">
        <v>604</v>
      </c>
      <c r="F874" s="57" t="s">
        <v>605</v>
      </c>
      <c r="G874" s="57" t="s">
        <v>606</v>
      </c>
      <c r="H874" s="57" t="s">
        <v>607</v>
      </c>
      <c r="I874" s="57" t="s">
        <v>2256</v>
      </c>
      <c r="J874" s="57" t="s">
        <v>1527</v>
      </c>
      <c r="K874" s="57" t="s">
        <v>591</v>
      </c>
      <c r="L874" s="31" t="s">
        <v>1478</v>
      </c>
      <c r="M874" s="22">
        <v>144</v>
      </c>
      <c r="N874" s="46">
        <v>350</v>
      </c>
      <c r="O874" s="49">
        <f t="shared" si="18"/>
        <v>50400</v>
      </c>
      <c r="P874" s="5" t="s">
        <v>393</v>
      </c>
      <c r="Q874" s="5" t="s">
        <v>766</v>
      </c>
      <c r="R874" s="11" t="s">
        <v>789</v>
      </c>
      <c r="S874" s="22">
        <v>0</v>
      </c>
    </row>
    <row r="875" spans="1:19" ht="63.75">
      <c r="A875" s="5">
        <v>860</v>
      </c>
      <c r="B875" s="56" t="s">
        <v>710</v>
      </c>
      <c r="C875" s="30" t="s">
        <v>711</v>
      </c>
      <c r="D875" s="5" t="s">
        <v>603</v>
      </c>
      <c r="E875" s="57" t="s">
        <v>604</v>
      </c>
      <c r="F875" s="57" t="s">
        <v>605</v>
      </c>
      <c r="G875" s="57" t="s">
        <v>606</v>
      </c>
      <c r="H875" s="57" t="s">
        <v>607</v>
      </c>
      <c r="I875" s="57" t="s">
        <v>2256</v>
      </c>
      <c r="J875" s="57" t="s">
        <v>1527</v>
      </c>
      <c r="K875" s="57" t="s">
        <v>591</v>
      </c>
      <c r="L875" s="31" t="s">
        <v>1478</v>
      </c>
      <c r="M875" s="22">
        <v>144</v>
      </c>
      <c r="N875" s="46">
        <v>350</v>
      </c>
      <c r="O875" s="49">
        <f t="shared" si="18"/>
        <v>50400</v>
      </c>
      <c r="P875" s="5" t="s">
        <v>393</v>
      </c>
      <c r="Q875" s="5" t="s">
        <v>766</v>
      </c>
      <c r="R875" s="11" t="s">
        <v>2027</v>
      </c>
      <c r="S875" s="5">
        <v>0</v>
      </c>
    </row>
    <row r="876" spans="1:19" ht="63.75">
      <c r="A876" s="5">
        <v>861</v>
      </c>
      <c r="B876" s="56" t="s">
        <v>710</v>
      </c>
      <c r="C876" s="30" t="s">
        <v>711</v>
      </c>
      <c r="D876" s="5" t="s">
        <v>603</v>
      </c>
      <c r="E876" s="57" t="s">
        <v>604</v>
      </c>
      <c r="F876" s="57" t="s">
        <v>605</v>
      </c>
      <c r="G876" s="57" t="s">
        <v>606</v>
      </c>
      <c r="H876" s="57" t="s">
        <v>607</v>
      </c>
      <c r="I876" s="57" t="s">
        <v>2256</v>
      </c>
      <c r="J876" s="57" t="s">
        <v>1527</v>
      </c>
      <c r="K876" s="57" t="s">
        <v>591</v>
      </c>
      <c r="L876" s="31" t="s">
        <v>1478</v>
      </c>
      <c r="M876" s="22">
        <v>144</v>
      </c>
      <c r="N876" s="46">
        <v>350</v>
      </c>
      <c r="O876" s="49">
        <f t="shared" si="18"/>
        <v>50400</v>
      </c>
      <c r="P876" s="5" t="s">
        <v>393</v>
      </c>
      <c r="Q876" s="5" t="s">
        <v>766</v>
      </c>
      <c r="R876" s="11" t="s">
        <v>2023</v>
      </c>
      <c r="S876" s="5">
        <v>0</v>
      </c>
    </row>
    <row r="877" spans="1:19" ht="63.75">
      <c r="A877" s="5">
        <v>862</v>
      </c>
      <c r="B877" s="56" t="s">
        <v>710</v>
      </c>
      <c r="C877" s="30" t="s">
        <v>711</v>
      </c>
      <c r="D877" s="5" t="s">
        <v>603</v>
      </c>
      <c r="E877" s="57" t="s">
        <v>604</v>
      </c>
      <c r="F877" s="57" t="s">
        <v>605</v>
      </c>
      <c r="G877" s="57" t="s">
        <v>606</v>
      </c>
      <c r="H877" s="57" t="s">
        <v>607</v>
      </c>
      <c r="I877" s="57" t="s">
        <v>2256</v>
      </c>
      <c r="J877" s="57" t="s">
        <v>1527</v>
      </c>
      <c r="K877" s="57" t="s">
        <v>591</v>
      </c>
      <c r="L877" s="31" t="s">
        <v>1478</v>
      </c>
      <c r="M877" s="22">
        <v>84</v>
      </c>
      <c r="N877" s="46">
        <f>O877/M877</f>
        <v>600</v>
      </c>
      <c r="O877" s="49">
        <v>50400</v>
      </c>
      <c r="P877" s="5" t="s">
        <v>515</v>
      </c>
      <c r="Q877" s="5" t="s">
        <v>2695</v>
      </c>
      <c r="R877" s="11" t="s">
        <v>633</v>
      </c>
      <c r="S877" s="22">
        <v>0</v>
      </c>
    </row>
    <row r="878" spans="1:19" ht="63.75">
      <c r="A878" s="5">
        <v>863</v>
      </c>
      <c r="B878" s="56" t="s">
        <v>710</v>
      </c>
      <c r="C878" s="30" t="s">
        <v>711</v>
      </c>
      <c r="D878" s="5" t="s">
        <v>603</v>
      </c>
      <c r="E878" s="57" t="s">
        <v>604</v>
      </c>
      <c r="F878" s="57" t="s">
        <v>605</v>
      </c>
      <c r="G878" s="57" t="s">
        <v>606</v>
      </c>
      <c r="H878" s="57" t="s">
        <v>607</v>
      </c>
      <c r="I878" s="57" t="s">
        <v>2256</v>
      </c>
      <c r="J878" s="57" t="s">
        <v>1527</v>
      </c>
      <c r="K878" s="57" t="s">
        <v>591</v>
      </c>
      <c r="L878" s="31" t="s">
        <v>1478</v>
      </c>
      <c r="M878" s="22">
        <v>84</v>
      </c>
      <c r="N878" s="46">
        <f>O878/M878</f>
        <v>600</v>
      </c>
      <c r="O878" s="49">
        <v>50400</v>
      </c>
      <c r="P878" s="5" t="s">
        <v>515</v>
      </c>
      <c r="Q878" s="5" t="s">
        <v>2695</v>
      </c>
      <c r="R878" s="11" t="s">
        <v>694</v>
      </c>
      <c r="S878" s="22">
        <v>0</v>
      </c>
    </row>
    <row r="879" spans="1:19" ht="63.75">
      <c r="A879" s="5">
        <v>864</v>
      </c>
      <c r="B879" s="56" t="s">
        <v>710</v>
      </c>
      <c r="C879" s="30" t="s">
        <v>711</v>
      </c>
      <c r="D879" s="5" t="s">
        <v>603</v>
      </c>
      <c r="E879" s="57" t="s">
        <v>604</v>
      </c>
      <c r="F879" s="57" t="s">
        <v>605</v>
      </c>
      <c r="G879" s="57" t="s">
        <v>606</v>
      </c>
      <c r="H879" s="57" t="s">
        <v>607</v>
      </c>
      <c r="I879" s="57" t="s">
        <v>2256</v>
      </c>
      <c r="J879" s="57" t="s">
        <v>1527</v>
      </c>
      <c r="K879" s="57" t="s">
        <v>591</v>
      </c>
      <c r="L879" s="31" t="s">
        <v>1478</v>
      </c>
      <c r="M879" s="22">
        <v>144</v>
      </c>
      <c r="N879" s="46">
        <v>350</v>
      </c>
      <c r="O879" s="49">
        <f t="shared" si="18"/>
        <v>50400</v>
      </c>
      <c r="P879" s="5" t="s">
        <v>393</v>
      </c>
      <c r="Q879" s="5" t="s">
        <v>766</v>
      </c>
      <c r="R879" s="11">
        <v>311000000</v>
      </c>
      <c r="S879" s="22">
        <v>0</v>
      </c>
    </row>
    <row r="880" spans="1:19" ht="63.75">
      <c r="A880" s="5">
        <v>865</v>
      </c>
      <c r="B880" s="56" t="s">
        <v>710</v>
      </c>
      <c r="C880" s="30" t="s">
        <v>711</v>
      </c>
      <c r="D880" s="5" t="s">
        <v>603</v>
      </c>
      <c r="E880" s="57" t="s">
        <v>604</v>
      </c>
      <c r="F880" s="57" t="s">
        <v>605</v>
      </c>
      <c r="G880" s="57" t="s">
        <v>606</v>
      </c>
      <c r="H880" s="57" t="s">
        <v>607</v>
      </c>
      <c r="I880" s="57" t="s">
        <v>2256</v>
      </c>
      <c r="J880" s="57" t="s">
        <v>1527</v>
      </c>
      <c r="K880" s="57" t="s">
        <v>591</v>
      </c>
      <c r="L880" s="31" t="s">
        <v>1478</v>
      </c>
      <c r="M880" s="22">
        <v>144</v>
      </c>
      <c r="N880" s="46">
        <v>350</v>
      </c>
      <c r="O880" s="49">
        <f t="shared" si="18"/>
        <v>50400</v>
      </c>
      <c r="P880" s="5" t="s">
        <v>393</v>
      </c>
      <c r="Q880" s="5" t="s">
        <v>766</v>
      </c>
      <c r="R880" s="11" t="s">
        <v>2024</v>
      </c>
      <c r="S880" s="5">
        <v>0</v>
      </c>
    </row>
    <row r="881" spans="1:19" ht="63.75">
      <c r="A881" s="5">
        <v>866</v>
      </c>
      <c r="B881" s="56" t="s">
        <v>710</v>
      </c>
      <c r="C881" s="30" t="s">
        <v>711</v>
      </c>
      <c r="D881" s="5" t="s">
        <v>603</v>
      </c>
      <c r="E881" s="57" t="s">
        <v>604</v>
      </c>
      <c r="F881" s="57" t="s">
        <v>605</v>
      </c>
      <c r="G881" s="57" t="s">
        <v>606</v>
      </c>
      <c r="H881" s="57" t="s">
        <v>607</v>
      </c>
      <c r="I881" s="57" t="s">
        <v>2256</v>
      </c>
      <c r="J881" s="57" t="s">
        <v>1527</v>
      </c>
      <c r="K881" s="57" t="s">
        <v>591</v>
      </c>
      <c r="L881" s="31" t="s">
        <v>1478</v>
      </c>
      <c r="M881" s="22">
        <v>144</v>
      </c>
      <c r="N881" s="46">
        <v>350</v>
      </c>
      <c r="O881" s="49">
        <f t="shared" si="18"/>
        <v>50400</v>
      </c>
      <c r="P881" s="5" t="s">
        <v>393</v>
      </c>
      <c r="Q881" s="5" t="s">
        <v>766</v>
      </c>
      <c r="R881" s="11">
        <v>351000000</v>
      </c>
      <c r="S881" s="22">
        <v>0</v>
      </c>
    </row>
    <row r="882" spans="1:19" ht="63.75">
      <c r="A882" s="5">
        <v>867</v>
      </c>
      <c r="B882" s="56" t="s">
        <v>710</v>
      </c>
      <c r="C882" s="30" t="s">
        <v>711</v>
      </c>
      <c r="D882" s="5" t="s">
        <v>603</v>
      </c>
      <c r="E882" s="57" t="s">
        <v>604</v>
      </c>
      <c r="F882" s="57" t="s">
        <v>605</v>
      </c>
      <c r="G882" s="57" t="s">
        <v>606</v>
      </c>
      <c r="H882" s="57" t="s">
        <v>607</v>
      </c>
      <c r="I882" s="57" t="s">
        <v>2256</v>
      </c>
      <c r="J882" s="57" t="s">
        <v>1527</v>
      </c>
      <c r="K882" s="57" t="s">
        <v>591</v>
      </c>
      <c r="L882" s="31" t="s">
        <v>1478</v>
      </c>
      <c r="M882" s="22">
        <v>144</v>
      </c>
      <c r="N882" s="46">
        <v>350</v>
      </c>
      <c r="O882" s="49">
        <f t="shared" si="18"/>
        <v>50400</v>
      </c>
      <c r="P882" s="5" t="s">
        <v>393</v>
      </c>
      <c r="Q882" s="5" t="s">
        <v>766</v>
      </c>
      <c r="R882" s="11" t="s">
        <v>925</v>
      </c>
      <c r="S882" s="22">
        <v>0</v>
      </c>
    </row>
    <row r="883" spans="1:19" ht="63.75">
      <c r="A883" s="5">
        <v>868</v>
      </c>
      <c r="B883" s="56" t="s">
        <v>710</v>
      </c>
      <c r="C883" s="30" t="s">
        <v>711</v>
      </c>
      <c r="D883" s="5" t="s">
        <v>603</v>
      </c>
      <c r="E883" s="57" t="s">
        <v>604</v>
      </c>
      <c r="F883" s="57" t="s">
        <v>605</v>
      </c>
      <c r="G883" s="57" t="s">
        <v>606</v>
      </c>
      <c r="H883" s="57" t="s">
        <v>607</v>
      </c>
      <c r="I883" s="57" t="s">
        <v>2256</v>
      </c>
      <c r="J883" s="57" t="s">
        <v>1527</v>
      </c>
      <c r="K883" s="57" t="s">
        <v>591</v>
      </c>
      <c r="L883" s="31" t="s">
        <v>1478</v>
      </c>
      <c r="M883" s="22">
        <v>144</v>
      </c>
      <c r="N883" s="46">
        <v>350</v>
      </c>
      <c r="O883" s="49">
        <f t="shared" si="18"/>
        <v>50400</v>
      </c>
      <c r="P883" s="5" t="s">
        <v>393</v>
      </c>
      <c r="Q883" s="5" t="s">
        <v>766</v>
      </c>
      <c r="R883" s="11">
        <v>431000000</v>
      </c>
      <c r="S883" s="22">
        <v>0</v>
      </c>
    </row>
    <row r="884" spans="1:19" ht="63.75">
      <c r="A884" s="5">
        <v>869</v>
      </c>
      <c r="B884" s="56" t="s">
        <v>710</v>
      </c>
      <c r="C884" s="30" t="s">
        <v>711</v>
      </c>
      <c r="D884" s="5" t="s">
        <v>603</v>
      </c>
      <c r="E884" s="57" t="s">
        <v>604</v>
      </c>
      <c r="F884" s="57" t="s">
        <v>605</v>
      </c>
      <c r="G884" s="57" t="s">
        <v>606</v>
      </c>
      <c r="H884" s="57" t="s">
        <v>607</v>
      </c>
      <c r="I884" s="57" t="s">
        <v>2256</v>
      </c>
      <c r="J884" s="57" t="s">
        <v>1527</v>
      </c>
      <c r="K884" s="57" t="s">
        <v>591</v>
      </c>
      <c r="L884" s="31" t="s">
        <v>1478</v>
      </c>
      <c r="M884" s="22">
        <v>144</v>
      </c>
      <c r="N884" s="46">
        <v>350</v>
      </c>
      <c r="O884" s="49">
        <f t="shared" si="18"/>
        <v>50400</v>
      </c>
      <c r="P884" s="5" t="s">
        <v>393</v>
      </c>
      <c r="Q884" s="5" t="s">
        <v>766</v>
      </c>
      <c r="R884" s="11" t="s">
        <v>715</v>
      </c>
      <c r="S884" s="5">
        <v>0</v>
      </c>
    </row>
    <row r="885" spans="1:19" ht="63.75">
      <c r="A885" s="5">
        <v>870</v>
      </c>
      <c r="B885" s="56" t="s">
        <v>710</v>
      </c>
      <c r="C885" s="30" t="s">
        <v>711</v>
      </c>
      <c r="D885" s="5" t="s">
        <v>603</v>
      </c>
      <c r="E885" s="57" t="s">
        <v>604</v>
      </c>
      <c r="F885" s="57" t="s">
        <v>605</v>
      </c>
      <c r="G885" s="57" t="s">
        <v>606</v>
      </c>
      <c r="H885" s="57" t="s">
        <v>607</v>
      </c>
      <c r="I885" s="57" t="s">
        <v>2256</v>
      </c>
      <c r="J885" s="57" t="s">
        <v>1527</v>
      </c>
      <c r="K885" s="57" t="s">
        <v>591</v>
      </c>
      <c r="L885" s="31" t="s">
        <v>1478</v>
      </c>
      <c r="M885" s="22">
        <v>144</v>
      </c>
      <c r="N885" s="46">
        <v>350</v>
      </c>
      <c r="O885" s="49">
        <f t="shared" si="18"/>
        <v>50400</v>
      </c>
      <c r="P885" s="5" t="s">
        <v>393</v>
      </c>
      <c r="Q885" s="5" t="s">
        <v>766</v>
      </c>
      <c r="R885" s="11">
        <v>551000000</v>
      </c>
      <c r="S885" s="5">
        <v>0</v>
      </c>
    </row>
    <row r="886" spans="1:19" ht="63.75">
      <c r="A886" s="5">
        <v>871</v>
      </c>
      <c r="B886" s="56" t="s">
        <v>710</v>
      </c>
      <c r="C886" s="30" t="s">
        <v>711</v>
      </c>
      <c r="D886" s="5" t="s">
        <v>603</v>
      </c>
      <c r="E886" s="57" t="s">
        <v>604</v>
      </c>
      <c r="F886" s="57" t="s">
        <v>605</v>
      </c>
      <c r="G886" s="57" t="s">
        <v>606</v>
      </c>
      <c r="H886" s="57" t="s">
        <v>607</v>
      </c>
      <c r="I886" s="57" t="s">
        <v>2256</v>
      </c>
      <c r="J886" s="57" t="s">
        <v>1527</v>
      </c>
      <c r="K886" s="57" t="s">
        <v>591</v>
      </c>
      <c r="L886" s="31" t="s">
        <v>1478</v>
      </c>
      <c r="M886" s="22">
        <v>144</v>
      </c>
      <c r="N886" s="46">
        <v>350</v>
      </c>
      <c r="O886" s="49">
        <f t="shared" si="18"/>
        <v>50400</v>
      </c>
      <c r="P886" s="5" t="s">
        <v>393</v>
      </c>
      <c r="Q886" s="5" t="s">
        <v>766</v>
      </c>
      <c r="R886" s="11">
        <v>591000000</v>
      </c>
      <c r="S886" s="6">
        <v>0</v>
      </c>
    </row>
    <row r="887" spans="1:19" ht="63.75">
      <c r="A887" s="5">
        <v>872</v>
      </c>
      <c r="B887" s="56" t="s">
        <v>710</v>
      </c>
      <c r="C887" s="30" t="s">
        <v>711</v>
      </c>
      <c r="D887" s="5" t="s">
        <v>603</v>
      </c>
      <c r="E887" s="57" t="s">
        <v>604</v>
      </c>
      <c r="F887" s="57" t="s">
        <v>605</v>
      </c>
      <c r="G887" s="57" t="s">
        <v>606</v>
      </c>
      <c r="H887" s="57" t="s">
        <v>607</v>
      </c>
      <c r="I887" s="57" t="s">
        <v>2256</v>
      </c>
      <c r="J887" s="57" t="s">
        <v>1527</v>
      </c>
      <c r="K887" s="57" t="s">
        <v>591</v>
      </c>
      <c r="L887" s="31" t="s">
        <v>1478</v>
      </c>
      <c r="M887" s="22">
        <f>120-36</f>
        <v>84</v>
      </c>
      <c r="N887" s="46">
        <f>O887/M887</f>
        <v>500</v>
      </c>
      <c r="O887" s="49">
        <f>50400-8400</f>
        <v>42000</v>
      </c>
      <c r="P887" s="5" t="s">
        <v>612</v>
      </c>
      <c r="Q887" s="5" t="s">
        <v>766</v>
      </c>
      <c r="R887" s="11" t="s">
        <v>2029</v>
      </c>
      <c r="S887" s="5">
        <v>0</v>
      </c>
    </row>
    <row r="888" spans="1:19" ht="51" outlineLevel="1">
      <c r="A888" s="5">
        <v>873</v>
      </c>
      <c r="B888" s="29" t="s">
        <v>710</v>
      </c>
      <c r="C888" s="5" t="s">
        <v>597</v>
      </c>
      <c r="D888" s="11" t="s">
        <v>1038</v>
      </c>
      <c r="E888" s="57" t="s">
        <v>1734</v>
      </c>
      <c r="F888" s="57" t="s">
        <v>1039</v>
      </c>
      <c r="G888" s="57" t="s">
        <v>1734</v>
      </c>
      <c r="H888" s="57" t="s">
        <v>1228</v>
      </c>
      <c r="I888" s="57" t="s">
        <v>1735</v>
      </c>
      <c r="J888" s="57" t="s">
        <v>100</v>
      </c>
      <c r="K888" s="57" t="s">
        <v>591</v>
      </c>
      <c r="L888" s="11" t="s">
        <v>914</v>
      </c>
      <c r="M888" s="9">
        <v>1</v>
      </c>
      <c r="N888" s="46">
        <v>693589</v>
      </c>
      <c r="O888" s="49">
        <f t="shared" si="18"/>
        <v>693589</v>
      </c>
      <c r="P888" s="14" t="s">
        <v>391</v>
      </c>
      <c r="Q888" s="5" t="s">
        <v>766</v>
      </c>
      <c r="R888" s="11" t="s">
        <v>1175</v>
      </c>
      <c r="S888" s="14">
        <v>0</v>
      </c>
    </row>
    <row r="889" spans="1:19" ht="51" outlineLevel="1">
      <c r="A889" s="5">
        <v>874</v>
      </c>
      <c r="B889" s="29" t="s">
        <v>710</v>
      </c>
      <c r="C889" s="5" t="s">
        <v>597</v>
      </c>
      <c r="D889" s="11" t="s">
        <v>850</v>
      </c>
      <c r="E889" s="57" t="s">
        <v>1736</v>
      </c>
      <c r="F889" s="57" t="s">
        <v>851</v>
      </c>
      <c r="G889" s="57" t="s">
        <v>1737</v>
      </c>
      <c r="H889" s="57" t="s">
        <v>852</v>
      </c>
      <c r="I889" s="57" t="s">
        <v>1738</v>
      </c>
      <c r="J889" s="57" t="s">
        <v>101</v>
      </c>
      <c r="K889" s="57" t="s">
        <v>1484</v>
      </c>
      <c r="L889" s="11" t="s">
        <v>914</v>
      </c>
      <c r="M889" s="9">
        <v>1</v>
      </c>
      <c r="N889" s="46">
        <f>O889/M889</f>
        <v>4985718</v>
      </c>
      <c r="O889" s="49">
        <f>5875718-890000</f>
        <v>4985718</v>
      </c>
      <c r="P889" s="14" t="s">
        <v>391</v>
      </c>
      <c r="Q889" s="5" t="s">
        <v>766</v>
      </c>
      <c r="R889" s="11" t="s">
        <v>1175</v>
      </c>
      <c r="S889" s="14">
        <v>0</v>
      </c>
    </row>
    <row r="890" spans="1:19" ht="63.75" outlineLevel="1">
      <c r="A890" s="5">
        <v>875</v>
      </c>
      <c r="B890" s="29" t="s">
        <v>710</v>
      </c>
      <c r="C890" s="5" t="s">
        <v>597</v>
      </c>
      <c r="D890" s="11" t="s">
        <v>483</v>
      </c>
      <c r="E890" s="57" t="s">
        <v>1739</v>
      </c>
      <c r="F890" s="57" t="s">
        <v>484</v>
      </c>
      <c r="G890" s="57" t="s">
        <v>1739</v>
      </c>
      <c r="H890" s="57" t="s">
        <v>913</v>
      </c>
      <c r="I890" s="57" t="s">
        <v>1740</v>
      </c>
      <c r="J890" s="57" t="s">
        <v>241</v>
      </c>
      <c r="K890" s="57" t="s">
        <v>591</v>
      </c>
      <c r="L890" s="11" t="s">
        <v>914</v>
      </c>
      <c r="M890" s="9">
        <v>1</v>
      </c>
      <c r="N890" s="46">
        <v>2627232</v>
      </c>
      <c r="O890" s="49">
        <f t="shared" si="18"/>
        <v>2627232</v>
      </c>
      <c r="P890" s="14" t="s">
        <v>391</v>
      </c>
      <c r="Q890" s="5" t="s">
        <v>766</v>
      </c>
      <c r="R890" s="11" t="s">
        <v>1175</v>
      </c>
      <c r="S890" s="14">
        <v>0</v>
      </c>
    </row>
    <row r="891" spans="1:19" ht="63.75" outlineLevel="1">
      <c r="A891" s="5">
        <v>876</v>
      </c>
      <c r="B891" s="29" t="s">
        <v>710</v>
      </c>
      <c r="C891" s="5" t="s">
        <v>597</v>
      </c>
      <c r="D891" s="11" t="s">
        <v>1229</v>
      </c>
      <c r="E891" s="57" t="s">
        <v>1741</v>
      </c>
      <c r="F891" s="57" t="s">
        <v>1230</v>
      </c>
      <c r="G891" s="57" t="s">
        <v>1741</v>
      </c>
      <c r="H891" s="57" t="s">
        <v>1230</v>
      </c>
      <c r="I891" s="57" t="s">
        <v>1742</v>
      </c>
      <c r="J891" s="57" t="s">
        <v>32</v>
      </c>
      <c r="K891" s="57" t="s">
        <v>591</v>
      </c>
      <c r="L891" s="11" t="s">
        <v>914</v>
      </c>
      <c r="M891" s="9">
        <v>1</v>
      </c>
      <c r="N891" s="46">
        <f>O891/M891</f>
        <v>722250</v>
      </c>
      <c r="O891" s="49">
        <f>1471250-749000</f>
        <v>722250</v>
      </c>
      <c r="P891" s="14" t="s">
        <v>391</v>
      </c>
      <c r="Q891" s="5" t="s">
        <v>766</v>
      </c>
      <c r="R891" s="11" t="s">
        <v>1175</v>
      </c>
      <c r="S891" s="14">
        <v>0</v>
      </c>
    </row>
    <row r="892" spans="1:19" ht="63.75" outlineLevel="1">
      <c r="A892" s="5">
        <v>877</v>
      </c>
      <c r="B892" s="29" t="s">
        <v>710</v>
      </c>
      <c r="C892" s="5" t="s">
        <v>597</v>
      </c>
      <c r="D892" s="11" t="s">
        <v>1231</v>
      </c>
      <c r="E892" s="57" t="s">
        <v>1743</v>
      </c>
      <c r="F892" s="57" t="s">
        <v>1232</v>
      </c>
      <c r="G892" s="57" t="s">
        <v>1744</v>
      </c>
      <c r="H892" s="57" t="s">
        <v>1233</v>
      </c>
      <c r="I892" s="57" t="s">
        <v>1745</v>
      </c>
      <c r="J892" s="57" t="s">
        <v>242</v>
      </c>
      <c r="K892" s="57" t="s">
        <v>591</v>
      </c>
      <c r="L892" s="11" t="s">
        <v>914</v>
      </c>
      <c r="M892" s="9">
        <v>1</v>
      </c>
      <c r="N892" s="46">
        <v>2977259</v>
      </c>
      <c r="O892" s="49">
        <f t="shared" si="18"/>
        <v>2977259</v>
      </c>
      <c r="P892" s="14" t="s">
        <v>515</v>
      </c>
      <c r="Q892" s="15" t="s">
        <v>1471</v>
      </c>
      <c r="R892" s="11" t="s">
        <v>1175</v>
      </c>
      <c r="S892" s="14">
        <v>100</v>
      </c>
    </row>
    <row r="893" spans="1:19" ht="63.75">
      <c r="A893" s="5">
        <v>878</v>
      </c>
      <c r="B893" s="29" t="s">
        <v>710</v>
      </c>
      <c r="C893" s="5" t="s">
        <v>597</v>
      </c>
      <c r="D893" s="11" t="s">
        <v>1234</v>
      </c>
      <c r="E893" s="57" t="s">
        <v>1746</v>
      </c>
      <c r="F893" s="57" t="s">
        <v>1235</v>
      </c>
      <c r="G893" s="57" t="s">
        <v>1747</v>
      </c>
      <c r="H893" s="57" t="s">
        <v>1236</v>
      </c>
      <c r="I893" s="57" t="s">
        <v>1748</v>
      </c>
      <c r="J893" s="57" t="s">
        <v>36</v>
      </c>
      <c r="K893" s="57" t="s">
        <v>1484</v>
      </c>
      <c r="L893" s="11" t="s">
        <v>914</v>
      </c>
      <c r="M893" s="9">
        <v>1</v>
      </c>
      <c r="N893" s="46">
        <v>3439286</v>
      </c>
      <c r="O893" s="49">
        <f t="shared" si="18"/>
        <v>3439286</v>
      </c>
      <c r="P893" s="14" t="s">
        <v>391</v>
      </c>
      <c r="Q893" s="5" t="s">
        <v>766</v>
      </c>
      <c r="R893" s="11" t="s">
        <v>1175</v>
      </c>
      <c r="S893" s="14">
        <v>0</v>
      </c>
    </row>
    <row r="894" spans="1:19" ht="63.75" outlineLevel="1">
      <c r="A894" s="5">
        <v>879</v>
      </c>
      <c r="B894" s="29" t="s">
        <v>710</v>
      </c>
      <c r="C894" s="5" t="s">
        <v>597</v>
      </c>
      <c r="D894" s="11" t="s">
        <v>1237</v>
      </c>
      <c r="E894" s="57" t="s">
        <v>1749</v>
      </c>
      <c r="F894" s="57" t="s">
        <v>1238</v>
      </c>
      <c r="G894" s="57" t="s">
        <v>1749</v>
      </c>
      <c r="H894" s="57" t="s">
        <v>1239</v>
      </c>
      <c r="I894" s="57" t="s">
        <v>1750</v>
      </c>
      <c r="J894" s="57" t="s">
        <v>243</v>
      </c>
      <c r="K894" s="57" t="s">
        <v>1484</v>
      </c>
      <c r="L894" s="11" t="s">
        <v>914</v>
      </c>
      <c r="M894" s="9">
        <v>1</v>
      </c>
      <c r="N894" s="46">
        <v>3750000</v>
      </c>
      <c r="O894" s="49">
        <f t="shared" si="18"/>
        <v>3750000</v>
      </c>
      <c r="P894" s="14" t="s">
        <v>515</v>
      </c>
      <c r="Q894" s="15" t="s">
        <v>1471</v>
      </c>
      <c r="R894" s="11" t="s">
        <v>1175</v>
      </c>
      <c r="S894" s="14">
        <v>100</v>
      </c>
    </row>
    <row r="895" spans="1:19" ht="165.75" outlineLevel="1">
      <c r="A895" s="5">
        <v>880</v>
      </c>
      <c r="B895" s="29" t="s">
        <v>710</v>
      </c>
      <c r="C895" s="5" t="s">
        <v>597</v>
      </c>
      <c r="D895" s="11" t="s">
        <v>1240</v>
      </c>
      <c r="E895" s="57" t="s">
        <v>1751</v>
      </c>
      <c r="F895" s="57" t="s">
        <v>1241</v>
      </c>
      <c r="G895" s="57" t="s">
        <v>1752</v>
      </c>
      <c r="H895" s="57" t="s">
        <v>1242</v>
      </c>
      <c r="I895" s="57" t="s">
        <v>1753</v>
      </c>
      <c r="J895" s="57" t="s">
        <v>244</v>
      </c>
      <c r="K895" s="57" t="s">
        <v>591</v>
      </c>
      <c r="L895" s="11" t="s">
        <v>914</v>
      </c>
      <c r="M895" s="9">
        <v>1</v>
      </c>
      <c r="N895" s="46">
        <v>1607143</v>
      </c>
      <c r="O895" s="49">
        <f t="shared" si="18"/>
        <v>1607143</v>
      </c>
      <c r="P895" s="14" t="s">
        <v>612</v>
      </c>
      <c r="Q895" s="15" t="s">
        <v>1471</v>
      </c>
      <c r="R895" s="11" t="s">
        <v>1175</v>
      </c>
      <c r="S895" s="14">
        <v>100</v>
      </c>
    </row>
    <row r="896" spans="1:19" ht="63.75" outlineLevel="1">
      <c r="A896" s="5">
        <v>881</v>
      </c>
      <c r="B896" s="29" t="s">
        <v>710</v>
      </c>
      <c r="C896" s="5" t="s">
        <v>597</v>
      </c>
      <c r="D896" s="11" t="s">
        <v>1243</v>
      </c>
      <c r="E896" s="57" t="s">
        <v>1754</v>
      </c>
      <c r="F896" s="57" t="s">
        <v>1244</v>
      </c>
      <c r="G896" s="57" t="s">
        <v>1754</v>
      </c>
      <c r="H896" s="57" t="s">
        <v>1244</v>
      </c>
      <c r="I896" s="57" t="s">
        <v>1755</v>
      </c>
      <c r="J896" s="57" t="s">
        <v>245</v>
      </c>
      <c r="K896" s="57" t="s">
        <v>591</v>
      </c>
      <c r="L896" s="11" t="s">
        <v>914</v>
      </c>
      <c r="M896" s="9">
        <v>1</v>
      </c>
      <c r="N896" s="46">
        <v>118464</v>
      </c>
      <c r="O896" s="49">
        <f t="shared" si="18"/>
        <v>118464</v>
      </c>
      <c r="P896" s="14" t="s">
        <v>866</v>
      </c>
      <c r="Q896" s="15" t="s">
        <v>1471</v>
      </c>
      <c r="R896" s="11" t="s">
        <v>1175</v>
      </c>
      <c r="S896" s="14">
        <v>100</v>
      </c>
    </row>
    <row r="897" spans="1:19" ht="51" outlineLevel="1">
      <c r="A897" s="5">
        <v>882</v>
      </c>
      <c r="B897" s="15" t="s">
        <v>710</v>
      </c>
      <c r="C897" s="5" t="s">
        <v>597</v>
      </c>
      <c r="D897" s="11" t="s">
        <v>1245</v>
      </c>
      <c r="E897" s="57" t="s">
        <v>1756</v>
      </c>
      <c r="F897" s="57" t="s">
        <v>1246</v>
      </c>
      <c r="G897" s="57" t="s">
        <v>1756</v>
      </c>
      <c r="H897" s="57" t="s">
        <v>1247</v>
      </c>
      <c r="I897" s="57" t="s">
        <v>1757</v>
      </c>
      <c r="J897" s="57" t="s">
        <v>246</v>
      </c>
      <c r="K897" s="57" t="s">
        <v>591</v>
      </c>
      <c r="L897" s="11" t="s">
        <v>914</v>
      </c>
      <c r="M897" s="9">
        <v>1</v>
      </c>
      <c r="N897" s="46">
        <v>2285714</v>
      </c>
      <c r="O897" s="49">
        <f t="shared" si="18"/>
        <v>2285714</v>
      </c>
      <c r="P897" s="14" t="s">
        <v>391</v>
      </c>
      <c r="Q897" s="5" t="s">
        <v>766</v>
      </c>
      <c r="R897" s="11" t="s">
        <v>1175</v>
      </c>
      <c r="S897" s="14">
        <v>0</v>
      </c>
    </row>
    <row r="898" spans="1:19" ht="153" outlineLevel="1">
      <c r="A898" s="5">
        <v>883</v>
      </c>
      <c r="B898" s="15" t="s">
        <v>710</v>
      </c>
      <c r="C898" s="5" t="s">
        <v>597</v>
      </c>
      <c r="D898" s="11" t="s">
        <v>1248</v>
      </c>
      <c r="E898" s="57" t="s">
        <v>1758</v>
      </c>
      <c r="F898" s="57" t="s">
        <v>1249</v>
      </c>
      <c r="G898" s="57" t="s">
        <v>1759</v>
      </c>
      <c r="H898" s="57" t="s">
        <v>1250</v>
      </c>
      <c r="I898" s="57" t="s">
        <v>1760</v>
      </c>
      <c r="J898" s="57" t="s">
        <v>247</v>
      </c>
      <c r="K898" s="57" t="s">
        <v>591</v>
      </c>
      <c r="L898" s="11" t="s">
        <v>914</v>
      </c>
      <c r="M898" s="9">
        <v>1</v>
      </c>
      <c r="N898" s="46">
        <f>O898/M898</f>
        <v>0</v>
      </c>
      <c r="O898" s="49">
        <f>5443550-2320162-615714-150000-535714-163800-506756-289643-861761</f>
        <v>0</v>
      </c>
      <c r="P898" s="14" t="s">
        <v>698</v>
      </c>
      <c r="Q898" s="15" t="s">
        <v>1471</v>
      </c>
      <c r="R898" s="11" t="s">
        <v>1175</v>
      </c>
      <c r="S898" s="14">
        <v>100</v>
      </c>
    </row>
    <row r="899" spans="1:19" ht="153" outlineLevel="1">
      <c r="A899" s="5">
        <v>884</v>
      </c>
      <c r="B899" s="15" t="s">
        <v>710</v>
      </c>
      <c r="C899" s="5" t="s">
        <v>597</v>
      </c>
      <c r="D899" s="11" t="s">
        <v>1248</v>
      </c>
      <c r="E899" s="57" t="s">
        <v>1758</v>
      </c>
      <c r="F899" s="57" t="s">
        <v>1249</v>
      </c>
      <c r="G899" s="57" t="s">
        <v>1759</v>
      </c>
      <c r="H899" s="57" t="s">
        <v>1250</v>
      </c>
      <c r="I899" s="57" t="s">
        <v>1761</v>
      </c>
      <c r="J899" s="57" t="s">
        <v>248</v>
      </c>
      <c r="K899" s="57" t="s">
        <v>591</v>
      </c>
      <c r="L899" s="11" t="s">
        <v>914</v>
      </c>
      <c r="M899" s="9">
        <v>1</v>
      </c>
      <c r="N899" s="46">
        <f>O899/M899</f>
        <v>0</v>
      </c>
      <c r="O899" s="49">
        <f>1387543-1387543</f>
        <v>0</v>
      </c>
      <c r="P899" s="14" t="s">
        <v>698</v>
      </c>
      <c r="Q899" s="15" t="s">
        <v>1471</v>
      </c>
      <c r="R899" s="11" t="s">
        <v>1175</v>
      </c>
      <c r="S899" s="14">
        <v>100</v>
      </c>
    </row>
    <row r="900" spans="1:19" ht="153" outlineLevel="1">
      <c r="A900" s="5">
        <v>885</v>
      </c>
      <c r="B900" s="15" t="s">
        <v>710</v>
      </c>
      <c r="C900" s="5" t="s">
        <v>597</v>
      </c>
      <c r="D900" s="11" t="s">
        <v>1248</v>
      </c>
      <c r="E900" s="57" t="s">
        <v>1758</v>
      </c>
      <c r="F900" s="57" t="s">
        <v>1249</v>
      </c>
      <c r="G900" s="57" t="s">
        <v>1759</v>
      </c>
      <c r="H900" s="57" t="s">
        <v>1250</v>
      </c>
      <c r="I900" s="57" t="s">
        <v>1762</v>
      </c>
      <c r="J900" s="57" t="s">
        <v>249</v>
      </c>
      <c r="K900" s="57" t="s">
        <v>591</v>
      </c>
      <c r="L900" s="11" t="s">
        <v>914</v>
      </c>
      <c r="M900" s="9">
        <v>1</v>
      </c>
      <c r="N900" s="46">
        <f>O900/M900</f>
        <v>0</v>
      </c>
      <c r="O900" s="49">
        <f>170725-170725</f>
        <v>0</v>
      </c>
      <c r="P900" s="14" t="s">
        <v>698</v>
      </c>
      <c r="Q900" s="15" t="s">
        <v>1471</v>
      </c>
      <c r="R900" s="11" t="s">
        <v>1175</v>
      </c>
      <c r="S900" s="14">
        <v>100</v>
      </c>
    </row>
    <row r="901" spans="1:19" ht="153" outlineLevel="1">
      <c r="A901" s="5">
        <v>886</v>
      </c>
      <c r="B901" s="15" t="s">
        <v>710</v>
      </c>
      <c r="C901" s="5" t="s">
        <v>597</v>
      </c>
      <c r="D901" s="11" t="s">
        <v>1248</v>
      </c>
      <c r="E901" s="57" t="s">
        <v>1758</v>
      </c>
      <c r="F901" s="57" t="s">
        <v>1249</v>
      </c>
      <c r="G901" s="57" t="s">
        <v>1759</v>
      </c>
      <c r="H901" s="57" t="s">
        <v>1250</v>
      </c>
      <c r="I901" s="57" t="s">
        <v>1763</v>
      </c>
      <c r="J901" s="57" t="s">
        <v>250</v>
      </c>
      <c r="K901" s="57" t="s">
        <v>591</v>
      </c>
      <c r="L901" s="11" t="s">
        <v>914</v>
      </c>
      <c r="M901" s="9">
        <v>1</v>
      </c>
      <c r="N901" s="46">
        <f>O901/M901</f>
        <v>0</v>
      </c>
      <c r="O901" s="49">
        <f>816875-816875</f>
        <v>0</v>
      </c>
      <c r="P901" s="14" t="s">
        <v>698</v>
      </c>
      <c r="Q901" s="15" t="s">
        <v>1471</v>
      </c>
      <c r="R901" s="11" t="s">
        <v>1175</v>
      </c>
      <c r="S901" s="14">
        <v>0</v>
      </c>
    </row>
    <row r="902" spans="1:19" ht="51" outlineLevel="1">
      <c r="A902" s="5">
        <v>887</v>
      </c>
      <c r="B902" s="15" t="s">
        <v>710</v>
      </c>
      <c r="C902" s="5" t="s">
        <v>597</v>
      </c>
      <c r="D902" s="11" t="s">
        <v>1251</v>
      </c>
      <c r="E902" s="57" t="s">
        <v>1764</v>
      </c>
      <c r="F902" s="57" t="s">
        <v>1252</v>
      </c>
      <c r="G902" s="57" t="s">
        <v>1764</v>
      </c>
      <c r="H902" s="57" t="s">
        <v>1252</v>
      </c>
      <c r="I902" s="57" t="s">
        <v>1765</v>
      </c>
      <c r="J902" s="57" t="s">
        <v>251</v>
      </c>
      <c r="K902" s="57" t="s">
        <v>591</v>
      </c>
      <c r="L902" s="11" t="s">
        <v>914</v>
      </c>
      <c r="M902" s="9">
        <v>1</v>
      </c>
      <c r="N902" s="46">
        <f>O902/M902</f>
        <v>123286</v>
      </c>
      <c r="O902" s="49">
        <f>676286-553000</f>
        <v>123286</v>
      </c>
      <c r="P902" s="14" t="s">
        <v>391</v>
      </c>
      <c r="Q902" s="5" t="s">
        <v>766</v>
      </c>
      <c r="R902" s="11" t="s">
        <v>1175</v>
      </c>
      <c r="S902" s="14">
        <v>0</v>
      </c>
    </row>
    <row r="903" spans="1:19" ht="153" outlineLevel="1">
      <c r="A903" s="5">
        <v>888</v>
      </c>
      <c r="B903" s="15" t="s">
        <v>710</v>
      </c>
      <c r="C903" s="5" t="s">
        <v>597</v>
      </c>
      <c r="D903" s="11" t="s">
        <v>1319</v>
      </c>
      <c r="E903" s="57" t="s">
        <v>1766</v>
      </c>
      <c r="F903" s="57" t="s">
        <v>1320</v>
      </c>
      <c r="G903" s="57" t="s">
        <v>1767</v>
      </c>
      <c r="H903" s="57" t="s">
        <v>1321</v>
      </c>
      <c r="I903" s="57" t="s">
        <v>1768</v>
      </c>
      <c r="J903" s="57" t="s">
        <v>252</v>
      </c>
      <c r="K903" s="57" t="s">
        <v>591</v>
      </c>
      <c r="L903" s="11" t="s">
        <v>914</v>
      </c>
      <c r="M903" s="22">
        <v>1</v>
      </c>
      <c r="N903" s="46">
        <v>2765714</v>
      </c>
      <c r="O903" s="49">
        <f t="shared" si="18"/>
        <v>2765714</v>
      </c>
      <c r="P903" s="5" t="s">
        <v>393</v>
      </c>
      <c r="Q903" s="5" t="s">
        <v>766</v>
      </c>
      <c r="R903" s="11" t="s">
        <v>1175</v>
      </c>
      <c r="S903" s="14">
        <v>0</v>
      </c>
    </row>
    <row r="904" spans="1:19" ht="153" outlineLevel="1">
      <c r="A904" s="5">
        <v>889</v>
      </c>
      <c r="B904" s="15" t="s">
        <v>710</v>
      </c>
      <c r="C904" s="5" t="s">
        <v>597</v>
      </c>
      <c r="D904" s="11" t="s">
        <v>1322</v>
      </c>
      <c r="E904" s="57" t="s">
        <v>1769</v>
      </c>
      <c r="F904" s="57" t="s">
        <v>1323</v>
      </c>
      <c r="G904" s="57" t="s">
        <v>1767</v>
      </c>
      <c r="H904" s="57" t="s">
        <v>1321</v>
      </c>
      <c r="I904" s="57" t="s">
        <v>1770</v>
      </c>
      <c r="J904" s="57" t="s">
        <v>253</v>
      </c>
      <c r="K904" s="57" t="s">
        <v>591</v>
      </c>
      <c r="L904" s="11" t="s">
        <v>914</v>
      </c>
      <c r="M904" s="22">
        <v>1</v>
      </c>
      <c r="N904" s="46">
        <v>1296429</v>
      </c>
      <c r="O904" s="49">
        <f t="shared" si="18"/>
        <v>1296429</v>
      </c>
      <c r="P904" s="5" t="s">
        <v>393</v>
      </c>
      <c r="Q904" s="5" t="s">
        <v>766</v>
      </c>
      <c r="R904" s="11" t="s">
        <v>1175</v>
      </c>
      <c r="S904" s="14">
        <v>0</v>
      </c>
    </row>
    <row r="905" spans="1:19" ht="153" outlineLevel="1">
      <c r="A905" s="5">
        <v>890</v>
      </c>
      <c r="B905" s="15" t="s">
        <v>710</v>
      </c>
      <c r="C905" s="5" t="s">
        <v>597</v>
      </c>
      <c r="D905" s="11" t="s">
        <v>1324</v>
      </c>
      <c r="E905" s="57" t="s">
        <v>1771</v>
      </c>
      <c r="F905" s="57" t="s">
        <v>1325</v>
      </c>
      <c r="G905" s="57" t="s">
        <v>1767</v>
      </c>
      <c r="H905" s="57" t="s">
        <v>1321</v>
      </c>
      <c r="I905" s="57" t="s">
        <v>1772</v>
      </c>
      <c r="J905" s="57" t="s">
        <v>254</v>
      </c>
      <c r="K905" s="57" t="s">
        <v>591</v>
      </c>
      <c r="L905" s="11" t="s">
        <v>914</v>
      </c>
      <c r="M905" s="22">
        <v>1</v>
      </c>
      <c r="N905" s="46">
        <v>1555714</v>
      </c>
      <c r="O905" s="49">
        <f t="shared" si="18"/>
        <v>1555714</v>
      </c>
      <c r="P905" s="5" t="s">
        <v>393</v>
      </c>
      <c r="Q905" s="5" t="s">
        <v>766</v>
      </c>
      <c r="R905" s="11" t="s">
        <v>1175</v>
      </c>
      <c r="S905" s="14">
        <v>0</v>
      </c>
    </row>
    <row r="906" spans="1:19" ht="63.75" outlineLevel="1">
      <c r="A906" s="5">
        <v>891</v>
      </c>
      <c r="B906" s="15" t="s">
        <v>710</v>
      </c>
      <c r="C906" s="5" t="s">
        <v>597</v>
      </c>
      <c r="D906" s="11" t="s">
        <v>483</v>
      </c>
      <c r="E906" s="57" t="s">
        <v>1774</v>
      </c>
      <c r="F906" s="57" t="s">
        <v>1775</v>
      </c>
      <c r="G906" s="57" t="s">
        <v>1774</v>
      </c>
      <c r="H906" s="57" t="s">
        <v>484</v>
      </c>
      <c r="I906" s="57" t="s">
        <v>1773</v>
      </c>
      <c r="J906" s="57" t="s">
        <v>255</v>
      </c>
      <c r="K906" s="57" t="s">
        <v>591</v>
      </c>
      <c r="L906" s="11" t="s">
        <v>914</v>
      </c>
      <c r="M906" s="22">
        <v>1</v>
      </c>
      <c r="N906" s="46">
        <v>605000</v>
      </c>
      <c r="O906" s="49">
        <f t="shared" si="18"/>
        <v>605000</v>
      </c>
      <c r="P906" s="5" t="s">
        <v>391</v>
      </c>
      <c r="Q906" s="5" t="s">
        <v>766</v>
      </c>
      <c r="R906" s="11" t="s">
        <v>1175</v>
      </c>
      <c r="S906" s="14">
        <v>0</v>
      </c>
    </row>
    <row r="907" spans="1:19" ht="63.75" outlineLevel="1">
      <c r="A907" s="5">
        <v>892</v>
      </c>
      <c r="B907" s="15" t="s">
        <v>710</v>
      </c>
      <c r="C907" s="5" t="s">
        <v>597</v>
      </c>
      <c r="D907" s="11" t="s">
        <v>1326</v>
      </c>
      <c r="E907" s="57" t="s">
        <v>1776</v>
      </c>
      <c r="F907" s="57" t="s">
        <v>1327</v>
      </c>
      <c r="G907" s="57" t="s">
        <v>1777</v>
      </c>
      <c r="H907" s="57" t="s">
        <v>1328</v>
      </c>
      <c r="I907" s="57" t="s">
        <v>1778</v>
      </c>
      <c r="J907" s="57" t="s">
        <v>37</v>
      </c>
      <c r="K907" s="57" t="s">
        <v>591</v>
      </c>
      <c r="L907" s="11" t="s">
        <v>914</v>
      </c>
      <c r="M907" s="22">
        <v>1</v>
      </c>
      <c r="N907" s="46">
        <f>O907/M907</f>
        <v>2902143</v>
      </c>
      <c r="O907" s="46">
        <f>2142857+759286</f>
        <v>2902143</v>
      </c>
      <c r="P907" s="5" t="s">
        <v>506</v>
      </c>
      <c r="Q907" s="5" t="s">
        <v>766</v>
      </c>
      <c r="R907" s="11" t="s">
        <v>1175</v>
      </c>
      <c r="S907" s="14">
        <v>0</v>
      </c>
    </row>
    <row r="908" spans="1:19" ht="51" outlineLevel="1">
      <c r="A908" s="5">
        <v>893</v>
      </c>
      <c r="B908" s="15" t="s">
        <v>710</v>
      </c>
      <c r="C908" s="5" t="s">
        <v>597</v>
      </c>
      <c r="D908" s="117" t="s">
        <v>1126</v>
      </c>
      <c r="E908" s="57" t="s">
        <v>2382</v>
      </c>
      <c r="F908" s="57" t="s">
        <v>1127</v>
      </c>
      <c r="G908" s="57" t="s">
        <v>2382</v>
      </c>
      <c r="H908" s="57" t="s">
        <v>1127</v>
      </c>
      <c r="I908" s="57" t="s">
        <v>1779</v>
      </c>
      <c r="J908" s="57" t="s">
        <v>256</v>
      </c>
      <c r="K908" s="57" t="s">
        <v>591</v>
      </c>
      <c r="L908" s="11" t="s">
        <v>914</v>
      </c>
      <c r="M908" s="22">
        <v>1</v>
      </c>
      <c r="N908" s="46">
        <f>O908/M908</f>
        <v>1335714</v>
      </c>
      <c r="O908" s="49">
        <f>535714+800000</f>
        <v>1335714</v>
      </c>
      <c r="P908" s="5" t="s">
        <v>393</v>
      </c>
      <c r="Q908" s="5" t="s">
        <v>766</v>
      </c>
      <c r="R908" s="11" t="s">
        <v>1175</v>
      </c>
      <c r="S908" s="22">
        <v>0</v>
      </c>
    </row>
    <row r="909" spans="1:19" ht="51" outlineLevel="1">
      <c r="A909" s="5">
        <v>894</v>
      </c>
      <c r="B909" s="15" t="s">
        <v>710</v>
      </c>
      <c r="C909" s="5" t="s">
        <v>597</v>
      </c>
      <c r="D909" s="117" t="s">
        <v>1128</v>
      </c>
      <c r="E909" s="57" t="s">
        <v>2383</v>
      </c>
      <c r="F909" s="57" t="s">
        <v>1129</v>
      </c>
      <c r="G909" s="57" t="s">
        <v>2384</v>
      </c>
      <c r="H909" s="57" t="s">
        <v>1130</v>
      </c>
      <c r="I909" s="57" t="s">
        <v>1780</v>
      </c>
      <c r="J909" s="57" t="s">
        <v>33</v>
      </c>
      <c r="K909" s="57" t="s">
        <v>591</v>
      </c>
      <c r="L909" s="11" t="s">
        <v>914</v>
      </c>
      <c r="M909" s="22">
        <v>1</v>
      </c>
      <c r="N909" s="46">
        <f>O909/M909</f>
        <v>0</v>
      </c>
      <c r="O909" s="49">
        <f>142857-142857</f>
        <v>0</v>
      </c>
      <c r="P909" s="5" t="s">
        <v>506</v>
      </c>
      <c r="Q909" s="5" t="s">
        <v>766</v>
      </c>
      <c r="R909" s="11" t="s">
        <v>1175</v>
      </c>
      <c r="S909" s="22">
        <v>0</v>
      </c>
    </row>
    <row r="910" spans="1:19" ht="51" outlineLevel="1">
      <c r="A910" s="5">
        <v>895</v>
      </c>
      <c r="B910" s="15" t="s">
        <v>710</v>
      </c>
      <c r="C910" s="5" t="s">
        <v>597</v>
      </c>
      <c r="D910" s="117" t="s">
        <v>695</v>
      </c>
      <c r="E910" s="57" t="s">
        <v>1781</v>
      </c>
      <c r="F910" s="57" t="s">
        <v>696</v>
      </c>
      <c r="G910" s="57" t="s">
        <v>1781</v>
      </c>
      <c r="H910" s="57" t="s">
        <v>696</v>
      </c>
      <c r="I910" s="57" t="s">
        <v>1782</v>
      </c>
      <c r="J910" s="57" t="s">
        <v>34</v>
      </c>
      <c r="K910" s="57" t="s">
        <v>591</v>
      </c>
      <c r="L910" s="11" t="s">
        <v>914</v>
      </c>
      <c r="M910" s="22">
        <v>1</v>
      </c>
      <c r="N910" s="46">
        <v>1339286</v>
      </c>
      <c r="O910" s="49">
        <f t="shared" si="18"/>
        <v>1339286</v>
      </c>
      <c r="P910" s="5" t="s">
        <v>501</v>
      </c>
      <c r="Q910" s="5" t="s">
        <v>766</v>
      </c>
      <c r="R910" s="11" t="s">
        <v>1175</v>
      </c>
      <c r="S910" s="22">
        <v>0</v>
      </c>
    </row>
    <row r="911" spans="1:19" ht="89.25" outlineLevel="1">
      <c r="A911" s="5">
        <v>896</v>
      </c>
      <c r="B911" s="15" t="s">
        <v>710</v>
      </c>
      <c r="C911" s="5" t="s">
        <v>1464</v>
      </c>
      <c r="D911" s="117" t="s">
        <v>1131</v>
      </c>
      <c r="E911" s="57" t="s">
        <v>2378</v>
      </c>
      <c r="F911" s="57" t="s">
        <v>1132</v>
      </c>
      <c r="G911" s="57" t="s">
        <v>1783</v>
      </c>
      <c r="H911" s="57" t="s">
        <v>1133</v>
      </c>
      <c r="I911" s="57" t="s">
        <v>2379</v>
      </c>
      <c r="J911" s="57" t="s">
        <v>35</v>
      </c>
      <c r="K911" s="57" t="s">
        <v>591</v>
      </c>
      <c r="L911" s="5" t="s">
        <v>1464</v>
      </c>
      <c r="M911" s="22">
        <v>1</v>
      </c>
      <c r="N911" s="46">
        <f>O911/M911</f>
        <v>0</v>
      </c>
      <c r="O911" s="49">
        <f>107143-107143</f>
        <v>0</v>
      </c>
      <c r="P911" s="5" t="s">
        <v>612</v>
      </c>
      <c r="Q911" s="5" t="s">
        <v>766</v>
      </c>
      <c r="R911" s="11" t="s">
        <v>1175</v>
      </c>
      <c r="S911" s="22">
        <v>0</v>
      </c>
    </row>
    <row r="912" spans="1:19" ht="51" outlineLevel="1">
      <c r="A912" s="5">
        <v>897</v>
      </c>
      <c r="B912" s="29" t="s">
        <v>710</v>
      </c>
      <c r="C912" s="35" t="s">
        <v>597</v>
      </c>
      <c r="D912" s="5" t="s">
        <v>483</v>
      </c>
      <c r="E912" s="57" t="s">
        <v>2063</v>
      </c>
      <c r="F912" s="57" t="s">
        <v>484</v>
      </c>
      <c r="G912" s="57" t="s">
        <v>2063</v>
      </c>
      <c r="H912" s="57" t="s">
        <v>913</v>
      </c>
      <c r="I912" s="57" t="s">
        <v>2064</v>
      </c>
      <c r="J912" s="57" t="s">
        <v>39</v>
      </c>
      <c r="K912" s="57" t="s">
        <v>591</v>
      </c>
      <c r="L912" s="11" t="s">
        <v>914</v>
      </c>
      <c r="M912" s="22">
        <v>1</v>
      </c>
      <c r="N912" s="46">
        <v>478759</v>
      </c>
      <c r="O912" s="49">
        <f t="shared" ref="O912:O975" si="19">M912*N912</f>
        <v>478759</v>
      </c>
      <c r="P912" s="5" t="s">
        <v>393</v>
      </c>
      <c r="Q912" s="5" t="s">
        <v>766</v>
      </c>
      <c r="R912" s="11" t="s">
        <v>2030</v>
      </c>
      <c r="S912" s="22">
        <v>0</v>
      </c>
    </row>
    <row r="913" spans="1:19" ht="51" outlineLevel="1">
      <c r="A913" s="5">
        <v>898</v>
      </c>
      <c r="B913" s="15" t="s">
        <v>710</v>
      </c>
      <c r="C913" s="5" t="s">
        <v>597</v>
      </c>
      <c r="D913" s="5" t="s">
        <v>483</v>
      </c>
      <c r="E913" s="57" t="s">
        <v>2063</v>
      </c>
      <c r="F913" s="57" t="s">
        <v>484</v>
      </c>
      <c r="G913" s="57" t="s">
        <v>2063</v>
      </c>
      <c r="H913" s="57" t="s">
        <v>913</v>
      </c>
      <c r="I913" s="57" t="s">
        <v>2064</v>
      </c>
      <c r="J913" s="57" t="s">
        <v>39</v>
      </c>
      <c r="K913" s="57" t="s">
        <v>591</v>
      </c>
      <c r="L913" s="11" t="s">
        <v>914</v>
      </c>
      <c r="M913" s="22">
        <v>1</v>
      </c>
      <c r="N913" s="46">
        <v>512007</v>
      </c>
      <c r="O913" s="49">
        <f t="shared" si="19"/>
        <v>512007</v>
      </c>
      <c r="P913" s="5" t="s">
        <v>393</v>
      </c>
      <c r="Q913" s="5" t="s">
        <v>766</v>
      </c>
      <c r="R913" s="11" t="s">
        <v>1021</v>
      </c>
      <c r="S913" s="5">
        <v>0</v>
      </c>
    </row>
    <row r="914" spans="1:19" ht="51" outlineLevel="1">
      <c r="A914" s="5">
        <v>899</v>
      </c>
      <c r="B914" s="15" t="s">
        <v>710</v>
      </c>
      <c r="C914" s="5" t="s">
        <v>597</v>
      </c>
      <c r="D914" s="5" t="s">
        <v>483</v>
      </c>
      <c r="E914" s="57" t="s">
        <v>2063</v>
      </c>
      <c r="F914" s="57" t="s">
        <v>484</v>
      </c>
      <c r="G914" s="57" t="s">
        <v>2063</v>
      </c>
      <c r="H914" s="57" t="s">
        <v>913</v>
      </c>
      <c r="I914" s="57" t="s">
        <v>2064</v>
      </c>
      <c r="J914" s="57" t="s">
        <v>39</v>
      </c>
      <c r="K914" s="57" t="s">
        <v>591</v>
      </c>
      <c r="L914" s="11" t="s">
        <v>914</v>
      </c>
      <c r="M914" s="22">
        <v>1</v>
      </c>
      <c r="N914" s="46">
        <v>506786</v>
      </c>
      <c r="O914" s="49">
        <f t="shared" si="19"/>
        <v>506786</v>
      </c>
      <c r="P914" s="5" t="s">
        <v>393</v>
      </c>
      <c r="Q914" s="5" t="s">
        <v>766</v>
      </c>
      <c r="R914" s="11" t="s">
        <v>789</v>
      </c>
      <c r="S914" s="5">
        <v>0</v>
      </c>
    </row>
    <row r="915" spans="1:19" ht="51" outlineLevel="1">
      <c r="A915" s="5">
        <v>900</v>
      </c>
      <c r="B915" s="15" t="s">
        <v>710</v>
      </c>
      <c r="C915" s="5" t="s">
        <v>597</v>
      </c>
      <c r="D915" s="5" t="s">
        <v>483</v>
      </c>
      <c r="E915" s="57" t="s">
        <v>2063</v>
      </c>
      <c r="F915" s="57" t="s">
        <v>484</v>
      </c>
      <c r="G915" s="57" t="s">
        <v>2063</v>
      </c>
      <c r="H915" s="57" t="s">
        <v>913</v>
      </c>
      <c r="I915" s="57" t="s">
        <v>2064</v>
      </c>
      <c r="J915" s="57" t="s">
        <v>39</v>
      </c>
      <c r="K915" s="57" t="s">
        <v>591</v>
      </c>
      <c r="L915" s="11" t="s">
        <v>914</v>
      </c>
      <c r="M915" s="22">
        <v>1</v>
      </c>
      <c r="N915" s="46">
        <v>627963</v>
      </c>
      <c r="O915" s="49">
        <f t="shared" si="19"/>
        <v>627963</v>
      </c>
      <c r="P915" s="5" t="s">
        <v>393</v>
      </c>
      <c r="Q915" s="5" t="s">
        <v>766</v>
      </c>
      <c r="R915" s="11" t="s">
        <v>2022</v>
      </c>
      <c r="S915" s="22">
        <v>0</v>
      </c>
    </row>
    <row r="916" spans="1:19" s="13" customFormat="1" ht="51">
      <c r="A916" s="5">
        <v>901</v>
      </c>
      <c r="B916" s="15" t="s">
        <v>710</v>
      </c>
      <c r="C916" s="5" t="s">
        <v>597</v>
      </c>
      <c r="D916" s="5" t="s">
        <v>483</v>
      </c>
      <c r="E916" s="57" t="s">
        <v>2063</v>
      </c>
      <c r="F916" s="57" t="s">
        <v>484</v>
      </c>
      <c r="G916" s="57" t="s">
        <v>2063</v>
      </c>
      <c r="H916" s="57" t="s">
        <v>913</v>
      </c>
      <c r="I916" s="57" t="s">
        <v>2064</v>
      </c>
      <c r="J916" s="57" t="s">
        <v>39</v>
      </c>
      <c r="K916" s="57" t="s">
        <v>591</v>
      </c>
      <c r="L916" s="11" t="s">
        <v>914</v>
      </c>
      <c r="M916" s="22">
        <v>1</v>
      </c>
      <c r="N916" s="46">
        <v>387768</v>
      </c>
      <c r="O916" s="49">
        <f t="shared" si="19"/>
        <v>387768</v>
      </c>
      <c r="P916" s="5" t="s">
        <v>393</v>
      </c>
      <c r="Q916" s="5" t="s">
        <v>766</v>
      </c>
      <c r="R916" s="11" t="s">
        <v>2023</v>
      </c>
      <c r="S916" s="22">
        <v>70</v>
      </c>
    </row>
    <row r="917" spans="1:19" ht="51" outlineLevel="1">
      <c r="A917" s="5">
        <v>902</v>
      </c>
      <c r="B917" s="15" t="s">
        <v>710</v>
      </c>
      <c r="C917" s="5" t="s">
        <v>597</v>
      </c>
      <c r="D917" s="5" t="s">
        <v>483</v>
      </c>
      <c r="E917" s="57" t="s">
        <v>2063</v>
      </c>
      <c r="F917" s="57" t="s">
        <v>484</v>
      </c>
      <c r="G917" s="57" t="s">
        <v>2063</v>
      </c>
      <c r="H917" s="57" t="s">
        <v>913</v>
      </c>
      <c r="I917" s="57" t="s">
        <v>2064</v>
      </c>
      <c r="J917" s="57" t="s">
        <v>39</v>
      </c>
      <c r="K917" s="57" t="s">
        <v>591</v>
      </c>
      <c r="L917" s="11" t="s">
        <v>914</v>
      </c>
      <c r="M917" s="22">
        <v>1</v>
      </c>
      <c r="N917" s="46">
        <v>636384</v>
      </c>
      <c r="O917" s="49">
        <f t="shared" si="19"/>
        <v>636384</v>
      </c>
      <c r="P917" s="5" t="s">
        <v>393</v>
      </c>
      <c r="Q917" s="5" t="s">
        <v>766</v>
      </c>
      <c r="R917" s="11" t="s">
        <v>633</v>
      </c>
      <c r="S917" s="22">
        <v>0</v>
      </c>
    </row>
    <row r="918" spans="1:19" ht="51" outlineLevel="1">
      <c r="A918" s="5">
        <v>903</v>
      </c>
      <c r="B918" s="15" t="s">
        <v>710</v>
      </c>
      <c r="C918" s="5" t="s">
        <v>597</v>
      </c>
      <c r="D918" s="5" t="s">
        <v>483</v>
      </c>
      <c r="E918" s="57" t="s">
        <v>2063</v>
      </c>
      <c r="F918" s="57" t="s">
        <v>484</v>
      </c>
      <c r="G918" s="57" t="s">
        <v>2063</v>
      </c>
      <c r="H918" s="57" t="s">
        <v>913</v>
      </c>
      <c r="I918" s="57" t="s">
        <v>2064</v>
      </c>
      <c r="J918" s="57" t="s">
        <v>39</v>
      </c>
      <c r="K918" s="57" t="s">
        <v>591</v>
      </c>
      <c r="L918" s="11" t="s">
        <v>914</v>
      </c>
      <c r="M918" s="22">
        <v>1</v>
      </c>
      <c r="N918" s="46">
        <v>437679</v>
      </c>
      <c r="O918" s="49">
        <f t="shared" si="19"/>
        <v>437679</v>
      </c>
      <c r="P918" s="5" t="s">
        <v>393</v>
      </c>
      <c r="Q918" s="5" t="s">
        <v>766</v>
      </c>
      <c r="R918" s="11">
        <v>311000000</v>
      </c>
      <c r="S918" s="14">
        <v>0</v>
      </c>
    </row>
    <row r="919" spans="1:19" ht="51" outlineLevel="1">
      <c r="A919" s="5">
        <v>904</v>
      </c>
      <c r="B919" s="15" t="s">
        <v>710</v>
      </c>
      <c r="C919" s="5" t="s">
        <v>597</v>
      </c>
      <c r="D919" s="5" t="s">
        <v>483</v>
      </c>
      <c r="E919" s="57" t="s">
        <v>2063</v>
      </c>
      <c r="F919" s="57" t="s">
        <v>484</v>
      </c>
      <c r="G919" s="57" t="s">
        <v>2063</v>
      </c>
      <c r="H919" s="57" t="s">
        <v>913</v>
      </c>
      <c r="I919" s="57" t="s">
        <v>2064</v>
      </c>
      <c r="J919" s="57" t="s">
        <v>39</v>
      </c>
      <c r="K919" s="57" t="s">
        <v>591</v>
      </c>
      <c r="L919" s="11" t="s">
        <v>914</v>
      </c>
      <c r="M919" s="22">
        <v>1</v>
      </c>
      <c r="N919" s="46">
        <f>O919/M919</f>
        <v>420279</v>
      </c>
      <c r="O919" s="49">
        <f>220279+200000</f>
        <v>420279</v>
      </c>
      <c r="P919" s="5" t="s">
        <v>506</v>
      </c>
      <c r="Q919" s="5" t="s">
        <v>766</v>
      </c>
      <c r="R919" s="11" t="s">
        <v>2024</v>
      </c>
      <c r="S919" s="5">
        <v>30</v>
      </c>
    </row>
    <row r="920" spans="1:19" ht="51" outlineLevel="1">
      <c r="A920" s="5">
        <v>905</v>
      </c>
      <c r="B920" s="15" t="s">
        <v>710</v>
      </c>
      <c r="C920" s="5" t="s">
        <v>597</v>
      </c>
      <c r="D920" s="5" t="s">
        <v>483</v>
      </c>
      <c r="E920" s="57" t="s">
        <v>2063</v>
      </c>
      <c r="F920" s="57" t="s">
        <v>484</v>
      </c>
      <c r="G920" s="57" t="s">
        <v>2063</v>
      </c>
      <c r="H920" s="57" t="s">
        <v>913</v>
      </c>
      <c r="I920" s="57" t="s">
        <v>2064</v>
      </c>
      <c r="J920" s="57" t="s">
        <v>39</v>
      </c>
      <c r="K920" s="57" t="s">
        <v>591</v>
      </c>
      <c r="L920" s="11" t="s">
        <v>914</v>
      </c>
      <c r="M920" s="22">
        <v>1</v>
      </c>
      <c r="N920" s="46">
        <v>671536</v>
      </c>
      <c r="O920" s="49">
        <f t="shared" si="19"/>
        <v>671536</v>
      </c>
      <c r="P920" s="5" t="s">
        <v>393</v>
      </c>
      <c r="Q920" s="5" t="s">
        <v>766</v>
      </c>
      <c r="R920" s="11">
        <v>351000000</v>
      </c>
      <c r="S920" s="22">
        <v>0</v>
      </c>
    </row>
    <row r="921" spans="1:19" ht="51" outlineLevel="1">
      <c r="A921" s="5">
        <v>906</v>
      </c>
      <c r="B921" s="15" t="s">
        <v>710</v>
      </c>
      <c r="C921" s="5" t="s">
        <v>597</v>
      </c>
      <c r="D921" s="5" t="s">
        <v>483</v>
      </c>
      <c r="E921" s="57" t="s">
        <v>2063</v>
      </c>
      <c r="F921" s="57" t="s">
        <v>484</v>
      </c>
      <c r="G921" s="57" t="s">
        <v>2063</v>
      </c>
      <c r="H921" s="57" t="s">
        <v>913</v>
      </c>
      <c r="I921" s="57" t="s">
        <v>2064</v>
      </c>
      <c r="J921" s="57" t="s">
        <v>39</v>
      </c>
      <c r="K921" s="57" t="s">
        <v>591</v>
      </c>
      <c r="L921" s="11" t="s">
        <v>914</v>
      </c>
      <c r="M921" s="22">
        <v>1</v>
      </c>
      <c r="N921" s="46">
        <v>607589</v>
      </c>
      <c r="O921" s="49">
        <f t="shared" si="19"/>
        <v>607589</v>
      </c>
      <c r="P921" s="5" t="s">
        <v>393</v>
      </c>
      <c r="Q921" s="5" t="s">
        <v>766</v>
      </c>
      <c r="R921" s="11" t="s">
        <v>925</v>
      </c>
      <c r="S921" s="22">
        <v>0</v>
      </c>
    </row>
    <row r="922" spans="1:19" ht="51" outlineLevel="1">
      <c r="A922" s="5">
        <v>907</v>
      </c>
      <c r="B922" s="15" t="s">
        <v>710</v>
      </c>
      <c r="C922" s="5" t="s">
        <v>597</v>
      </c>
      <c r="D922" s="5" t="s">
        <v>483</v>
      </c>
      <c r="E922" s="57" t="s">
        <v>2063</v>
      </c>
      <c r="F922" s="57" t="s">
        <v>484</v>
      </c>
      <c r="G922" s="57" t="s">
        <v>2063</v>
      </c>
      <c r="H922" s="57" t="s">
        <v>913</v>
      </c>
      <c r="I922" s="57" t="s">
        <v>2064</v>
      </c>
      <c r="J922" s="57" t="s">
        <v>39</v>
      </c>
      <c r="K922" s="57" t="s">
        <v>591</v>
      </c>
      <c r="L922" s="11" t="s">
        <v>914</v>
      </c>
      <c r="M922" s="22">
        <v>1</v>
      </c>
      <c r="N922" s="46">
        <v>460522</v>
      </c>
      <c r="O922" s="49">
        <f t="shared" si="19"/>
        <v>460522</v>
      </c>
      <c r="P922" s="5" t="s">
        <v>393</v>
      </c>
      <c r="Q922" s="5" t="s">
        <v>766</v>
      </c>
      <c r="R922" s="11">
        <v>431000000</v>
      </c>
      <c r="S922" s="22">
        <v>0</v>
      </c>
    </row>
    <row r="923" spans="1:19" ht="51" outlineLevel="1">
      <c r="A923" s="5">
        <v>908</v>
      </c>
      <c r="B923" s="29" t="s">
        <v>710</v>
      </c>
      <c r="C923" s="35" t="s">
        <v>597</v>
      </c>
      <c r="D923" s="5" t="s">
        <v>483</v>
      </c>
      <c r="E923" s="57" t="s">
        <v>2063</v>
      </c>
      <c r="F923" s="57" t="s">
        <v>484</v>
      </c>
      <c r="G923" s="57" t="s">
        <v>2063</v>
      </c>
      <c r="H923" s="57" t="s">
        <v>913</v>
      </c>
      <c r="I923" s="57" t="s">
        <v>2064</v>
      </c>
      <c r="J923" s="57" t="s">
        <v>39</v>
      </c>
      <c r="K923" s="57" t="s">
        <v>591</v>
      </c>
      <c r="L923" s="11" t="s">
        <v>914</v>
      </c>
      <c r="M923" s="52">
        <v>1</v>
      </c>
      <c r="N923" s="46">
        <v>628875</v>
      </c>
      <c r="O923" s="49">
        <f t="shared" si="19"/>
        <v>628875</v>
      </c>
      <c r="P923" s="5" t="s">
        <v>393</v>
      </c>
      <c r="Q923" s="5" t="s">
        <v>766</v>
      </c>
      <c r="R923" s="11" t="s">
        <v>715</v>
      </c>
      <c r="S923" s="22">
        <v>100</v>
      </c>
    </row>
    <row r="924" spans="1:19" s="32" customFormat="1" ht="51">
      <c r="A924" s="5">
        <v>909</v>
      </c>
      <c r="B924" s="15" t="s">
        <v>710</v>
      </c>
      <c r="C924" s="5" t="s">
        <v>597</v>
      </c>
      <c r="D924" s="5" t="s">
        <v>483</v>
      </c>
      <c r="E924" s="57" t="s">
        <v>2063</v>
      </c>
      <c r="F924" s="57" t="s">
        <v>484</v>
      </c>
      <c r="G924" s="57" t="s">
        <v>2063</v>
      </c>
      <c r="H924" s="57" t="s">
        <v>913</v>
      </c>
      <c r="I924" s="57" t="s">
        <v>2064</v>
      </c>
      <c r="J924" s="57" t="s">
        <v>39</v>
      </c>
      <c r="K924" s="57" t="s">
        <v>591</v>
      </c>
      <c r="L924" s="11" t="s">
        <v>914</v>
      </c>
      <c r="M924" s="22">
        <v>1</v>
      </c>
      <c r="N924" s="46">
        <v>490306</v>
      </c>
      <c r="O924" s="49">
        <f t="shared" si="19"/>
        <v>490306</v>
      </c>
      <c r="P924" s="5" t="s">
        <v>393</v>
      </c>
      <c r="Q924" s="5" t="s">
        <v>394</v>
      </c>
      <c r="R924" s="11">
        <v>551000000</v>
      </c>
      <c r="S924" s="22">
        <v>0</v>
      </c>
    </row>
    <row r="925" spans="1:19" ht="51" outlineLevel="1">
      <c r="A925" s="5">
        <v>910</v>
      </c>
      <c r="B925" s="15" t="s">
        <v>941</v>
      </c>
      <c r="C925" s="5" t="s">
        <v>597</v>
      </c>
      <c r="D925" s="5" t="s">
        <v>483</v>
      </c>
      <c r="E925" s="57" t="s">
        <v>2063</v>
      </c>
      <c r="F925" s="57" t="s">
        <v>484</v>
      </c>
      <c r="G925" s="57" t="s">
        <v>2063</v>
      </c>
      <c r="H925" s="57" t="s">
        <v>913</v>
      </c>
      <c r="I925" s="57" t="s">
        <v>2064</v>
      </c>
      <c r="J925" s="57" t="s">
        <v>39</v>
      </c>
      <c r="K925" s="57" t="s">
        <v>591</v>
      </c>
      <c r="L925" s="11" t="s">
        <v>914</v>
      </c>
      <c r="M925" s="22">
        <v>1</v>
      </c>
      <c r="N925" s="46">
        <v>483635</v>
      </c>
      <c r="O925" s="49">
        <f t="shared" si="19"/>
        <v>483635</v>
      </c>
      <c r="P925" s="5" t="s">
        <v>393</v>
      </c>
      <c r="Q925" s="5" t="s">
        <v>766</v>
      </c>
      <c r="R925" s="11">
        <v>591000000</v>
      </c>
      <c r="S925" s="22">
        <v>0</v>
      </c>
    </row>
    <row r="926" spans="1:19" ht="51" outlineLevel="1">
      <c r="A926" s="5">
        <v>911</v>
      </c>
      <c r="B926" s="15" t="s">
        <v>710</v>
      </c>
      <c r="C926" s="5" t="s">
        <v>597</v>
      </c>
      <c r="D926" s="5" t="s">
        <v>483</v>
      </c>
      <c r="E926" s="57" t="s">
        <v>2063</v>
      </c>
      <c r="F926" s="57" t="s">
        <v>484</v>
      </c>
      <c r="G926" s="57" t="s">
        <v>2063</v>
      </c>
      <c r="H926" s="57" t="s">
        <v>913</v>
      </c>
      <c r="I926" s="57" t="s">
        <v>2064</v>
      </c>
      <c r="J926" s="57" t="s">
        <v>39</v>
      </c>
      <c r="K926" s="57" t="s">
        <v>591</v>
      </c>
      <c r="L926" s="11" t="s">
        <v>914</v>
      </c>
      <c r="M926" s="22">
        <v>1</v>
      </c>
      <c r="N926" s="46">
        <v>463882</v>
      </c>
      <c r="O926" s="49">
        <f t="shared" si="19"/>
        <v>463882</v>
      </c>
      <c r="P926" s="5" t="s">
        <v>393</v>
      </c>
      <c r="Q926" s="5" t="s">
        <v>766</v>
      </c>
      <c r="R926" s="11" t="s">
        <v>2029</v>
      </c>
      <c r="S926" s="5">
        <v>0</v>
      </c>
    </row>
    <row r="927" spans="1:19" ht="63.75" outlineLevel="1">
      <c r="A927" s="5">
        <v>912</v>
      </c>
      <c r="B927" s="29" t="s">
        <v>710</v>
      </c>
      <c r="C927" s="35" t="s">
        <v>597</v>
      </c>
      <c r="D927" s="5" t="s">
        <v>483</v>
      </c>
      <c r="E927" s="57" t="s">
        <v>2065</v>
      </c>
      <c r="F927" s="57" t="s">
        <v>484</v>
      </c>
      <c r="G927" s="57" t="s">
        <v>2065</v>
      </c>
      <c r="H927" s="57" t="s">
        <v>913</v>
      </c>
      <c r="I927" s="57" t="s">
        <v>2066</v>
      </c>
      <c r="J927" s="57" t="s">
        <v>257</v>
      </c>
      <c r="K927" s="57" t="s">
        <v>591</v>
      </c>
      <c r="L927" s="11" t="s">
        <v>914</v>
      </c>
      <c r="M927" s="22">
        <v>1</v>
      </c>
      <c r="N927" s="46">
        <v>267857</v>
      </c>
      <c r="O927" s="49">
        <f t="shared" si="19"/>
        <v>267857</v>
      </c>
      <c r="P927" s="5" t="s">
        <v>393</v>
      </c>
      <c r="Q927" s="5" t="s">
        <v>766</v>
      </c>
      <c r="R927" s="11" t="s">
        <v>2030</v>
      </c>
      <c r="S927" s="22">
        <v>0</v>
      </c>
    </row>
    <row r="928" spans="1:19" ht="63.75" outlineLevel="1">
      <c r="A928" s="5">
        <v>913</v>
      </c>
      <c r="B928" s="15" t="s">
        <v>710</v>
      </c>
      <c r="C928" s="5" t="s">
        <v>597</v>
      </c>
      <c r="D928" s="5" t="s">
        <v>483</v>
      </c>
      <c r="E928" s="57" t="s">
        <v>2065</v>
      </c>
      <c r="F928" s="57" t="s">
        <v>484</v>
      </c>
      <c r="G928" s="57" t="s">
        <v>2065</v>
      </c>
      <c r="H928" s="57" t="s">
        <v>913</v>
      </c>
      <c r="I928" s="57" t="s">
        <v>2066</v>
      </c>
      <c r="J928" s="57" t="s">
        <v>257</v>
      </c>
      <c r="K928" s="57" t="s">
        <v>591</v>
      </c>
      <c r="L928" s="11" t="s">
        <v>914</v>
      </c>
      <c r="M928" s="22">
        <v>1</v>
      </c>
      <c r="N928" s="46">
        <v>267857</v>
      </c>
      <c r="O928" s="49">
        <f t="shared" si="19"/>
        <v>267857</v>
      </c>
      <c r="P928" s="5" t="s">
        <v>393</v>
      </c>
      <c r="Q928" s="5" t="s">
        <v>766</v>
      </c>
      <c r="R928" s="11" t="s">
        <v>1021</v>
      </c>
      <c r="S928" s="5">
        <v>0</v>
      </c>
    </row>
    <row r="929" spans="1:19" ht="63.75" outlineLevel="1">
      <c r="A929" s="5">
        <v>914</v>
      </c>
      <c r="B929" s="15" t="s">
        <v>710</v>
      </c>
      <c r="C929" s="5" t="s">
        <v>597</v>
      </c>
      <c r="D929" s="5" t="s">
        <v>483</v>
      </c>
      <c r="E929" s="57" t="s">
        <v>2065</v>
      </c>
      <c r="F929" s="57" t="s">
        <v>484</v>
      </c>
      <c r="G929" s="57" t="s">
        <v>2065</v>
      </c>
      <c r="H929" s="57" t="s">
        <v>913</v>
      </c>
      <c r="I929" s="57" t="s">
        <v>2066</v>
      </c>
      <c r="J929" s="57" t="s">
        <v>257</v>
      </c>
      <c r="K929" s="57" t="s">
        <v>591</v>
      </c>
      <c r="L929" s="11" t="s">
        <v>914</v>
      </c>
      <c r="M929" s="22">
        <v>1</v>
      </c>
      <c r="N929" s="46">
        <v>267857</v>
      </c>
      <c r="O929" s="49">
        <f t="shared" si="19"/>
        <v>267857</v>
      </c>
      <c r="P929" s="5" t="s">
        <v>393</v>
      </c>
      <c r="Q929" s="5" t="s">
        <v>766</v>
      </c>
      <c r="R929" s="11" t="s">
        <v>789</v>
      </c>
      <c r="S929" s="5">
        <v>0</v>
      </c>
    </row>
    <row r="930" spans="1:19" ht="63.75" outlineLevel="1">
      <c r="A930" s="5">
        <v>915</v>
      </c>
      <c r="B930" s="15" t="s">
        <v>710</v>
      </c>
      <c r="C930" s="5" t="s">
        <v>597</v>
      </c>
      <c r="D930" s="5" t="s">
        <v>483</v>
      </c>
      <c r="E930" s="57" t="s">
        <v>2065</v>
      </c>
      <c r="F930" s="57" t="s">
        <v>484</v>
      </c>
      <c r="G930" s="57" t="s">
        <v>2065</v>
      </c>
      <c r="H930" s="57" t="s">
        <v>913</v>
      </c>
      <c r="I930" s="57" t="s">
        <v>2066</v>
      </c>
      <c r="J930" s="57" t="s">
        <v>257</v>
      </c>
      <c r="K930" s="57" t="s">
        <v>591</v>
      </c>
      <c r="L930" s="11" t="s">
        <v>914</v>
      </c>
      <c r="M930" s="22">
        <v>1</v>
      </c>
      <c r="N930" s="46">
        <v>267857</v>
      </c>
      <c r="O930" s="49">
        <f t="shared" si="19"/>
        <v>267857</v>
      </c>
      <c r="P930" s="5" t="s">
        <v>393</v>
      </c>
      <c r="Q930" s="5" t="s">
        <v>766</v>
      </c>
      <c r="R930" s="11" t="s">
        <v>2022</v>
      </c>
      <c r="S930" s="14">
        <v>0</v>
      </c>
    </row>
    <row r="931" spans="1:19" s="13" customFormat="1" ht="63.75">
      <c r="A931" s="5">
        <v>916</v>
      </c>
      <c r="B931" s="15" t="s">
        <v>710</v>
      </c>
      <c r="C931" s="5" t="s">
        <v>597</v>
      </c>
      <c r="D931" s="5" t="s">
        <v>483</v>
      </c>
      <c r="E931" s="57" t="s">
        <v>2065</v>
      </c>
      <c r="F931" s="57" t="s">
        <v>484</v>
      </c>
      <c r="G931" s="57" t="s">
        <v>2065</v>
      </c>
      <c r="H931" s="57" t="s">
        <v>913</v>
      </c>
      <c r="I931" s="57" t="s">
        <v>2066</v>
      </c>
      <c r="J931" s="57" t="s">
        <v>257</v>
      </c>
      <c r="K931" s="57" t="s">
        <v>591</v>
      </c>
      <c r="L931" s="11" t="s">
        <v>914</v>
      </c>
      <c r="M931" s="22">
        <v>1</v>
      </c>
      <c r="N931" s="46">
        <v>267857</v>
      </c>
      <c r="O931" s="49">
        <f t="shared" si="19"/>
        <v>267857</v>
      </c>
      <c r="P931" s="5" t="s">
        <v>393</v>
      </c>
      <c r="Q931" s="5" t="s">
        <v>766</v>
      </c>
      <c r="R931" s="11" t="s">
        <v>2023</v>
      </c>
      <c r="S931" s="22">
        <v>70</v>
      </c>
    </row>
    <row r="932" spans="1:19" ht="63.75" outlineLevel="1">
      <c r="A932" s="5">
        <v>917</v>
      </c>
      <c r="B932" s="15" t="s">
        <v>710</v>
      </c>
      <c r="C932" s="5" t="s">
        <v>597</v>
      </c>
      <c r="D932" s="5" t="s">
        <v>483</v>
      </c>
      <c r="E932" s="57" t="s">
        <v>2065</v>
      </c>
      <c r="F932" s="57" t="s">
        <v>484</v>
      </c>
      <c r="G932" s="57" t="s">
        <v>2065</v>
      </c>
      <c r="H932" s="57" t="s">
        <v>913</v>
      </c>
      <c r="I932" s="57" t="s">
        <v>2066</v>
      </c>
      <c r="J932" s="57" t="s">
        <v>257</v>
      </c>
      <c r="K932" s="57" t="s">
        <v>591</v>
      </c>
      <c r="L932" s="11" t="s">
        <v>914</v>
      </c>
      <c r="M932" s="22">
        <v>1</v>
      </c>
      <c r="N932" s="46">
        <v>267857</v>
      </c>
      <c r="O932" s="49">
        <f t="shared" si="19"/>
        <v>267857</v>
      </c>
      <c r="P932" s="5" t="s">
        <v>393</v>
      </c>
      <c r="Q932" s="5" t="s">
        <v>766</v>
      </c>
      <c r="R932" s="11" t="s">
        <v>633</v>
      </c>
      <c r="S932" s="22">
        <v>0</v>
      </c>
    </row>
    <row r="933" spans="1:19" ht="63.75" outlineLevel="1">
      <c r="A933" s="5">
        <v>918</v>
      </c>
      <c r="B933" s="15" t="s">
        <v>710</v>
      </c>
      <c r="C933" s="5" t="s">
        <v>597</v>
      </c>
      <c r="D933" s="5" t="s">
        <v>483</v>
      </c>
      <c r="E933" s="57" t="s">
        <v>2065</v>
      </c>
      <c r="F933" s="57" t="s">
        <v>484</v>
      </c>
      <c r="G933" s="57" t="s">
        <v>2065</v>
      </c>
      <c r="H933" s="57" t="s">
        <v>913</v>
      </c>
      <c r="I933" s="57" t="s">
        <v>2066</v>
      </c>
      <c r="J933" s="57" t="s">
        <v>257</v>
      </c>
      <c r="K933" s="57" t="s">
        <v>591</v>
      </c>
      <c r="L933" s="11" t="s">
        <v>914</v>
      </c>
      <c r="M933" s="22">
        <v>1</v>
      </c>
      <c r="N933" s="46">
        <v>267857</v>
      </c>
      <c r="O933" s="49">
        <f t="shared" si="19"/>
        <v>267857</v>
      </c>
      <c r="P933" s="5" t="s">
        <v>393</v>
      </c>
      <c r="Q933" s="5" t="s">
        <v>766</v>
      </c>
      <c r="R933" s="11" t="s">
        <v>694</v>
      </c>
      <c r="S933" s="22">
        <v>0</v>
      </c>
    </row>
    <row r="934" spans="1:19" ht="63.75" outlineLevel="1">
      <c r="A934" s="5">
        <v>919</v>
      </c>
      <c r="B934" s="15" t="s">
        <v>710</v>
      </c>
      <c r="C934" s="5" t="s">
        <v>597</v>
      </c>
      <c r="D934" s="5" t="s">
        <v>483</v>
      </c>
      <c r="E934" s="57" t="s">
        <v>2065</v>
      </c>
      <c r="F934" s="57" t="s">
        <v>484</v>
      </c>
      <c r="G934" s="57" t="s">
        <v>2065</v>
      </c>
      <c r="H934" s="57" t="s">
        <v>913</v>
      </c>
      <c r="I934" s="57" t="s">
        <v>2066</v>
      </c>
      <c r="J934" s="57" t="s">
        <v>257</v>
      </c>
      <c r="K934" s="57" t="s">
        <v>591</v>
      </c>
      <c r="L934" s="11" t="s">
        <v>914</v>
      </c>
      <c r="M934" s="22">
        <v>1</v>
      </c>
      <c r="N934" s="46">
        <v>267857</v>
      </c>
      <c r="O934" s="49">
        <f t="shared" si="19"/>
        <v>267857</v>
      </c>
      <c r="P934" s="5" t="s">
        <v>393</v>
      </c>
      <c r="Q934" s="5" t="s">
        <v>766</v>
      </c>
      <c r="R934" s="11">
        <v>311000000</v>
      </c>
      <c r="S934" s="14">
        <v>0</v>
      </c>
    </row>
    <row r="935" spans="1:19" ht="63.75" outlineLevel="1">
      <c r="A935" s="5">
        <v>920</v>
      </c>
      <c r="B935" s="15" t="s">
        <v>710</v>
      </c>
      <c r="C935" s="5" t="s">
        <v>597</v>
      </c>
      <c r="D935" s="5" t="s">
        <v>483</v>
      </c>
      <c r="E935" s="57" t="s">
        <v>2065</v>
      </c>
      <c r="F935" s="57" t="s">
        <v>484</v>
      </c>
      <c r="G935" s="57" t="s">
        <v>2065</v>
      </c>
      <c r="H935" s="57" t="s">
        <v>913</v>
      </c>
      <c r="I935" s="57" t="s">
        <v>2066</v>
      </c>
      <c r="J935" s="57" t="s">
        <v>257</v>
      </c>
      <c r="K935" s="57" t="s">
        <v>591</v>
      </c>
      <c r="L935" s="11" t="s">
        <v>914</v>
      </c>
      <c r="M935" s="22">
        <v>1</v>
      </c>
      <c r="N935" s="46">
        <f>O935/M935</f>
        <v>447857</v>
      </c>
      <c r="O935" s="49">
        <f>267857+180000</f>
        <v>447857</v>
      </c>
      <c r="P935" s="5" t="s">
        <v>506</v>
      </c>
      <c r="Q935" s="5" t="s">
        <v>766</v>
      </c>
      <c r="R935" s="11" t="s">
        <v>2024</v>
      </c>
      <c r="S935" s="5">
        <v>30</v>
      </c>
    </row>
    <row r="936" spans="1:19" ht="63.75" outlineLevel="1">
      <c r="A936" s="5">
        <v>921</v>
      </c>
      <c r="B936" s="15" t="s">
        <v>710</v>
      </c>
      <c r="C936" s="5" t="s">
        <v>597</v>
      </c>
      <c r="D936" s="5" t="s">
        <v>483</v>
      </c>
      <c r="E936" s="57" t="s">
        <v>2065</v>
      </c>
      <c r="F936" s="57" t="s">
        <v>484</v>
      </c>
      <c r="G936" s="57" t="s">
        <v>2065</v>
      </c>
      <c r="H936" s="57" t="s">
        <v>913</v>
      </c>
      <c r="I936" s="57" t="s">
        <v>2066</v>
      </c>
      <c r="J936" s="57" t="s">
        <v>257</v>
      </c>
      <c r="K936" s="57" t="s">
        <v>591</v>
      </c>
      <c r="L936" s="11" t="s">
        <v>914</v>
      </c>
      <c r="M936" s="22">
        <v>1</v>
      </c>
      <c r="N936" s="46">
        <v>267857</v>
      </c>
      <c r="O936" s="49">
        <f t="shared" si="19"/>
        <v>267857</v>
      </c>
      <c r="P936" s="5" t="s">
        <v>393</v>
      </c>
      <c r="Q936" s="5" t="s">
        <v>766</v>
      </c>
      <c r="R936" s="11">
        <v>351000000</v>
      </c>
      <c r="S936" s="22">
        <v>0</v>
      </c>
    </row>
    <row r="937" spans="1:19" ht="63.75" outlineLevel="1">
      <c r="A937" s="5">
        <v>922</v>
      </c>
      <c r="B937" s="15" t="s">
        <v>710</v>
      </c>
      <c r="C937" s="5" t="s">
        <v>597</v>
      </c>
      <c r="D937" s="5" t="s">
        <v>483</v>
      </c>
      <c r="E937" s="57" t="s">
        <v>2065</v>
      </c>
      <c r="F937" s="57" t="s">
        <v>484</v>
      </c>
      <c r="G937" s="57" t="s">
        <v>2065</v>
      </c>
      <c r="H937" s="57" t="s">
        <v>913</v>
      </c>
      <c r="I937" s="57" t="s">
        <v>2066</v>
      </c>
      <c r="J937" s="57" t="s">
        <v>257</v>
      </c>
      <c r="K937" s="57" t="s">
        <v>591</v>
      </c>
      <c r="L937" s="11" t="s">
        <v>914</v>
      </c>
      <c r="M937" s="22">
        <v>1</v>
      </c>
      <c r="N937" s="46">
        <v>267857</v>
      </c>
      <c r="O937" s="49">
        <f t="shared" si="19"/>
        <v>267857</v>
      </c>
      <c r="P937" s="5" t="s">
        <v>393</v>
      </c>
      <c r="Q937" s="5" t="s">
        <v>766</v>
      </c>
      <c r="R937" s="11" t="s">
        <v>925</v>
      </c>
      <c r="S937" s="22">
        <v>0</v>
      </c>
    </row>
    <row r="938" spans="1:19" ht="63.75" outlineLevel="1">
      <c r="A938" s="5">
        <v>923</v>
      </c>
      <c r="B938" s="15" t="s">
        <v>710</v>
      </c>
      <c r="C938" s="5" t="s">
        <v>597</v>
      </c>
      <c r="D938" s="5" t="s">
        <v>483</v>
      </c>
      <c r="E938" s="57" t="s">
        <v>2065</v>
      </c>
      <c r="F938" s="57" t="s">
        <v>484</v>
      </c>
      <c r="G938" s="57" t="s">
        <v>2065</v>
      </c>
      <c r="H938" s="57" t="s">
        <v>913</v>
      </c>
      <c r="I938" s="57" t="s">
        <v>2066</v>
      </c>
      <c r="J938" s="57" t="s">
        <v>257</v>
      </c>
      <c r="K938" s="57" t="s">
        <v>591</v>
      </c>
      <c r="L938" s="11" t="s">
        <v>914</v>
      </c>
      <c r="M938" s="22">
        <v>1</v>
      </c>
      <c r="N938" s="46">
        <v>267857</v>
      </c>
      <c r="O938" s="49">
        <f t="shared" si="19"/>
        <v>267857</v>
      </c>
      <c r="P938" s="5" t="s">
        <v>393</v>
      </c>
      <c r="Q938" s="5" t="s">
        <v>766</v>
      </c>
      <c r="R938" s="11">
        <v>431000000</v>
      </c>
      <c r="S938" s="22">
        <v>0</v>
      </c>
    </row>
    <row r="939" spans="1:19" ht="63.75" outlineLevel="1">
      <c r="A939" s="5">
        <v>924</v>
      </c>
      <c r="B939" s="29" t="s">
        <v>710</v>
      </c>
      <c r="C939" s="35" t="s">
        <v>597</v>
      </c>
      <c r="D939" s="5" t="s">
        <v>483</v>
      </c>
      <c r="E939" s="57" t="s">
        <v>2065</v>
      </c>
      <c r="F939" s="57" t="s">
        <v>484</v>
      </c>
      <c r="G939" s="57" t="s">
        <v>2065</v>
      </c>
      <c r="H939" s="57" t="s">
        <v>913</v>
      </c>
      <c r="I939" s="57" t="s">
        <v>2066</v>
      </c>
      <c r="J939" s="57" t="s">
        <v>257</v>
      </c>
      <c r="K939" s="57" t="s">
        <v>591</v>
      </c>
      <c r="L939" s="11" t="s">
        <v>914</v>
      </c>
      <c r="M939" s="52">
        <v>1</v>
      </c>
      <c r="N939" s="46">
        <v>267857</v>
      </c>
      <c r="O939" s="49">
        <f t="shared" si="19"/>
        <v>267857</v>
      </c>
      <c r="P939" s="5" t="s">
        <v>393</v>
      </c>
      <c r="Q939" s="5" t="s">
        <v>766</v>
      </c>
      <c r="R939" s="11" t="s">
        <v>715</v>
      </c>
      <c r="S939" s="22">
        <v>100</v>
      </c>
    </row>
    <row r="940" spans="1:19" s="32" customFormat="1" ht="63.75">
      <c r="A940" s="5">
        <v>925</v>
      </c>
      <c r="B940" s="15" t="s">
        <v>710</v>
      </c>
      <c r="C940" s="5" t="s">
        <v>597</v>
      </c>
      <c r="D940" s="5" t="s">
        <v>483</v>
      </c>
      <c r="E940" s="57" t="s">
        <v>2065</v>
      </c>
      <c r="F940" s="57" t="s">
        <v>484</v>
      </c>
      <c r="G940" s="57" t="s">
        <v>2065</v>
      </c>
      <c r="H940" s="57" t="s">
        <v>913</v>
      </c>
      <c r="I940" s="57" t="s">
        <v>2066</v>
      </c>
      <c r="J940" s="57" t="s">
        <v>257</v>
      </c>
      <c r="K940" s="57" t="s">
        <v>591</v>
      </c>
      <c r="L940" s="11" t="s">
        <v>914</v>
      </c>
      <c r="M940" s="22">
        <v>1</v>
      </c>
      <c r="N940" s="46">
        <v>267857</v>
      </c>
      <c r="O940" s="49">
        <f t="shared" si="19"/>
        <v>267857</v>
      </c>
      <c r="P940" s="5" t="s">
        <v>393</v>
      </c>
      <c r="Q940" s="5" t="s">
        <v>766</v>
      </c>
      <c r="R940" s="11" t="s">
        <v>902</v>
      </c>
      <c r="S940" s="22">
        <v>0</v>
      </c>
    </row>
    <row r="941" spans="1:19" ht="63.75" outlineLevel="1">
      <c r="A941" s="5">
        <v>926</v>
      </c>
      <c r="B941" s="15" t="s">
        <v>941</v>
      </c>
      <c r="C941" s="5" t="s">
        <v>597</v>
      </c>
      <c r="D941" s="5" t="s">
        <v>483</v>
      </c>
      <c r="E941" s="57" t="s">
        <v>2065</v>
      </c>
      <c r="F941" s="57" t="s">
        <v>484</v>
      </c>
      <c r="G941" s="57" t="s">
        <v>2065</v>
      </c>
      <c r="H941" s="57" t="s">
        <v>913</v>
      </c>
      <c r="I941" s="57" t="s">
        <v>2066</v>
      </c>
      <c r="J941" s="57" t="s">
        <v>257</v>
      </c>
      <c r="K941" s="57" t="s">
        <v>591</v>
      </c>
      <c r="L941" s="11" t="s">
        <v>914</v>
      </c>
      <c r="M941" s="22">
        <v>1</v>
      </c>
      <c r="N941" s="46">
        <v>267857</v>
      </c>
      <c r="O941" s="49">
        <f t="shared" si="19"/>
        <v>267857</v>
      </c>
      <c r="P941" s="5" t="s">
        <v>393</v>
      </c>
      <c r="Q941" s="5" t="s">
        <v>766</v>
      </c>
      <c r="R941" s="11">
        <v>591000000</v>
      </c>
      <c r="S941" s="22">
        <v>0</v>
      </c>
    </row>
    <row r="942" spans="1:19" ht="63.75" outlineLevel="1">
      <c r="A942" s="5">
        <v>927</v>
      </c>
      <c r="B942" s="15" t="s">
        <v>710</v>
      </c>
      <c r="C942" s="5" t="s">
        <v>597</v>
      </c>
      <c r="D942" s="5" t="s">
        <v>483</v>
      </c>
      <c r="E942" s="57" t="s">
        <v>2065</v>
      </c>
      <c r="F942" s="57" t="s">
        <v>484</v>
      </c>
      <c r="G942" s="57" t="s">
        <v>2065</v>
      </c>
      <c r="H942" s="57" t="s">
        <v>913</v>
      </c>
      <c r="I942" s="57" t="s">
        <v>2066</v>
      </c>
      <c r="J942" s="57" t="s">
        <v>257</v>
      </c>
      <c r="K942" s="57" t="s">
        <v>591</v>
      </c>
      <c r="L942" s="11" t="s">
        <v>914</v>
      </c>
      <c r="M942" s="22">
        <v>1</v>
      </c>
      <c r="N942" s="46">
        <f>O942/M942</f>
        <v>223214</v>
      </c>
      <c r="O942" s="49">
        <f>267857-44643</f>
        <v>223214</v>
      </c>
      <c r="P942" s="5" t="s">
        <v>515</v>
      </c>
      <c r="Q942" s="5" t="s">
        <v>766</v>
      </c>
      <c r="R942" s="11" t="s">
        <v>2029</v>
      </c>
      <c r="S942" s="5">
        <v>0</v>
      </c>
    </row>
    <row r="943" spans="1:19" ht="51" outlineLevel="1">
      <c r="A943" s="5">
        <v>928</v>
      </c>
      <c r="B943" s="15" t="s">
        <v>710</v>
      </c>
      <c r="C943" s="5" t="s">
        <v>597</v>
      </c>
      <c r="D943" s="5" t="s">
        <v>489</v>
      </c>
      <c r="E943" s="57" t="s">
        <v>2035</v>
      </c>
      <c r="F943" s="57" t="s">
        <v>1134</v>
      </c>
      <c r="G943" s="57" t="s">
        <v>2035</v>
      </c>
      <c r="H943" s="57" t="s">
        <v>1134</v>
      </c>
      <c r="I943" s="57" t="s">
        <v>2036</v>
      </c>
      <c r="J943" s="57" t="s">
        <v>1135</v>
      </c>
      <c r="K943" s="57" t="s">
        <v>591</v>
      </c>
      <c r="L943" s="11" t="s">
        <v>914</v>
      </c>
      <c r="M943" s="22">
        <v>1</v>
      </c>
      <c r="N943" s="46">
        <v>546429</v>
      </c>
      <c r="O943" s="49">
        <f t="shared" si="19"/>
        <v>546429</v>
      </c>
      <c r="P943" s="5" t="s">
        <v>393</v>
      </c>
      <c r="Q943" s="5" t="s">
        <v>766</v>
      </c>
      <c r="R943" s="11" t="s">
        <v>1175</v>
      </c>
      <c r="S943" s="22">
        <v>0</v>
      </c>
    </row>
    <row r="944" spans="1:19" ht="76.5" outlineLevel="1">
      <c r="A944" s="5">
        <v>929</v>
      </c>
      <c r="B944" s="15" t="s">
        <v>710</v>
      </c>
      <c r="C944" s="5" t="s">
        <v>597</v>
      </c>
      <c r="D944" s="117" t="s">
        <v>853</v>
      </c>
      <c r="E944" s="57" t="s">
        <v>2380</v>
      </c>
      <c r="F944" s="57" t="s">
        <v>854</v>
      </c>
      <c r="G944" s="57" t="s">
        <v>1784</v>
      </c>
      <c r="H944" s="57" t="s">
        <v>855</v>
      </c>
      <c r="I944" s="57" t="s">
        <v>1785</v>
      </c>
      <c r="J944" s="57" t="s">
        <v>40</v>
      </c>
      <c r="K944" s="57" t="s">
        <v>591</v>
      </c>
      <c r="L944" s="11" t="s">
        <v>914</v>
      </c>
      <c r="M944" s="22">
        <v>1</v>
      </c>
      <c r="N944" s="46">
        <v>1160714</v>
      </c>
      <c r="O944" s="49">
        <f t="shared" si="19"/>
        <v>1160714</v>
      </c>
      <c r="P944" s="5" t="s">
        <v>588</v>
      </c>
      <c r="Q944" s="5" t="s">
        <v>766</v>
      </c>
      <c r="R944" s="11" t="s">
        <v>1175</v>
      </c>
      <c r="S944" s="22">
        <v>0</v>
      </c>
    </row>
    <row r="945" spans="1:19" ht="76.5" outlineLevel="1">
      <c r="A945" s="5">
        <v>930</v>
      </c>
      <c r="B945" s="15" t="s">
        <v>710</v>
      </c>
      <c r="C945" s="5" t="s">
        <v>597</v>
      </c>
      <c r="D945" s="117" t="s">
        <v>853</v>
      </c>
      <c r="E945" s="57" t="s">
        <v>2380</v>
      </c>
      <c r="F945" s="57" t="s">
        <v>854</v>
      </c>
      <c r="G945" s="57" t="s">
        <v>1784</v>
      </c>
      <c r="H945" s="57" t="s">
        <v>855</v>
      </c>
      <c r="I945" s="57" t="s">
        <v>1785</v>
      </c>
      <c r="J945" s="57" t="s">
        <v>40</v>
      </c>
      <c r="K945" s="57" t="s">
        <v>591</v>
      </c>
      <c r="L945" s="11" t="s">
        <v>914</v>
      </c>
      <c r="M945" s="22">
        <v>1</v>
      </c>
      <c r="N945" s="46">
        <v>1544643</v>
      </c>
      <c r="O945" s="49">
        <f t="shared" si="19"/>
        <v>1544643</v>
      </c>
      <c r="P945" s="5" t="s">
        <v>588</v>
      </c>
      <c r="Q945" s="5" t="s">
        <v>766</v>
      </c>
      <c r="R945" s="11" t="s">
        <v>1175</v>
      </c>
      <c r="S945" s="22">
        <v>0</v>
      </c>
    </row>
    <row r="946" spans="1:19" ht="51" outlineLevel="1">
      <c r="A946" s="5">
        <v>931</v>
      </c>
      <c r="B946" s="15" t="s">
        <v>710</v>
      </c>
      <c r="C946" s="5" t="s">
        <v>597</v>
      </c>
      <c r="D946" s="117" t="s">
        <v>493</v>
      </c>
      <c r="E946" s="57" t="s">
        <v>2381</v>
      </c>
      <c r="F946" s="57" t="s">
        <v>113</v>
      </c>
      <c r="G946" s="57" t="s">
        <v>1786</v>
      </c>
      <c r="H946" s="57" t="s">
        <v>113</v>
      </c>
      <c r="I946" s="57" t="s">
        <v>1786</v>
      </c>
      <c r="J946" s="57" t="s">
        <v>113</v>
      </c>
      <c r="K946" s="57" t="s">
        <v>591</v>
      </c>
      <c r="L946" s="11" t="s">
        <v>914</v>
      </c>
      <c r="M946" s="22">
        <v>1</v>
      </c>
      <c r="N946" s="46">
        <v>60714</v>
      </c>
      <c r="O946" s="49">
        <f t="shared" si="19"/>
        <v>60714</v>
      </c>
      <c r="P946" s="5" t="s">
        <v>393</v>
      </c>
      <c r="Q946" s="5" t="s">
        <v>393</v>
      </c>
      <c r="R946" s="11" t="s">
        <v>1175</v>
      </c>
      <c r="S946" s="22">
        <v>100</v>
      </c>
    </row>
    <row r="947" spans="1:19" ht="76.5" outlineLevel="1">
      <c r="A947" s="5">
        <v>932</v>
      </c>
      <c r="B947" s="29" t="s">
        <v>710</v>
      </c>
      <c r="C947" s="35" t="s">
        <v>597</v>
      </c>
      <c r="D947" s="5" t="s">
        <v>485</v>
      </c>
      <c r="E947" s="57" t="s">
        <v>486</v>
      </c>
      <c r="F947" s="57" t="s">
        <v>487</v>
      </c>
      <c r="G947" s="57" t="s">
        <v>2061</v>
      </c>
      <c r="H947" s="57" t="s">
        <v>488</v>
      </c>
      <c r="I947" s="57" t="s">
        <v>2062</v>
      </c>
      <c r="J947" s="57" t="s">
        <v>40</v>
      </c>
      <c r="K947" s="57" t="s">
        <v>591</v>
      </c>
      <c r="L947" s="11" t="s">
        <v>914</v>
      </c>
      <c r="M947" s="22">
        <v>1</v>
      </c>
      <c r="N947" s="46">
        <v>550836</v>
      </c>
      <c r="O947" s="49">
        <f t="shared" si="19"/>
        <v>550836</v>
      </c>
      <c r="P947" s="5" t="s">
        <v>393</v>
      </c>
      <c r="Q947" s="5" t="s">
        <v>766</v>
      </c>
      <c r="R947" s="11" t="s">
        <v>2030</v>
      </c>
      <c r="S947" s="22">
        <v>0</v>
      </c>
    </row>
    <row r="948" spans="1:19" ht="51" outlineLevel="1">
      <c r="A948" s="5">
        <v>933</v>
      </c>
      <c r="B948" s="29" t="s">
        <v>710</v>
      </c>
      <c r="C948" s="35" t="s">
        <v>597</v>
      </c>
      <c r="D948" s="5" t="s">
        <v>489</v>
      </c>
      <c r="E948" s="57" t="s">
        <v>2035</v>
      </c>
      <c r="F948" s="57" t="s">
        <v>1134</v>
      </c>
      <c r="G948" s="57" t="s">
        <v>2035</v>
      </c>
      <c r="H948" s="57" t="s">
        <v>1134</v>
      </c>
      <c r="I948" s="57" t="s">
        <v>2036</v>
      </c>
      <c r="J948" s="57" t="s">
        <v>1135</v>
      </c>
      <c r="K948" s="57" t="s">
        <v>591</v>
      </c>
      <c r="L948" s="11" t="s">
        <v>914</v>
      </c>
      <c r="M948" s="22">
        <v>1</v>
      </c>
      <c r="N948" s="46">
        <v>357686</v>
      </c>
      <c r="O948" s="49">
        <f t="shared" si="19"/>
        <v>357686</v>
      </c>
      <c r="P948" s="5" t="s">
        <v>393</v>
      </c>
      <c r="Q948" s="5" t="s">
        <v>766</v>
      </c>
      <c r="R948" s="11" t="s">
        <v>2030</v>
      </c>
      <c r="S948" s="22">
        <v>0</v>
      </c>
    </row>
    <row r="949" spans="1:19" ht="51" outlineLevel="1">
      <c r="A949" s="5">
        <v>934</v>
      </c>
      <c r="B949" s="29" t="s">
        <v>710</v>
      </c>
      <c r="C949" s="35" t="s">
        <v>597</v>
      </c>
      <c r="D949" s="11" t="s">
        <v>492</v>
      </c>
      <c r="E949" s="57" t="s">
        <v>2076</v>
      </c>
      <c r="F949" s="57" t="s">
        <v>111</v>
      </c>
      <c r="G949" s="57" t="s">
        <v>2076</v>
      </c>
      <c r="H949" s="57" t="s">
        <v>111</v>
      </c>
      <c r="I949" s="57" t="s">
        <v>2076</v>
      </c>
      <c r="J949" s="57" t="s">
        <v>111</v>
      </c>
      <c r="K949" s="57" t="s">
        <v>591</v>
      </c>
      <c r="L949" s="11" t="s">
        <v>914</v>
      </c>
      <c r="M949" s="22">
        <v>1</v>
      </c>
      <c r="N949" s="46">
        <v>245565</v>
      </c>
      <c r="O949" s="49">
        <f t="shared" si="19"/>
        <v>245565</v>
      </c>
      <c r="P949" s="5" t="s">
        <v>393</v>
      </c>
      <c r="Q949" s="5" t="s">
        <v>766</v>
      </c>
      <c r="R949" s="11" t="s">
        <v>2030</v>
      </c>
      <c r="S949" s="22">
        <v>0</v>
      </c>
    </row>
    <row r="950" spans="1:19" ht="51" outlineLevel="1">
      <c r="A950" s="5">
        <v>935</v>
      </c>
      <c r="B950" s="29" t="s">
        <v>710</v>
      </c>
      <c r="C950" s="35" t="s">
        <v>597</v>
      </c>
      <c r="D950" s="117" t="s">
        <v>493</v>
      </c>
      <c r="E950" s="57" t="s">
        <v>1786</v>
      </c>
      <c r="F950" s="57" t="s">
        <v>113</v>
      </c>
      <c r="G950" s="57" t="s">
        <v>1786</v>
      </c>
      <c r="H950" s="57" t="s">
        <v>113</v>
      </c>
      <c r="I950" s="57" t="s">
        <v>1786</v>
      </c>
      <c r="J950" s="57" t="s">
        <v>113</v>
      </c>
      <c r="K950" s="57" t="s">
        <v>591</v>
      </c>
      <c r="L950" s="11" t="s">
        <v>914</v>
      </c>
      <c r="M950" s="22">
        <v>1</v>
      </c>
      <c r="N950" s="46">
        <f>O950/M950</f>
        <v>0</v>
      </c>
      <c r="O950" s="49">
        <f>14980-14980</f>
        <v>0</v>
      </c>
      <c r="P950" s="5" t="s">
        <v>393</v>
      </c>
      <c r="Q950" s="5" t="s">
        <v>766</v>
      </c>
      <c r="R950" s="11" t="s">
        <v>2030</v>
      </c>
      <c r="S950" s="22">
        <v>100</v>
      </c>
    </row>
    <row r="951" spans="1:19" ht="76.5" outlineLevel="1">
      <c r="A951" s="5">
        <v>936</v>
      </c>
      <c r="B951" s="15" t="s">
        <v>710</v>
      </c>
      <c r="C951" s="5" t="s">
        <v>597</v>
      </c>
      <c r="D951" s="5" t="s">
        <v>485</v>
      </c>
      <c r="E951" s="57" t="s">
        <v>486</v>
      </c>
      <c r="F951" s="57" t="s">
        <v>487</v>
      </c>
      <c r="G951" s="57" t="s">
        <v>2061</v>
      </c>
      <c r="H951" s="57" t="s">
        <v>488</v>
      </c>
      <c r="I951" s="57" t="s">
        <v>2062</v>
      </c>
      <c r="J951" s="57" t="s">
        <v>40</v>
      </c>
      <c r="K951" s="57" t="s">
        <v>591</v>
      </c>
      <c r="L951" s="11" t="s">
        <v>914</v>
      </c>
      <c r="M951" s="22">
        <v>1</v>
      </c>
      <c r="N951" s="46">
        <v>867857</v>
      </c>
      <c r="O951" s="49">
        <f t="shared" si="19"/>
        <v>867857</v>
      </c>
      <c r="P951" s="5" t="s">
        <v>393</v>
      </c>
      <c r="Q951" s="5" t="s">
        <v>766</v>
      </c>
      <c r="R951" s="11" t="s">
        <v>1021</v>
      </c>
      <c r="S951" s="5">
        <v>0</v>
      </c>
    </row>
    <row r="952" spans="1:19" ht="51" outlineLevel="1">
      <c r="A952" s="5">
        <v>937</v>
      </c>
      <c r="B952" s="15" t="s">
        <v>710</v>
      </c>
      <c r="C952" s="5" t="s">
        <v>597</v>
      </c>
      <c r="D952" s="11" t="s">
        <v>1040</v>
      </c>
      <c r="E952" s="57" t="s">
        <v>2035</v>
      </c>
      <c r="F952" s="57" t="s">
        <v>1134</v>
      </c>
      <c r="G952" s="57" t="s">
        <v>2035</v>
      </c>
      <c r="H952" s="57" t="s">
        <v>1134</v>
      </c>
      <c r="I952" s="57" t="s">
        <v>2036</v>
      </c>
      <c r="J952" s="57" t="s">
        <v>1135</v>
      </c>
      <c r="K952" s="57" t="s">
        <v>591</v>
      </c>
      <c r="L952" s="11" t="s">
        <v>914</v>
      </c>
      <c r="M952" s="22">
        <v>1</v>
      </c>
      <c r="N952" s="46">
        <v>216000</v>
      </c>
      <c r="O952" s="49">
        <f t="shared" si="19"/>
        <v>216000</v>
      </c>
      <c r="P952" s="5" t="s">
        <v>393</v>
      </c>
      <c r="Q952" s="5" t="s">
        <v>766</v>
      </c>
      <c r="R952" s="11" t="s">
        <v>1021</v>
      </c>
      <c r="S952" s="5">
        <v>0</v>
      </c>
    </row>
    <row r="953" spans="1:19" ht="51" outlineLevel="1">
      <c r="A953" s="5">
        <v>938</v>
      </c>
      <c r="B953" s="15" t="s">
        <v>710</v>
      </c>
      <c r="C953" s="5" t="s">
        <v>597</v>
      </c>
      <c r="D953" s="11" t="s">
        <v>492</v>
      </c>
      <c r="E953" s="57" t="s">
        <v>2076</v>
      </c>
      <c r="F953" s="57" t="s">
        <v>111</v>
      </c>
      <c r="G953" s="57" t="s">
        <v>2076</v>
      </c>
      <c r="H953" s="57" t="s">
        <v>111</v>
      </c>
      <c r="I953" s="57" t="s">
        <v>2076</v>
      </c>
      <c r="J953" s="57" t="s">
        <v>111</v>
      </c>
      <c r="K953" s="57" t="s">
        <v>591</v>
      </c>
      <c r="L953" s="11" t="s">
        <v>914</v>
      </c>
      <c r="M953" s="22">
        <v>1</v>
      </c>
      <c r="N953" s="46">
        <v>204000</v>
      </c>
      <c r="O953" s="49">
        <f t="shared" si="19"/>
        <v>204000</v>
      </c>
      <c r="P953" s="5" t="s">
        <v>393</v>
      </c>
      <c r="Q953" s="5" t="s">
        <v>766</v>
      </c>
      <c r="R953" s="11" t="s">
        <v>1021</v>
      </c>
      <c r="S953" s="5">
        <v>0</v>
      </c>
    </row>
    <row r="954" spans="1:19" ht="51" outlineLevel="1">
      <c r="A954" s="5">
        <v>939</v>
      </c>
      <c r="B954" s="15" t="s">
        <v>710</v>
      </c>
      <c r="C954" s="5" t="s">
        <v>597</v>
      </c>
      <c r="D954" s="117" t="s">
        <v>493</v>
      </c>
      <c r="E954" s="57" t="s">
        <v>1786</v>
      </c>
      <c r="F954" s="57" t="s">
        <v>113</v>
      </c>
      <c r="G954" s="57" t="s">
        <v>1786</v>
      </c>
      <c r="H954" s="57" t="s">
        <v>113</v>
      </c>
      <c r="I954" s="57" t="s">
        <v>1786</v>
      </c>
      <c r="J954" s="57" t="s">
        <v>113</v>
      </c>
      <c r="K954" s="57" t="s">
        <v>591</v>
      </c>
      <c r="L954" s="11" t="s">
        <v>914</v>
      </c>
      <c r="M954" s="22">
        <v>1</v>
      </c>
      <c r="N954" s="46">
        <v>5357</v>
      </c>
      <c r="O954" s="49">
        <f t="shared" si="19"/>
        <v>5357</v>
      </c>
      <c r="P954" s="5" t="s">
        <v>501</v>
      </c>
      <c r="Q954" s="5" t="s">
        <v>501</v>
      </c>
      <c r="R954" s="11" t="s">
        <v>1021</v>
      </c>
      <c r="S954" s="5">
        <v>100</v>
      </c>
    </row>
    <row r="955" spans="1:19" ht="76.5" outlineLevel="1">
      <c r="A955" s="5">
        <v>940</v>
      </c>
      <c r="B955" s="15" t="s">
        <v>710</v>
      </c>
      <c r="C955" s="5" t="s">
        <v>597</v>
      </c>
      <c r="D955" s="5" t="s">
        <v>485</v>
      </c>
      <c r="E955" s="57" t="s">
        <v>486</v>
      </c>
      <c r="F955" s="57" t="s">
        <v>487</v>
      </c>
      <c r="G955" s="57" t="s">
        <v>2061</v>
      </c>
      <c r="H955" s="57" t="s">
        <v>488</v>
      </c>
      <c r="I955" s="57" t="s">
        <v>2062</v>
      </c>
      <c r="J955" s="57" t="s">
        <v>40</v>
      </c>
      <c r="K955" s="57" t="s">
        <v>591</v>
      </c>
      <c r="L955" s="11" t="s">
        <v>914</v>
      </c>
      <c r="M955" s="22">
        <v>1</v>
      </c>
      <c r="N955" s="46">
        <v>660000</v>
      </c>
      <c r="O955" s="49">
        <f t="shared" si="19"/>
        <v>660000</v>
      </c>
      <c r="P955" s="5" t="s">
        <v>393</v>
      </c>
      <c r="Q955" s="5" t="s">
        <v>766</v>
      </c>
      <c r="R955" s="11" t="s">
        <v>789</v>
      </c>
      <c r="S955" s="5">
        <v>0</v>
      </c>
    </row>
    <row r="956" spans="1:19" ht="51" outlineLevel="1">
      <c r="A956" s="5">
        <v>941</v>
      </c>
      <c r="B956" s="15" t="s">
        <v>710</v>
      </c>
      <c r="C956" s="5" t="s">
        <v>597</v>
      </c>
      <c r="D956" s="5" t="s">
        <v>489</v>
      </c>
      <c r="E956" s="57" t="s">
        <v>2035</v>
      </c>
      <c r="F956" s="57" t="s">
        <v>1134</v>
      </c>
      <c r="G956" s="57" t="s">
        <v>2035</v>
      </c>
      <c r="H956" s="57" t="s">
        <v>1134</v>
      </c>
      <c r="I956" s="57" t="s">
        <v>2036</v>
      </c>
      <c r="J956" s="57" t="s">
        <v>1135</v>
      </c>
      <c r="K956" s="57" t="s">
        <v>591</v>
      </c>
      <c r="L956" s="11" t="s">
        <v>914</v>
      </c>
      <c r="M956" s="22">
        <v>1</v>
      </c>
      <c r="N956" s="46">
        <v>192857</v>
      </c>
      <c r="O956" s="49">
        <f t="shared" si="19"/>
        <v>192857</v>
      </c>
      <c r="P956" s="5" t="s">
        <v>393</v>
      </c>
      <c r="Q956" s="5" t="s">
        <v>766</v>
      </c>
      <c r="R956" s="11" t="s">
        <v>789</v>
      </c>
      <c r="S956" s="5">
        <v>0</v>
      </c>
    </row>
    <row r="957" spans="1:19" ht="51" outlineLevel="1">
      <c r="A957" s="5">
        <v>942</v>
      </c>
      <c r="B957" s="15" t="s">
        <v>710</v>
      </c>
      <c r="C957" s="5" t="s">
        <v>597</v>
      </c>
      <c r="D957" s="11" t="s">
        <v>492</v>
      </c>
      <c r="E957" s="57" t="s">
        <v>2076</v>
      </c>
      <c r="F957" s="57" t="s">
        <v>111</v>
      </c>
      <c r="G957" s="57" t="s">
        <v>2076</v>
      </c>
      <c r="H957" s="57" t="s">
        <v>111</v>
      </c>
      <c r="I957" s="57" t="s">
        <v>2076</v>
      </c>
      <c r="J957" s="57" t="s">
        <v>111</v>
      </c>
      <c r="K957" s="57" t="s">
        <v>591</v>
      </c>
      <c r="L957" s="11" t="s">
        <v>914</v>
      </c>
      <c r="M957" s="22">
        <v>1</v>
      </c>
      <c r="N957" s="46">
        <f>O957/M957</f>
        <v>91177</v>
      </c>
      <c r="O957" s="49">
        <f>149464-58287</f>
        <v>91177</v>
      </c>
      <c r="P957" s="5" t="s">
        <v>393</v>
      </c>
      <c r="Q957" s="5" t="s">
        <v>766</v>
      </c>
      <c r="R957" s="11" t="s">
        <v>789</v>
      </c>
      <c r="S957" s="5">
        <v>0</v>
      </c>
    </row>
    <row r="958" spans="1:19" ht="51" outlineLevel="1">
      <c r="A958" s="5">
        <v>943</v>
      </c>
      <c r="B958" s="15" t="s">
        <v>710</v>
      </c>
      <c r="C958" s="5" t="s">
        <v>597</v>
      </c>
      <c r="D958" s="117" t="s">
        <v>493</v>
      </c>
      <c r="E958" s="57" t="s">
        <v>1786</v>
      </c>
      <c r="F958" s="57" t="s">
        <v>113</v>
      </c>
      <c r="G958" s="57" t="s">
        <v>1786</v>
      </c>
      <c r="H958" s="57" t="s">
        <v>113</v>
      </c>
      <c r="I958" s="57" t="s">
        <v>1786</v>
      </c>
      <c r="J958" s="57" t="s">
        <v>113</v>
      </c>
      <c r="K958" s="57" t="s">
        <v>591</v>
      </c>
      <c r="L958" s="11" t="s">
        <v>914</v>
      </c>
      <c r="M958" s="22">
        <v>1</v>
      </c>
      <c r="N958" s="46">
        <v>10714</v>
      </c>
      <c r="O958" s="49">
        <f t="shared" si="19"/>
        <v>10714</v>
      </c>
      <c r="P958" s="5" t="s">
        <v>501</v>
      </c>
      <c r="Q958" s="5" t="s">
        <v>766</v>
      </c>
      <c r="R958" s="11" t="s">
        <v>789</v>
      </c>
      <c r="S958" s="5">
        <v>0</v>
      </c>
    </row>
    <row r="959" spans="1:19" ht="76.5" outlineLevel="1">
      <c r="A959" s="5">
        <v>944</v>
      </c>
      <c r="B959" s="15" t="s">
        <v>710</v>
      </c>
      <c r="C959" s="5" t="s">
        <v>597</v>
      </c>
      <c r="D959" s="5" t="s">
        <v>485</v>
      </c>
      <c r="E959" s="57" t="s">
        <v>486</v>
      </c>
      <c r="F959" s="57" t="s">
        <v>487</v>
      </c>
      <c r="G959" s="57" t="s">
        <v>2061</v>
      </c>
      <c r="H959" s="57" t="s">
        <v>488</v>
      </c>
      <c r="I959" s="57" t="s">
        <v>2062</v>
      </c>
      <c r="J959" s="57" t="s">
        <v>40</v>
      </c>
      <c r="K959" s="57" t="s">
        <v>591</v>
      </c>
      <c r="L959" s="11" t="s">
        <v>914</v>
      </c>
      <c r="M959" s="22">
        <v>1</v>
      </c>
      <c r="N959" s="46">
        <v>357143</v>
      </c>
      <c r="O959" s="49">
        <f t="shared" si="19"/>
        <v>357143</v>
      </c>
      <c r="P959" s="5" t="s">
        <v>393</v>
      </c>
      <c r="Q959" s="5" t="s">
        <v>766</v>
      </c>
      <c r="R959" s="11" t="s">
        <v>2027</v>
      </c>
      <c r="S959" s="22">
        <v>30</v>
      </c>
    </row>
    <row r="960" spans="1:19" ht="51" outlineLevel="1">
      <c r="A960" s="5">
        <v>945</v>
      </c>
      <c r="B960" s="15" t="s">
        <v>710</v>
      </c>
      <c r="C960" s="5" t="s">
        <v>597</v>
      </c>
      <c r="D960" s="5" t="s">
        <v>489</v>
      </c>
      <c r="E960" s="57" t="s">
        <v>2035</v>
      </c>
      <c r="F960" s="57" t="s">
        <v>1134</v>
      </c>
      <c r="G960" s="57" t="s">
        <v>2035</v>
      </c>
      <c r="H960" s="57" t="s">
        <v>1134</v>
      </c>
      <c r="I960" s="57" t="s">
        <v>2036</v>
      </c>
      <c r="J960" s="57" t="s">
        <v>1135</v>
      </c>
      <c r="K960" s="57" t="s">
        <v>591</v>
      </c>
      <c r="L960" s="11" t="s">
        <v>914</v>
      </c>
      <c r="M960" s="22">
        <v>1</v>
      </c>
      <c r="N960" s="46">
        <v>214286</v>
      </c>
      <c r="O960" s="49">
        <f t="shared" si="19"/>
        <v>214286</v>
      </c>
      <c r="P960" s="5" t="s">
        <v>393</v>
      </c>
      <c r="Q960" s="5" t="s">
        <v>766</v>
      </c>
      <c r="R960" s="11" t="s">
        <v>2027</v>
      </c>
      <c r="S960" s="22">
        <v>0</v>
      </c>
    </row>
    <row r="961" spans="1:19" ht="76.5" outlineLevel="1">
      <c r="A961" s="5">
        <v>946</v>
      </c>
      <c r="B961" s="15" t="s">
        <v>710</v>
      </c>
      <c r="C961" s="5" t="s">
        <v>597</v>
      </c>
      <c r="D961" s="5" t="s">
        <v>485</v>
      </c>
      <c r="E961" s="57" t="s">
        <v>486</v>
      </c>
      <c r="F961" s="57" t="s">
        <v>487</v>
      </c>
      <c r="G961" s="57" t="s">
        <v>2061</v>
      </c>
      <c r="H961" s="57" t="s">
        <v>488</v>
      </c>
      <c r="I961" s="57" t="s">
        <v>2062</v>
      </c>
      <c r="J961" s="57" t="s">
        <v>40</v>
      </c>
      <c r="K961" s="57" t="s">
        <v>591</v>
      </c>
      <c r="L961" s="11" t="s">
        <v>914</v>
      </c>
      <c r="M961" s="22">
        <v>1</v>
      </c>
      <c r="N961" s="46">
        <v>1316250</v>
      </c>
      <c r="O961" s="49">
        <f t="shared" si="19"/>
        <v>1316250</v>
      </c>
      <c r="P961" s="5" t="s">
        <v>391</v>
      </c>
      <c r="Q961" s="5" t="s">
        <v>766</v>
      </c>
      <c r="R961" s="11" t="s">
        <v>2022</v>
      </c>
      <c r="S961" s="22">
        <v>0</v>
      </c>
    </row>
    <row r="962" spans="1:19" ht="51" outlineLevel="1">
      <c r="A962" s="5">
        <v>947</v>
      </c>
      <c r="B962" s="15" t="s">
        <v>710</v>
      </c>
      <c r="C962" s="5" t="s">
        <v>597</v>
      </c>
      <c r="D962" s="5" t="s">
        <v>489</v>
      </c>
      <c r="E962" s="57" t="s">
        <v>2035</v>
      </c>
      <c r="F962" s="57" t="s">
        <v>1134</v>
      </c>
      <c r="G962" s="57" t="s">
        <v>2035</v>
      </c>
      <c r="H962" s="57" t="s">
        <v>1134</v>
      </c>
      <c r="I962" s="57" t="s">
        <v>2036</v>
      </c>
      <c r="J962" s="57" t="s">
        <v>1135</v>
      </c>
      <c r="K962" s="57" t="s">
        <v>591</v>
      </c>
      <c r="L962" s="11" t="s">
        <v>914</v>
      </c>
      <c r="M962" s="22">
        <v>1</v>
      </c>
      <c r="N962" s="46">
        <v>380714</v>
      </c>
      <c r="O962" s="49">
        <f t="shared" si="19"/>
        <v>380714</v>
      </c>
      <c r="P962" s="5" t="s">
        <v>391</v>
      </c>
      <c r="Q962" s="5" t="s">
        <v>766</v>
      </c>
      <c r="R962" s="11" t="s">
        <v>2022</v>
      </c>
      <c r="S962" s="22">
        <v>0</v>
      </c>
    </row>
    <row r="963" spans="1:19" ht="51" outlineLevel="1">
      <c r="A963" s="5">
        <v>948</v>
      </c>
      <c r="B963" s="15" t="s">
        <v>710</v>
      </c>
      <c r="C963" s="5" t="s">
        <v>597</v>
      </c>
      <c r="D963" s="11" t="s">
        <v>492</v>
      </c>
      <c r="E963" s="57" t="s">
        <v>2076</v>
      </c>
      <c r="F963" s="57" t="s">
        <v>111</v>
      </c>
      <c r="G963" s="57" t="s">
        <v>2076</v>
      </c>
      <c r="H963" s="57" t="s">
        <v>111</v>
      </c>
      <c r="I963" s="57" t="s">
        <v>2076</v>
      </c>
      <c r="J963" s="57" t="s">
        <v>111</v>
      </c>
      <c r="K963" s="57" t="s">
        <v>591</v>
      </c>
      <c r="L963" s="11" t="s">
        <v>914</v>
      </c>
      <c r="M963" s="22">
        <v>1</v>
      </c>
      <c r="N963" s="46">
        <v>391071</v>
      </c>
      <c r="O963" s="49">
        <f t="shared" si="19"/>
        <v>391071</v>
      </c>
      <c r="P963" s="5" t="s">
        <v>393</v>
      </c>
      <c r="Q963" s="5" t="s">
        <v>766</v>
      </c>
      <c r="R963" s="11" t="s">
        <v>2022</v>
      </c>
      <c r="S963" s="22">
        <v>0</v>
      </c>
    </row>
    <row r="964" spans="1:19" ht="51" outlineLevel="1">
      <c r="A964" s="5">
        <v>949</v>
      </c>
      <c r="B964" s="15" t="s">
        <v>710</v>
      </c>
      <c r="C964" s="5" t="s">
        <v>597</v>
      </c>
      <c r="D964" s="117" t="s">
        <v>493</v>
      </c>
      <c r="E964" s="57" t="s">
        <v>1786</v>
      </c>
      <c r="F964" s="57" t="s">
        <v>113</v>
      </c>
      <c r="G964" s="57" t="s">
        <v>1786</v>
      </c>
      <c r="H964" s="57" t="s">
        <v>113</v>
      </c>
      <c r="I964" s="57" t="s">
        <v>1786</v>
      </c>
      <c r="J964" s="57" t="s">
        <v>113</v>
      </c>
      <c r="K964" s="57" t="s">
        <v>591</v>
      </c>
      <c r="L964" s="11" t="s">
        <v>914</v>
      </c>
      <c r="M964" s="22">
        <v>1</v>
      </c>
      <c r="N964" s="46">
        <f>O964/M964</f>
        <v>0</v>
      </c>
      <c r="O964" s="49">
        <f>14286-14286</f>
        <v>0</v>
      </c>
      <c r="P964" s="5" t="s">
        <v>391</v>
      </c>
      <c r="Q964" s="5" t="s">
        <v>391</v>
      </c>
      <c r="R964" s="11" t="s">
        <v>2022</v>
      </c>
      <c r="S964" s="22">
        <v>100</v>
      </c>
    </row>
    <row r="965" spans="1:19" s="13" customFormat="1" ht="76.5">
      <c r="A965" s="5">
        <v>950</v>
      </c>
      <c r="B965" s="15" t="s">
        <v>710</v>
      </c>
      <c r="C965" s="5" t="s">
        <v>597</v>
      </c>
      <c r="D965" s="5" t="s">
        <v>485</v>
      </c>
      <c r="E965" s="57" t="s">
        <v>486</v>
      </c>
      <c r="F965" s="57" t="s">
        <v>487</v>
      </c>
      <c r="G965" s="57" t="s">
        <v>2061</v>
      </c>
      <c r="H965" s="57" t="s">
        <v>488</v>
      </c>
      <c r="I965" s="57" t="s">
        <v>2062</v>
      </c>
      <c r="J965" s="57" t="s">
        <v>40</v>
      </c>
      <c r="K965" s="57" t="s">
        <v>591</v>
      </c>
      <c r="L965" s="11" t="s">
        <v>914</v>
      </c>
      <c r="M965" s="22">
        <v>1</v>
      </c>
      <c r="N965" s="46">
        <v>580357</v>
      </c>
      <c r="O965" s="49">
        <f t="shared" si="19"/>
        <v>580357</v>
      </c>
      <c r="P965" s="5" t="s">
        <v>393</v>
      </c>
      <c r="Q965" s="5" t="s">
        <v>766</v>
      </c>
      <c r="R965" s="11" t="s">
        <v>2023</v>
      </c>
      <c r="S965" s="22">
        <v>80</v>
      </c>
    </row>
    <row r="966" spans="1:19" s="13" customFormat="1" ht="51">
      <c r="A966" s="5">
        <v>951</v>
      </c>
      <c r="B966" s="15" t="s">
        <v>710</v>
      </c>
      <c r="C966" s="5" t="s">
        <v>597</v>
      </c>
      <c r="D966" s="5" t="s">
        <v>489</v>
      </c>
      <c r="E966" s="57" t="s">
        <v>2035</v>
      </c>
      <c r="F966" s="57" t="s">
        <v>1134</v>
      </c>
      <c r="G966" s="57" t="s">
        <v>2035</v>
      </c>
      <c r="H966" s="57" t="s">
        <v>1134</v>
      </c>
      <c r="I966" s="57" t="s">
        <v>2036</v>
      </c>
      <c r="J966" s="57" t="s">
        <v>1135</v>
      </c>
      <c r="K966" s="57" t="s">
        <v>591</v>
      </c>
      <c r="L966" s="11" t="s">
        <v>914</v>
      </c>
      <c r="M966" s="22">
        <v>1</v>
      </c>
      <c r="N966" s="46">
        <v>196414</v>
      </c>
      <c r="O966" s="49">
        <f t="shared" si="19"/>
        <v>196414</v>
      </c>
      <c r="P966" s="5" t="s">
        <v>393</v>
      </c>
      <c r="Q966" s="5" t="s">
        <v>766</v>
      </c>
      <c r="R966" s="11" t="s">
        <v>2023</v>
      </c>
      <c r="S966" s="22">
        <v>100</v>
      </c>
    </row>
    <row r="967" spans="1:19" s="13" customFormat="1" ht="51">
      <c r="A967" s="5">
        <v>952</v>
      </c>
      <c r="B967" s="15" t="s">
        <v>710</v>
      </c>
      <c r="C967" s="5" t="s">
        <v>597</v>
      </c>
      <c r="D967" s="117" t="s">
        <v>493</v>
      </c>
      <c r="E967" s="57" t="s">
        <v>1786</v>
      </c>
      <c r="F967" s="57" t="s">
        <v>113</v>
      </c>
      <c r="G967" s="57" t="s">
        <v>1786</v>
      </c>
      <c r="H967" s="57" t="s">
        <v>113</v>
      </c>
      <c r="I967" s="57" t="s">
        <v>1786</v>
      </c>
      <c r="J967" s="57" t="s">
        <v>113</v>
      </c>
      <c r="K967" s="57" t="s">
        <v>591</v>
      </c>
      <c r="L967" s="11" t="s">
        <v>914</v>
      </c>
      <c r="M967" s="22">
        <v>1</v>
      </c>
      <c r="N967" s="46">
        <v>8929</v>
      </c>
      <c r="O967" s="49">
        <f t="shared" si="19"/>
        <v>8929</v>
      </c>
      <c r="P967" s="5" t="s">
        <v>588</v>
      </c>
      <c r="Q967" s="15" t="s">
        <v>506</v>
      </c>
      <c r="R967" s="11" t="s">
        <v>2023</v>
      </c>
      <c r="S967" s="22">
        <v>100</v>
      </c>
    </row>
    <row r="968" spans="1:19" ht="76.5" outlineLevel="1">
      <c r="A968" s="5">
        <v>953</v>
      </c>
      <c r="B968" s="15" t="s">
        <v>710</v>
      </c>
      <c r="C968" s="5" t="s">
        <v>597</v>
      </c>
      <c r="D968" s="5" t="s">
        <v>485</v>
      </c>
      <c r="E968" s="57" t="s">
        <v>486</v>
      </c>
      <c r="F968" s="57" t="s">
        <v>487</v>
      </c>
      <c r="G968" s="57" t="s">
        <v>2061</v>
      </c>
      <c r="H968" s="57" t="s">
        <v>488</v>
      </c>
      <c r="I968" s="57" t="s">
        <v>2062</v>
      </c>
      <c r="J968" s="57" t="s">
        <v>40</v>
      </c>
      <c r="K968" s="57" t="s">
        <v>591</v>
      </c>
      <c r="L968" s="11" t="s">
        <v>914</v>
      </c>
      <c r="M968" s="22">
        <v>1</v>
      </c>
      <c r="N968" s="46">
        <v>836393</v>
      </c>
      <c r="O968" s="49">
        <f t="shared" si="19"/>
        <v>836393</v>
      </c>
      <c r="P968" s="5" t="s">
        <v>393</v>
      </c>
      <c r="Q968" s="5" t="s">
        <v>766</v>
      </c>
      <c r="R968" s="11" t="s">
        <v>633</v>
      </c>
      <c r="S968" s="22">
        <v>0</v>
      </c>
    </row>
    <row r="969" spans="1:19" ht="51" outlineLevel="1">
      <c r="A969" s="5">
        <v>954</v>
      </c>
      <c r="B969" s="15" t="s">
        <v>710</v>
      </c>
      <c r="C969" s="5" t="s">
        <v>597</v>
      </c>
      <c r="D969" s="5" t="s">
        <v>489</v>
      </c>
      <c r="E969" s="57" t="s">
        <v>2035</v>
      </c>
      <c r="F969" s="57" t="s">
        <v>1134</v>
      </c>
      <c r="G969" s="57" t="s">
        <v>2035</v>
      </c>
      <c r="H969" s="57" t="s">
        <v>1134</v>
      </c>
      <c r="I969" s="57" t="s">
        <v>2036</v>
      </c>
      <c r="J969" s="57" t="s">
        <v>1135</v>
      </c>
      <c r="K969" s="57" t="s">
        <v>591</v>
      </c>
      <c r="L969" s="11" t="s">
        <v>914</v>
      </c>
      <c r="M969" s="22">
        <v>1</v>
      </c>
      <c r="N969" s="46">
        <v>107143</v>
      </c>
      <c r="O969" s="49">
        <f t="shared" si="19"/>
        <v>107143</v>
      </c>
      <c r="P969" s="5" t="s">
        <v>393</v>
      </c>
      <c r="Q969" s="5" t="s">
        <v>766</v>
      </c>
      <c r="R969" s="11" t="s">
        <v>633</v>
      </c>
      <c r="S969" s="22">
        <v>0</v>
      </c>
    </row>
    <row r="970" spans="1:19" ht="51" outlineLevel="1">
      <c r="A970" s="5">
        <v>955</v>
      </c>
      <c r="B970" s="15" t="s">
        <v>710</v>
      </c>
      <c r="C970" s="5" t="s">
        <v>597</v>
      </c>
      <c r="D970" s="11" t="s">
        <v>492</v>
      </c>
      <c r="E970" s="57" t="s">
        <v>2076</v>
      </c>
      <c r="F970" s="57" t="s">
        <v>111</v>
      </c>
      <c r="G970" s="57" t="s">
        <v>2076</v>
      </c>
      <c r="H970" s="57" t="s">
        <v>111</v>
      </c>
      <c r="I970" s="57" t="s">
        <v>2076</v>
      </c>
      <c r="J970" s="57" t="s">
        <v>111</v>
      </c>
      <c r="K970" s="57" t="s">
        <v>591</v>
      </c>
      <c r="L970" s="11" t="s">
        <v>914</v>
      </c>
      <c r="M970" s="22">
        <v>1</v>
      </c>
      <c r="N970" s="46">
        <v>107143</v>
      </c>
      <c r="O970" s="49">
        <f t="shared" si="19"/>
        <v>107143</v>
      </c>
      <c r="P970" s="5" t="s">
        <v>393</v>
      </c>
      <c r="Q970" s="5" t="s">
        <v>766</v>
      </c>
      <c r="R970" s="11" t="s">
        <v>633</v>
      </c>
      <c r="S970" s="22">
        <v>0</v>
      </c>
    </row>
    <row r="971" spans="1:19" ht="76.5" outlineLevel="1">
      <c r="A971" s="5">
        <v>956</v>
      </c>
      <c r="B971" s="15" t="s">
        <v>710</v>
      </c>
      <c r="C971" s="5" t="s">
        <v>597</v>
      </c>
      <c r="D971" s="5" t="s">
        <v>485</v>
      </c>
      <c r="E971" s="57" t="s">
        <v>486</v>
      </c>
      <c r="F971" s="57" t="s">
        <v>487</v>
      </c>
      <c r="G971" s="57" t="s">
        <v>2061</v>
      </c>
      <c r="H971" s="57" t="s">
        <v>488</v>
      </c>
      <c r="I971" s="57" t="s">
        <v>2062</v>
      </c>
      <c r="J971" s="57" t="s">
        <v>40</v>
      </c>
      <c r="K971" s="57" t="s">
        <v>591</v>
      </c>
      <c r="L971" s="11" t="s">
        <v>914</v>
      </c>
      <c r="M971" s="22">
        <v>1</v>
      </c>
      <c r="N971" s="46">
        <v>187500</v>
      </c>
      <c r="O971" s="49">
        <f t="shared" si="19"/>
        <v>187500</v>
      </c>
      <c r="P971" s="5" t="s">
        <v>393</v>
      </c>
      <c r="Q971" s="5" t="s">
        <v>766</v>
      </c>
      <c r="R971" s="11">
        <v>311000000</v>
      </c>
      <c r="S971" s="14">
        <v>0</v>
      </c>
    </row>
    <row r="972" spans="1:19" ht="51" outlineLevel="1">
      <c r="A972" s="5">
        <v>957</v>
      </c>
      <c r="B972" s="15" t="s">
        <v>710</v>
      </c>
      <c r="C972" s="5" t="s">
        <v>597</v>
      </c>
      <c r="D972" s="11" t="s">
        <v>489</v>
      </c>
      <c r="E972" s="57" t="s">
        <v>2035</v>
      </c>
      <c r="F972" s="57" t="s">
        <v>1134</v>
      </c>
      <c r="G972" s="57" t="s">
        <v>2035</v>
      </c>
      <c r="H972" s="57" t="s">
        <v>1134</v>
      </c>
      <c r="I972" s="57" t="s">
        <v>2036</v>
      </c>
      <c r="J972" s="57" t="s">
        <v>1135</v>
      </c>
      <c r="K972" s="57" t="s">
        <v>591</v>
      </c>
      <c r="L972" s="11" t="s">
        <v>914</v>
      </c>
      <c r="M972" s="22">
        <v>1</v>
      </c>
      <c r="N972" s="46">
        <v>196429</v>
      </c>
      <c r="O972" s="49">
        <f t="shared" si="19"/>
        <v>196429</v>
      </c>
      <c r="P972" s="5" t="s">
        <v>393</v>
      </c>
      <c r="Q972" s="5" t="s">
        <v>766</v>
      </c>
      <c r="R972" s="11">
        <v>311000000</v>
      </c>
      <c r="S972" s="14">
        <v>0</v>
      </c>
    </row>
    <row r="973" spans="1:19" ht="51" outlineLevel="1">
      <c r="A973" s="5">
        <v>958</v>
      </c>
      <c r="B973" s="15" t="s">
        <v>710</v>
      </c>
      <c r="C973" s="5" t="s">
        <v>597</v>
      </c>
      <c r="D973" s="11" t="s">
        <v>492</v>
      </c>
      <c r="E973" s="57" t="s">
        <v>2076</v>
      </c>
      <c r="F973" s="57" t="s">
        <v>111</v>
      </c>
      <c r="G973" s="57" t="s">
        <v>2076</v>
      </c>
      <c r="H973" s="57" t="s">
        <v>111</v>
      </c>
      <c r="I973" s="57" t="s">
        <v>2076</v>
      </c>
      <c r="J973" s="57" t="s">
        <v>111</v>
      </c>
      <c r="K973" s="57" t="s">
        <v>591</v>
      </c>
      <c r="L973" s="11" t="s">
        <v>914</v>
      </c>
      <c r="M973" s="22">
        <v>1</v>
      </c>
      <c r="N973" s="46">
        <f>O973</f>
        <v>0</v>
      </c>
      <c r="O973" s="49">
        <f>97768-97768</f>
        <v>0</v>
      </c>
      <c r="P973" s="5" t="s">
        <v>515</v>
      </c>
      <c r="Q973" s="5" t="s">
        <v>766</v>
      </c>
      <c r="R973" s="11">
        <v>311000000</v>
      </c>
      <c r="S973" s="14">
        <v>0</v>
      </c>
    </row>
    <row r="974" spans="1:19" ht="51" outlineLevel="1">
      <c r="A974" s="5">
        <v>959</v>
      </c>
      <c r="B974" s="15" t="s">
        <v>710</v>
      </c>
      <c r="C974" s="5" t="s">
        <v>597</v>
      </c>
      <c r="D974" s="117" t="s">
        <v>493</v>
      </c>
      <c r="E974" s="57" t="s">
        <v>1786</v>
      </c>
      <c r="F974" s="57" t="s">
        <v>113</v>
      </c>
      <c r="G974" s="57" t="s">
        <v>1786</v>
      </c>
      <c r="H974" s="57" t="s">
        <v>113</v>
      </c>
      <c r="I974" s="57" t="s">
        <v>1786</v>
      </c>
      <c r="J974" s="57" t="s">
        <v>113</v>
      </c>
      <c r="K974" s="57" t="s">
        <v>591</v>
      </c>
      <c r="L974" s="11" t="s">
        <v>914</v>
      </c>
      <c r="M974" s="22">
        <v>1</v>
      </c>
      <c r="N974" s="46">
        <v>5357</v>
      </c>
      <c r="O974" s="49">
        <f t="shared" si="19"/>
        <v>5357</v>
      </c>
      <c r="P974" s="5" t="s">
        <v>393</v>
      </c>
      <c r="Q974" s="5" t="s">
        <v>766</v>
      </c>
      <c r="R974" s="11">
        <v>311000000</v>
      </c>
      <c r="S974" s="14">
        <v>100</v>
      </c>
    </row>
    <row r="975" spans="1:19" ht="76.5" outlineLevel="1">
      <c r="A975" s="5">
        <v>960</v>
      </c>
      <c r="B975" s="15" t="s">
        <v>710</v>
      </c>
      <c r="C975" s="5" t="s">
        <v>597</v>
      </c>
      <c r="D975" s="5" t="s">
        <v>485</v>
      </c>
      <c r="E975" s="57" t="s">
        <v>486</v>
      </c>
      <c r="F975" s="57" t="s">
        <v>487</v>
      </c>
      <c r="G975" s="57" t="s">
        <v>2061</v>
      </c>
      <c r="H975" s="57" t="s">
        <v>488</v>
      </c>
      <c r="I975" s="57" t="s">
        <v>2062</v>
      </c>
      <c r="J975" s="57" t="s">
        <v>40</v>
      </c>
      <c r="K975" s="57" t="s">
        <v>591</v>
      </c>
      <c r="L975" s="11" t="s">
        <v>914</v>
      </c>
      <c r="M975" s="22">
        <v>1</v>
      </c>
      <c r="N975" s="46">
        <v>840357</v>
      </c>
      <c r="O975" s="49">
        <f t="shared" si="19"/>
        <v>840357</v>
      </c>
      <c r="P975" s="5" t="s">
        <v>393</v>
      </c>
      <c r="Q975" s="5" t="s">
        <v>766</v>
      </c>
      <c r="R975" s="11" t="s">
        <v>2024</v>
      </c>
      <c r="S975" s="5">
        <v>30</v>
      </c>
    </row>
    <row r="976" spans="1:19" ht="51" outlineLevel="1">
      <c r="A976" s="5">
        <v>961</v>
      </c>
      <c r="B976" s="15" t="s">
        <v>710</v>
      </c>
      <c r="C976" s="5" t="s">
        <v>597</v>
      </c>
      <c r="D976" s="5" t="s">
        <v>489</v>
      </c>
      <c r="E976" s="57" t="s">
        <v>2035</v>
      </c>
      <c r="F976" s="57" t="s">
        <v>1134</v>
      </c>
      <c r="G976" s="57" t="s">
        <v>2035</v>
      </c>
      <c r="H976" s="57" t="s">
        <v>1134</v>
      </c>
      <c r="I976" s="57" t="s">
        <v>2036</v>
      </c>
      <c r="J976" s="57" t="s">
        <v>1135</v>
      </c>
      <c r="K976" s="57" t="s">
        <v>591</v>
      </c>
      <c r="L976" s="11" t="s">
        <v>914</v>
      </c>
      <c r="M976" s="22">
        <v>1</v>
      </c>
      <c r="N976" s="46">
        <v>150000</v>
      </c>
      <c r="O976" s="49">
        <f t="shared" ref="O976:O1039" si="20">M976*N976</f>
        <v>150000</v>
      </c>
      <c r="P976" s="5" t="s">
        <v>393</v>
      </c>
      <c r="Q976" s="5" t="s">
        <v>766</v>
      </c>
      <c r="R976" s="11" t="s">
        <v>2024</v>
      </c>
      <c r="S976" s="5">
        <v>30</v>
      </c>
    </row>
    <row r="977" spans="1:19" ht="51" outlineLevel="1">
      <c r="A977" s="5">
        <v>962</v>
      </c>
      <c r="B977" s="15" t="s">
        <v>710</v>
      </c>
      <c r="C977" s="5" t="s">
        <v>597</v>
      </c>
      <c r="D977" s="11" t="s">
        <v>492</v>
      </c>
      <c r="E977" s="57" t="s">
        <v>2076</v>
      </c>
      <c r="F977" s="57" t="s">
        <v>111</v>
      </c>
      <c r="G977" s="57" t="s">
        <v>2076</v>
      </c>
      <c r="H977" s="57" t="s">
        <v>111</v>
      </c>
      <c r="I977" s="57" t="s">
        <v>2076</v>
      </c>
      <c r="J977" s="57" t="s">
        <v>111</v>
      </c>
      <c r="K977" s="57" t="s">
        <v>591</v>
      </c>
      <c r="L977" s="11" t="s">
        <v>914</v>
      </c>
      <c r="M977" s="22">
        <v>1</v>
      </c>
      <c r="N977" s="46">
        <v>171429</v>
      </c>
      <c r="O977" s="49">
        <f t="shared" si="20"/>
        <v>171429</v>
      </c>
      <c r="P977" s="5" t="s">
        <v>393</v>
      </c>
      <c r="Q977" s="5" t="s">
        <v>766</v>
      </c>
      <c r="R977" s="11" t="s">
        <v>2024</v>
      </c>
      <c r="S977" s="5">
        <v>30</v>
      </c>
    </row>
    <row r="978" spans="1:19" ht="51" outlineLevel="1">
      <c r="A978" s="5">
        <v>963</v>
      </c>
      <c r="B978" s="15" t="s">
        <v>710</v>
      </c>
      <c r="C978" s="5" t="s">
        <v>597</v>
      </c>
      <c r="D978" s="117" t="s">
        <v>493</v>
      </c>
      <c r="E978" s="57" t="s">
        <v>1786</v>
      </c>
      <c r="F978" s="57" t="s">
        <v>113</v>
      </c>
      <c r="G978" s="57" t="s">
        <v>1786</v>
      </c>
      <c r="H978" s="57" t="s">
        <v>113</v>
      </c>
      <c r="I978" s="57" t="s">
        <v>1786</v>
      </c>
      <c r="J978" s="57" t="s">
        <v>113</v>
      </c>
      <c r="K978" s="57" t="s">
        <v>591</v>
      </c>
      <c r="L978" s="11" t="s">
        <v>914</v>
      </c>
      <c r="M978" s="22">
        <v>1</v>
      </c>
      <c r="N978" s="46">
        <v>8929</v>
      </c>
      <c r="O978" s="49">
        <f t="shared" si="20"/>
        <v>8929</v>
      </c>
      <c r="P978" s="5" t="s">
        <v>393</v>
      </c>
      <c r="Q978" s="5" t="s">
        <v>766</v>
      </c>
      <c r="R978" s="11" t="s">
        <v>2024</v>
      </c>
      <c r="S978" s="5">
        <v>100</v>
      </c>
    </row>
    <row r="979" spans="1:19" ht="76.5" outlineLevel="1">
      <c r="A979" s="5">
        <v>964</v>
      </c>
      <c r="B979" s="15" t="s">
        <v>710</v>
      </c>
      <c r="C979" s="5" t="s">
        <v>597</v>
      </c>
      <c r="D979" s="5" t="s">
        <v>485</v>
      </c>
      <c r="E979" s="57" t="s">
        <v>486</v>
      </c>
      <c r="F979" s="57" t="s">
        <v>487</v>
      </c>
      <c r="G979" s="57" t="s">
        <v>2061</v>
      </c>
      <c r="H979" s="57" t="s">
        <v>488</v>
      </c>
      <c r="I979" s="57" t="s">
        <v>2062</v>
      </c>
      <c r="J979" s="57" t="s">
        <v>40</v>
      </c>
      <c r="K979" s="57" t="s">
        <v>591</v>
      </c>
      <c r="L979" s="11" t="s">
        <v>914</v>
      </c>
      <c r="M979" s="22">
        <v>1</v>
      </c>
      <c r="N979" s="46">
        <v>602732</v>
      </c>
      <c r="O979" s="49">
        <f t="shared" si="20"/>
        <v>602732</v>
      </c>
      <c r="P979" s="5" t="s">
        <v>393</v>
      </c>
      <c r="Q979" s="5" t="s">
        <v>766</v>
      </c>
      <c r="R979" s="11">
        <v>351000000</v>
      </c>
      <c r="S979" s="22">
        <v>0</v>
      </c>
    </row>
    <row r="980" spans="1:19" ht="51" outlineLevel="1">
      <c r="A980" s="5">
        <v>965</v>
      </c>
      <c r="B980" s="15" t="s">
        <v>710</v>
      </c>
      <c r="C980" s="5" t="s">
        <v>597</v>
      </c>
      <c r="D980" s="5" t="s">
        <v>489</v>
      </c>
      <c r="E980" s="57" t="s">
        <v>2035</v>
      </c>
      <c r="F980" s="57" t="s">
        <v>1134</v>
      </c>
      <c r="G980" s="57" t="s">
        <v>2035</v>
      </c>
      <c r="H980" s="57" t="s">
        <v>1134</v>
      </c>
      <c r="I980" s="57" t="s">
        <v>2036</v>
      </c>
      <c r="J980" s="57" t="s">
        <v>1135</v>
      </c>
      <c r="K980" s="57" t="s">
        <v>591</v>
      </c>
      <c r="L980" s="11" t="s">
        <v>914</v>
      </c>
      <c r="M980" s="22">
        <v>1</v>
      </c>
      <c r="N980" s="46">
        <v>171429</v>
      </c>
      <c r="O980" s="49">
        <f t="shared" si="20"/>
        <v>171429</v>
      </c>
      <c r="P980" s="5" t="s">
        <v>393</v>
      </c>
      <c r="Q980" s="5" t="s">
        <v>766</v>
      </c>
      <c r="R980" s="11">
        <v>351000000</v>
      </c>
      <c r="S980" s="22">
        <v>0</v>
      </c>
    </row>
    <row r="981" spans="1:19" ht="51" outlineLevel="1">
      <c r="A981" s="5">
        <v>966</v>
      </c>
      <c r="B981" s="15" t="s">
        <v>710</v>
      </c>
      <c r="C981" s="5" t="s">
        <v>597</v>
      </c>
      <c r="D981" s="11" t="s">
        <v>492</v>
      </c>
      <c r="E981" s="57" t="s">
        <v>2076</v>
      </c>
      <c r="F981" s="57" t="s">
        <v>111</v>
      </c>
      <c r="G981" s="57" t="s">
        <v>2076</v>
      </c>
      <c r="H981" s="57" t="s">
        <v>111</v>
      </c>
      <c r="I981" s="57" t="s">
        <v>2076</v>
      </c>
      <c r="J981" s="57" t="s">
        <v>111</v>
      </c>
      <c r="K981" s="57" t="s">
        <v>591</v>
      </c>
      <c r="L981" s="11" t="s">
        <v>914</v>
      </c>
      <c r="M981" s="22">
        <v>1</v>
      </c>
      <c r="N981" s="46">
        <v>178571</v>
      </c>
      <c r="O981" s="49">
        <f t="shared" si="20"/>
        <v>178571</v>
      </c>
      <c r="P981" s="5" t="s">
        <v>393</v>
      </c>
      <c r="Q981" s="5" t="s">
        <v>766</v>
      </c>
      <c r="R981" s="11">
        <v>351000000</v>
      </c>
      <c r="S981" s="22">
        <v>0</v>
      </c>
    </row>
    <row r="982" spans="1:19" ht="51" outlineLevel="1">
      <c r="A982" s="5">
        <v>967</v>
      </c>
      <c r="B982" s="15" t="s">
        <v>710</v>
      </c>
      <c r="C982" s="5" t="s">
        <v>597</v>
      </c>
      <c r="D982" s="117" t="s">
        <v>493</v>
      </c>
      <c r="E982" s="57" t="s">
        <v>1786</v>
      </c>
      <c r="F982" s="57" t="s">
        <v>113</v>
      </c>
      <c r="G982" s="57" t="s">
        <v>1786</v>
      </c>
      <c r="H982" s="57" t="s">
        <v>113</v>
      </c>
      <c r="I982" s="57" t="s">
        <v>1786</v>
      </c>
      <c r="J982" s="57" t="s">
        <v>113</v>
      </c>
      <c r="K982" s="57" t="s">
        <v>591</v>
      </c>
      <c r="L982" s="11" t="s">
        <v>914</v>
      </c>
      <c r="M982" s="22">
        <v>1</v>
      </c>
      <c r="N982" s="46">
        <f>O982</f>
        <v>6785.5</v>
      </c>
      <c r="O982" s="49">
        <f>13571-6785.5</f>
        <v>6785.5</v>
      </c>
      <c r="P982" s="5" t="s">
        <v>612</v>
      </c>
      <c r="Q982" s="5" t="s">
        <v>766</v>
      </c>
      <c r="R982" s="11">
        <v>351000000</v>
      </c>
      <c r="S982" s="22">
        <v>100</v>
      </c>
    </row>
    <row r="983" spans="1:19" ht="76.5" outlineLevel="1">
      <c r="A983" s="5">
        <v>968</v>
      </c>
      <c r="B983" s="15" t="s">
        <v>710</v>
      </c>
      <c r="C983" s="5" t="s">
        <v>597</v>
      </c>
      <c r="D983" s="5" t="s">
        <v>485</v>
      </c>
      <c r="E983" s="57" t="s">
        <v>486</v>
      </c>
      <c r="F983" s="57" t="s">
        <v>487</v>
      </c>
      <c r="G983" s="57" t="s">
        <v>2061</v>
      </c>
      <c r="H983" s="57" t="s">
        <v>488</v>
      </c>
      <c r="I983" s="57" t="s">
        <v>2062</v>
      </c>
      <c r="J983" s="57" t="s">
        <v>40</v>
      </c>
      <c r="K983" s="57" t="s">
        <v>591</v>
      </c>
      <c r="L983" s="11" t="s">
        <v>914</v>
      </c>
      <c r="M983" s="22">
        <v>1</v>
      </c>
      <c r="N983" s="46">
        <v>535714</v>
      </c>
      <c r="O983" s="49">
        <f t="shared" si="20"/>
        <v>535714</v>
      </c>
      <c r="P983" s="5" t="s">
        <v>393</v>
      </c>
      <c r="Q983" s="5" t="s">
        <v>766</v>
      </c>
      <c r="R983" s="11" t="s">
        <v>925</v>
      </c>
      <c r="S983" s="22">
        <v>0</v>
      </c>
    </row>
    <row r="984" spans="1:19" ht="40.5" customHeight="1" outlineLevel="1">
      <c r="A984" s="5">
        <v>969</v>
      </c>
      <c r="B984" s="15" t="s">
        <v>710</v>
      </c>
      <c r="C984" s="5" t="s">
        <v>597</v>
      </c>
      <c r="D984" s="33" t="s">
        <v>489</v>
      </c>
      <c r="E984" s="57" t="s">
        <v>2035</v>
      </c>
      <c r="F984" s="57" t="s">
        <v>1134</v>
      </c>
      <c r="G984" s="57" t="s">
        <v>2035</v>
      </c>
      <c r="H984" s="57" t="s">
        <v>1134</v>
      </c>
      <c r="I984" s="57" t="s">
        <v>2036</v>
      </c>
      <c r="J984" s="57" t="s">
        <v>1135</v>
      </c>
      <c r="K984" s="57" t="s">
        <v>591</v>
      </c>
      <c r="L984" s="11" t="s">
        <v>914</v>
      </c>
      <c r="M984" s="22">
        <v>1</v>
      </c>
      <c r="N984" s="46">
        <v>133929</v>
      </c>
      <c r="O984" s="49">
        <f t="shared" si="20"/>
        <v>133929</v>
      </c>
      <c r="P984" s="5" t="s">
        <v>393</v>
      </c>
      <c r="Q984" s="5" t="s">
        <v>766</v>
      </c>
      <c r="R984" s="11" t="s">
        <v>925</v>
      </c>
      <c r="S984" s="22">
        <v>0</v>
      </c>
    </row>
    <row r="985" spans="1:19" ht="45.75" customHeight="1" outlineLevel="1">
      <c r="A985" s="5">
        <v>970</v>
      </c>
      <c r="B985" s="15" t="s">
        <v>710</v>
      </c>
      <c r="C985" s="5" t="s">
        <v>597</v>
      </c>
      <c r="D985" s="117" t="s">
        <v>493</v>
      </c>
      <c r="E985" s="57" t="s">
        <v>1786</v>
      </c>
      <c r="F985" s="57" t="s">
        <v>113</v>
      </c>
      <c r="G985" s="57" t="s">
        <v>1786</v>
      </c>
      <c r="H985" s="57" t="s">
        <v>113</v>
      </c>
      <c r="I985" s="57" t="s">
        <v>1786</v>
      </c>
      <c r="J985" s="57" t="s">
        <v>113</v>
      </c>
      <c r="K985" s="57" t="s">
        <v>591</v>
      </c>
      <c r="L985" s="11" t="s">
        <v>914</v>
      </c>
      <c r="M985" s="22">
        <v>1</v>
      </c>
      <c r="N985" s="46">
        <v>8929</v>
      </c>
      <c r="O985" s="49">
        <f t="shared" si="20"/>
        <v>8929</v>
      </c>
      <c r="P985" s="5" t="s">
        <v>393</v>
      </c>
      <c r="Q985" s="14" t="s">
        <v>1474</v>
      </c>
      <c r="R985" s="11" t="s">
        <v>925</v>
      </c>
      <c r="S985" s="22">
        <v>100</v>
      </c>
    </row>
    <row r="986" spans="1:19" ht="76.5" outlineLevel="1">
      <c r="A986" s="5">
        <v>971</v>
      </c>
      <c r="B986" s="15" t="s">
        <v>710</v>
      </c>
      <c r="C986" s="5" t="s">
        <v>597</v>
      </c>
      <c r="D986" s="5" t="s">
        <v>485</v>
      </c>
      <c r="E986" s="57" t="s">
        <v>486</v>
      </c>
      <c r="F986" s="57" t="s">
        <v>487</v>
      </c>
      <c r="G986" s="57" t="s">
        <v>2061</v>
      </c>
      <c r="H986" s="57" t="s">
        <v>488</v>
      </c>
      <c r="I986" s="57" t="s">
        <v>2062</v>
      </c>
      <c r="J986" s="57" t="s">
        <v>40</v>
      </c>
      <c r="K986" s="57" t="s">
        <v>591</v>
      </c>
      <c r="L986" s="11" t="s">
        <v>914</v>
      </c>
      <c r="M986" s="22">
        <v>1</v>
      </c>
      <c r="N986" s="46">
        <f>O986/M986</f>
        <v>376714</v>
      </c>
      <c r="O986" s="49">
        <f>625000-248286</f>
        <v>376714</v>
      </c>
      <c r="P986" s="5" t="s">
        <v>393</v>
      </c>
      <c r="Q986" s="5" t="s">
        <v>766</v>
      </c>
      <c r="R986" s="11">
        <v>431000000</v>
      </c>
      <c r="S986" s="22">
        <v>0</v>
      </c>
    </row>
    <row r="987" spans="1:19" ht="51" outlineLevel="1">
      <c r="A987" s="5">
        <v>972</v>
      </c>
      <c r="B987" s="15" t="s">
        <v>710</v>
      </c>
      <c r="C987" s="5" t="s">
        <v>597</v>
      </c>
      <c r="D987" s="5" t="s">
        <v>489</v>
      </c>
      <c r="E987" s="57" t="s">
        <v>2035</v>
      </c>
      <c r="F987" s="57" t="s">
        <v>1134</v>
      </c>
      <c r="G987" s="57" t="s">
        <v>2035</v>
      </c>
      <c r="H987" s="57" t="s">
        <v>1134</v>
      </c>
      <c r="I987" s="57" t="s">
        <v>2036</v>
      </c>
      <c r="J987" s="57" t="s">
        <v>1135</v>
      </c>
      <c r="K987" s="57" t="s">
        <v>591</v>
      </c>
      <c r="L987" s="11" t="s">
        <v>914</v>
      </c>
      <c r="M987" s="22">
        <v>1</v>
      </c>
      <c r="N987" s="46">
        <v>160714</v>
      </c>
      <c r="O987" s="49">
        <f t="shared" si="20"/>
        <v>160714</v>
      </c>
      <c r="P987" s="5" t="s">
        <v>393</v>
      </c>
      <c r="Q987" s="5" t="s">
        <v>766</v>
      </c>
      <c r="R987" s="11">
        <v>431000000</v>
      </c>
      <c r="S987" s="22">
        <v>0</v>
      </c>
    </row>
    <row r="988" spans="1:19" ht="51" outlineLevel="1">
      <c r="A988" s="5">
        <v>973</v>
      </c>
      <c r="B988" s="15" t="s">
        <v>710</v>
      </c>
      <c r="C988" s="5" t="s">
        <v>597</v>
      </c>
      <c r="D988" s="117" t="s">
        <v>493</v>
      </c>
      <c r="E988" s="57" t="s">
        <v>1786</v>
      </c>
      <c r="F988" s="57" t="s">
        <v>113</v>
      </c>
      <c r="G988" s="57" t="s">
        <v>1786</v>
      </c>
      <c r="H988" s="57" t="s">
        <v>113</v>
      </c>
      <c r="I988" s="57" t="s">
        <v>1786</v>
      </c>
      <c r="J988" s="57" t="s">
        <v>113</v>
      </c>
      <c r="K988" s="57" t="s">
        <v>591</v>
      </c>
      <c r="L988" s="11" t="s">
        <v>914</v>
      </c>
      <c r="M988" s="22">
        <v>1</v>
      </c>
      <c r="N988" s="46">
        <v>8929</v>
      </c>
      <c r="O988" s="49">
        <f t="shared" si="20"/>
        <v>8929</v>
      </c>
      <c r="P988" s="5" t="s">
        <v>393</v>
      </c>
      <c r="Q988" s="5" t="s">
        <v>394</v>
      </c>
      <c r="R988" s="11">
        <v>431000000</v>
      </c>
      <c r="S988" s="22">
        <v>0</v>
      </c>
    </row>
    <row r="989" spans="1:19" ht="76.5" outlineLevel="1">
      <c r="A989" s="5">
        <v>974</v>
      </c>
      <c r="B989" s="29" t="s">
        <v>710</v>
      </c>
      <c r="C989" s="35" t="s">
        <v>597</v>
      </c>
      <c r="D989" s="5" t="s">
        <v>485</v>
      </c>
      <c r="E989" s="57" t="s">
        <v>486</v>
      </c>
      <c r="F989" s="57" t="s">
        <v>487</v>
      </c>
      <c r="G989" s="57" t="s">
        <v>2061</v>
      </c>
      <c r="H989" s="57" t="s">
        <v>488</v>
      </c>
      <c r="I989" s="57" t="s">
        <v>2062</v>
      </c>
      <c r="J989" s="57" t="s">
        <v>40</v>
      </c>
      <c r="K989" s="57" t="s">
        <v>591</v>
      </c>
      <c r="L989" s="11" t="s">
        <v>914</v>
      </c>
      <c r="M989" s="22">
        <v>1</v>
      </c>
      <c r="N989" s="46">
        <v>375000</v>
      </c>
      <c r="O989" s="49">
        <f t="shared" si="20"/>
        <v>375000</v>
      </c>
      <c r="P989" s="5" t="s">
        <v>393</v>
      </c>
      <c r="Q989" s="5" t="s">
        <v>766</v>
      </c>
      <c r="R989" s="11" t="s">
        <v>715</v>
      </c>
      <c r="S989" s="22">
        <v>0</v>
      </c>
    </row>
    <row r="990" spans="1:19" ht="51" outlineLevel="1">
      <c r="A990" s="5">
        <v>975</v>
      </c>
      <c r="B990" s="29" t="s">
        <v>710</v>
      </c>
      <c r="C990" s="35" t="s">
        <v>597</v>
      </c>
      <c r="D990" s="5" t="s">
        <v>489</v>
      </c>
      <c r="E990" s="57" t="s">
        <v>2035</v>
      </c>
      <c r="F990" s="57" t="s">
        <v>1134</v>
      </c>
      <c r="G990" s="57" t="s">
        <v>2035</v>
      </c>
      <c r="H990" s="57" t="s">
        <v>1134</v>
      </c>
      <c r="I990" s="57" t="s">
        <v>2036</v>
      </c>
      <c r="J990" s="57" t="s">
        <v>1135</v>
      </c>
      <c r="K990" s="57" t="s">
        <v>591</v>
      </c>
      <c r="L990" s="11" t="s">
        <v>914</v>
      </c>
      <c r="M990" s="22">
        <v>1</v>
      </c>
      <c r="N990" s="46">
        <v>171429</v>
      </c>
      <c r="O990" s="49">
        <f t="shared" si="20"/>
        <v>171429</v>
      </c>
      <c r="P990" s="5" t="s">
        <v>393</v>
      </c>
      <c r="Q990" s="5" t="s">
        <v>766</v>
      </c>
      <c r="R990" s="11" t="s">
        <v>715</v>
      </c>
      <c r="S990" s="22">
        <v>100</v>
      </c>
    </row>
    <row r="991" spans="1:19" ht="51" outlineLevel="1">
      <c r="A991" s="5">
        <v>976</v>
      </c>
      <c r="B991" s="29" t="s">
        <v>710</v>
      </c>
      <c r="C991" s="35" t="s">
        <v>597</v>
      </c>
      <c r="D991" s="11" t="s">
        <v>492</v>
      </c>
      <c r="E991" s="57" t="s">
        <v>2076</v>
      </c>
      <c r="F991" s="57" t="s">
        <v>111</v>
      </c>
      <c r="G991" s="57" t="s">
        <v>2076</v>
      </c>
      <c r="H991" s="57" t="s">
        <v>111</v>
      </c>
      <c r="I991" s="57" t="s">
        <v>2076</v>
      </c>
      <c r="J991" s="57" t="s">
        <v>111</v>
      </c>
      <c r="K991" s="57" t="s">
        <v>591</v>
      </c>
      <c r="L991" s="11" t="s">
        <v>914</v>
      </c>
      <c r="M991" s="22">
        <v>1</v>
      </c>
      <c r="N991" s="46">
        <v>97768</v>
      </c>
      <c r="O991" s="49">
        <f t="shared" si="20"/>
        <v>97768</v>
      </c>
      <c r="P991" s="5" t="s">
        <v>393</v>
      </c>
      <c r="Q991" s="5" t="s">
        <v>766</v>
      </c>
      <c r="R991" s="11" t="s">
        <v>715</v>
      </c>
      <c r="S991" s="22">
        <v>100</v>
      </c>
    </row>
    <row r="992" spans="1:19" ht="51" outlineLevel="1">
      <c r="A992" s="5">
        <v>977</v>
      </c>
      <c r="B992" s="29" t="s">
        <v>710</v>
      </c>
      <c r="C992" s="35" t="s">
        <v>597</v>
      </c>
      <c r="D992" s="117" t="s">
        <v>493</v>
      </c>
      <c r="E992" s="57" t="s">
        <v>1786</v>
      </c>
      <c r="F992" s="57" t="s">
        <v>113</v>
      </c>
      <c r="G992" s="57" t="s">
        <v>1786</v>
      </c>
      <c r="H992" s="57" t="s">
        <v>113</v>
      </c>
      <c r="I992" s="57" t="s">
        <v>1786</v>
      </c>
      <c r="J992" s="57" t="s">
        <v>113</v>
      </c>
      <c r="K992" s="57" t="s">
        <v>591</v>
      </c>
      <c r="L992" s="11" t="s">
        <v>914</v>
      </c>
      <c r="M992" s="22">
        <v>1</v>
      </c>
      <c r="N992" s="46">
        <f>O992/M992</f>
        <v>11200</v>
      </c>
      <c r="O992" s="49">
        <f>8929+2271</f>
        <v>11200</v>
      </c>
      <c r="P992" s="5" t="s">
        <v>515</v>
      </c>
      <c r="Q992" s="5" t="s">
        <v>766</v>
      </c>
      <c r="R992" s="11" t="s">
        <v>715</v>
      </c>
      <c r="S992" s="22">
        <v>0</v>
      </c>
    </row>
    <row r="993" spans="1:19" s="32" customFormat="1" ht="76.5">
      <c r="A993" s="5">
        <v>978</v>
      </c>
      <c r="B993" s="15" t="s">
        <v>710</v>
      </c>
      <c r="C993" s="5" t="s">
        <v>597</v>
      </c>
      <c r="D993" s="5" t="s">
        <v>485</v>
      </c>
      <c r="E993" s="57" t="s">
        <v>486</v>
      </c>
      <c r="F993" s="57" t="s">
        <v>487</v>
      </c>
      <c r="G993" s="57" t="s">
        <v>2061</v>
      </c>
      <c r="H993" s="57" t="s">
        <v>488</v>
      </c>
      <c r="I993" s="57" t="s">
        <v>2062</v>
      </c>
      <c r="J993" s="57" t="s">
        <v>40</v>
      </c>
      <c r="K993" s="57" t="s">
        <v>591</v>
      </c>
      <c r="L993" s="11" t="s">
        <v>914</v>
      </c>
      <c r="M993" s="22">
        <v>1</v>
      </c>
      <c r="N993" s="46">
        <v>642857</v>
      </c>
      <c r="O993" s="49">
        <f t="shared" si="20"/>
        <v>642857</v>
      </c>
      <c r="P993" s="5" t="s">
        <v>393</v>
      </c>
      <c r="Q993" s="5" t="s">
        <v>766</v>
      </c>
      <c r="R993" s="11">
        <v>551000000</v>
      </c>
      <c r="S993" s="22">
        <v>0</v>
      </c>
    </row>
    <row r="994" spans="1:19" s="32" customFormat="1" ht="51">
      <c r="A994" s="5">
        <v>979</v>
      </c>
      <c r="B994" s="15" t="s">
        <v>710</v>
      </c>
      <c r="C994" s="5" t="s">
        <v>597</v>
      </c>
      <c r="D994" s="31" t="s">
        <v>489</v>
      </c>
      <c r="E994" s="57" t="s">
        <v>2035</v>
      </c>
      <c r="F994" s="57" t="s">
        <v>1134</v>
      </c>
      <c r="G994" s="57" t="s">
        <v>2035</v>
      </c>
      <c r="H994" s="57" t="s">
        <v>1134</v>
      </c>
      <c r="I994" s="57" t="s">
        <v>2036</v>
      </c>
      <c r="J994" s="57" t="s">
        <v>1135</v>
      </c>
      <c r="K994" s="57" t="s">
        <v>591</v>
      </c>
      <c r="L994" s="11" t="s">
        <v>914</v>
      </c>
      <c r="M994" s="22">
        <v>1</v>
      </c>
      <c r="N994" s="46">
        <v>214286</v>
      </c>
      <c r="O994" s="49">
        <f t="shared" si="20"/>
        <v>214286</v>
      </c>
      <c r="P994" s="5" t="s">
        <v>393</v>
      </c>
      <c r="Q994" s="5" t="s">
        <v>766</v>
      </c>
      <c r="R994" s="11">
        <v>551000000</v>
      </c>
      <c r="S994" s="22">
        <v>0</v>
      </c>
    </row>
    <row r="995" spans="1:19" s="32" customFormat="1" ht="51">
      <c r="A995" s="5">
        <v>980</v>
      </c>
      <c r="B995" s="15" t="s">
        <v>710</v>
      </c>
      <c r="C995" s="5" t="s">
        <v>597</v>
      </c>
      <c r="D995" s="11" t="s">
        <v>492</v>
      </c>
      <c r="E995" s="57" t="s">
        <v>2076</v>
      </c>
      <c r="F995" s="57" t="s">
        <v>111</v>
      </c>
      <c r="G995" s="57" t="s">
        <v>2076</v>
      </c>
      <c r="H995" s="57" t="s">
        <v>111</v>
      </c>
      <c r="I995" s="57" t="s">
        <v>2076</v>
      </c>
      <c r="J995" s="57" t="s">
        <v>111</v>
      </c>
      <c r="K995" s="57" t="s">
        <v>591</v>
      </c>
      <c r="L995" s="11" t="s">
        <v>914</v>
      </c>
      <c r="M995" s="22">
        <v>1</v>
      </c>
      <c r="N995" s="46">
        <v>214286</v>
      </c>
      <c r="O995" s="49">
        <f t="shared" si="20"/>
        <v>214286</v>
      </c>
      <c r="P995" s="5" t="s">
        <v>393</v>
      </c>
      <c r="Q995" s="5" t="s">
        <v>766</v>
      </c>
      <c r="R995" s="11">
        <v>551000000</v>
      </c>
      <c r="S995" s="22">
        <v>0</v>
      </c>
    </row>
    <row r="996" spans="1:19" ht="76.5" outlineLevel="1">
      <c r="A996" s="5">
        <v>981</v>
      </c>
      <c r="B996" s="15" t="s">
        <v>941</v>
      </c>
      <c r="C996" s="5" t="s">
        <v>597</v>
      </c>
      <c r="D996" s="5" t="s">
        <v>485</v>
      </c>
      <c r="E996" s="57" t="s">
        <v>486</v>
      </c>
      <c r="F996" s="57" t="s">
        <v>487</v>
      </c>
      <c r="G996" s="57" t="s">
        <v>2061</v>
      </c>
      <c r="H996" s="57" t="s">
        <v>488</v>
      </c>
      <c r="I996" s="57" t="s">
        <v>2062</v>
      </c>
      <c r="J996" s="57" t="s">
        <v>40</v>
      </c>
      <c r="K996" s="57" t="s">
        <v>591</v>
      </c>
      <c r="L996" s="11" t="s">
        <v>914</v>
      </c>
      <c r="M996" s="22">
        <v>1</v>
      </c>
      <c r="N996" s="46">
        <v>275000</v>
      </c>
      <c r="O996" s="49">
        <f t="shared" si="20"/>
        <v>275000</v>
      </c>
      <c r="P996" s="5" t="s">
        <v>391</v>
      </c>
      <c r="Q996" s="5" t="s">
        <v>766</v>
      </c>
      <c r="R996" s="11">
        <v>591000000</v>
      </c>
      <c r="S996" s="22">
        <v>0</v>
      </c>
    </row>
    <row r="997" spans="1:19" ht="51" outlineLevel="1">
      <c r="A997" s="5">
        <v>982</v>
      </c>
      <c r="B997" s="15" t="s">
        <v>941</v>
      </c>
      <c r="C997" s="5" t="s">
        <v>597</v>
      </c>
      <c r="D997" s="5" t="s">
        <v>489</v>
      </c>
      <c r="E997" s="57" t="s">
        <v>2035</v>
      </c>
      <c r="F997" s="57" t="s">
        <v>1134</v>
      </c>
      <c r="G997" s="57" t="s">
        <v>2035</v>
      </c>
      <c r="H997" s="57" t="s">
        <v>1134</v>
      </c>
      <c r="I997" s="57" t="s">
        <v>2036</v>
      </c>
      <c r="J997" s="57" t="s">
        <v>1135</v>
      </c>
      <c r="K997" s="57" t="s">
        <v>591</v>
      </c>
      <c r="L997" s="11" t="s">
        <v>914</v>
      </c>
      <c r="M997" s="22">
        <v>1</v>
      </c>
      <c r="N997" s="46">
        <v>34157</v>
      </c>
      <c r="O997" s="49">
        <f t="shared" si="20"/>
        <v>34157</v>
      </c>
      <c r="P997" s="5" t="s">
        <v>393</v>
      </c>
      <c r="Q997" s="5" t="s">
        <v>766</v>
      </c>
      <c r="R997" s="11">
        <v>591000000</v>
      </c>
      <c r="S997" s="22">
        <v>0</v>
      </c>
    </row>
    <row r="998" spans="1:19" ht="51" outlineLevel="1">
      <c r="A998" s="5">
        <v>983</v>
      </c>
      <c r="B998" s="15" t="s">
        <v>941</v>
      </c>
      <c r="C998" s="5" t="s">
        <v>597</v>
      </c>
      <c r="D998" s="11" t="s">
        <v>492</v>
      </c>
      <c r="E998" s="57" t="s">
        <v>2076</v>
      </c>
      <c r="F998" s="57" t="s">
        <v>111</v>
      </c>
      <c r="G998" s="57" t="s">
        <v>2076</v>
      </c>
      <c r="H998" s="57" t="s">
        <v>111</v>
      </c>
      <c r="I998" s="57" t="s">
        <v>2076</v>
      </c>
      <c r="J998" s="57" t="s">
        <v>111</v>
      </c>
      <c r="K998" s="57" t="s">
        <v>591</v>
      </c>
      <c r="L998" s="11" t="s">
        <v>914</v>
      </c>
      <c r="M998" s="22">
        <v>1</v>
      </c>
      <c r="N998" s="46">
        <v>168750</v>
      </c>
      <c r="O998" s="49">
        <f t="shared" si="20"/>
        <v>168750</v>
      </c>
      <c r="P998" s="5" t="s">
        <v>393</v>
      </c>
      <c r="Q998" s="5" t="s">
        <v>766</v>
      </c>
      <c r="R998" s="11">
        <v>591000000</v>
      </c>
      <c r="S998" s="22">
        <v>0</v>
      </c>
    </row>
    <row r="999" spans="1:19" ht="51" outlineLevel="1">
      <c r="A999" s="5">
        <v>984</v>
      </c>
      <c r="B999" s="15" t="s">
        <v>941</v>
      </c>
      <c r="C999" s="5" t="s">
        <v>597</v>
      </c>
      <c r="D999" s="117" t="s">
        <v>493</v>
      </c>
      <c r="E999" s="57" t="s">
        <v>1786</v>
      </c>
      <c r="F999" s="57" t="s">
        <v>113</v>
      </c>
      <c r="G999" s="57" t="s">
        <v>1786</v>
      </c>
      <c r="H999" s="57" t="s">
        <v>113</v>
      </c>
      <c r="I999" s="57" t="s">
        <v>1786</v>
      </c>
      <c r="J999" s="57" t="s">
        <v>113</v>
      </c>
      <c r="K999" s="57" t="s">
        <v>591</v>
      </c>
      <c r="L999" s="11" t="s">
        <v>914</v>
      </c>
      <c r="M999" s="22">
        <v>1</v>
      </c>
      <c r="N999" s="46">
        <v>22321</v>
      </c>
      <c r="O999" s="49">
        <f t="shared" si="20"/>
        <v>22321</v>
      </c>
      <c r="P999" s="5" t="s">
        <v>501</v>
      </c>
      <c r="Q999" s="5" t="s">
        <v>501</v>
      </c>
      <c r="R999" s="11">
        <v>591000000</v>
      </c>
      <c r="S999" s="22">
        <v>100</v>
      </c>
    </row>
    <row r="1000" spans="1:19" ht="76.5" outlineLevel="1">
      <c r="A1000" s="5">
        <v>985</v>
      </c>
      <c r="B1000" s="15" t="s">
        <v>710</v>
      </c>
      <c r="C1000" s="5" t="s">
        <v>597</v>
      </c>
      <c r="D1000" s="5" t="s">
        <v>485</v>
      </c>
      <c r="E1000" s="57" t="s">
        <v>486</v>
      </c>
      <c r="F1000" s="57" t="s">
        <v>487</v>
      </c>
      <c r="G1000" s="57" t="s">
        <v>2061</v>
      </c>
      <c r="H1000" s="57" t="s">
        <v>488</v>
      </c>
      <c r="I1000" s="57" t="s">
        <v>2062</v>
      </c>
      <c r="J1000" s="57" t="s">
        <v>40</v>
      </c>
      <c r="K1000" s="57" t="s">
        <v>591</v>
      </c>
      <c r="L1000" s="11" t="s">
        <v>914</v>
      </c>
      <c r="M1000" s="22">
        <v>1</v>
      </c>
      <c r="N1000" s="46">
        <f>O1000/M1000</f>
        <v>503571</v>
      </c>
      <c r="O1000" s="49">
        <f>303571+200000</f>
        <v>503571</v>
      </c>
      <c r="P1000" s="5" t="s">
        <v>391</v>
      </c>
      <c r="Q1000" s="5" t="s">
        <v>766</v>
      </c>
      <c r="R1000" s="11" t="s">
        <v>2029</v>
      </c>
      <c r="S1000" s="5">
        <v>0</v>
      </c>
    </row>
    <row r="1001" spans="1:19" ht="51" outlineLevel="1">
      <c r="A1001" s="5">
        <v>986</v>
      </c>
      <c r="B1001" s="15" t="s">
        <v>710</v>
      </c>
      <c r="C1001" s="5" t="s">
        <v>597</v>
      </c>
      <c r="D1001" s="5" t="s">
        <v>489</v>
      </c>
      <c r="E1001" s="57" t="s">
        <v>2035</v>
      </c>
      <c r="F1001" s="57" t="s">
        <v>1134</v>
      </c>
      <c r="G1001" s="57" t="s">
        <v>2035</v>
      </c>
      <c r="H1001" s="57" t="s">
        <v>1134</v>
      </c>
      <c r="I1001" s="57" t="s">
        <v>2036</v>
      </c>
      <c r="J1001" s="57" t="s">
        <v>1135</v>
      </c>
      <c r="K1001" s="57" t="s">
        <v>591</v>
      </c>
      <c r="L1001" s="11" t="s">
        <v>914</v>
      </c>
      <c r="M1001" s="22">
        <v>1</v>
      </c>
      <c r="N1001" s="46">
        <f>O1001/M1001</f>
        <v>156250</v>
      </c>
      <c r="O1001" s="49">
        <f>187500-31250</f>
        <v>156250</v>
      </c>
      <c r="P1001" s="5" t="s">
        <v>515</v>
      </c>
      <c r="Q1001" s="5" t="s">
        <v>766</v>
      </c>
      <c r="R1001" s="11" t="s">
        <v>2029</v>
      </c>
      <c r="S1001" s="5">
        <v>0</v>
      </c>
    </row>
    <row r="1002" spans="1:19" ht="51" outlineLevel="1">
      <c r="A1002" s="5">
        <v>987</v>
      </c>
      <c r="B1002" s="29" t="s">
        <v>710</v>
      </c>
      <c r="C1002" s="35" t="s">
        <v>597</v>
      </c>
      <c r="D1002" s="11" t="s">
        <v>494</v>
      </c>
      <c r="E1002" s="57" t="s">
        <v>2067</v>
      </c>
      <c r="F1002" s="57" t="s">
        <v>496</v>
      </c>
      <c r="G1002" s="57" t="s">
        <v>2068</v>
      </c>
      <c r="H1002" s="57" t="s">
        <v>856</v>
      </c>
      <c r="I1002" s="57" t="s">
        <v>2069</v>
      </c>
      <c r="J1002" s="57" t="s">
        <v>124</v>
      </c>
      <c r="K1002" s="57" t="s">
        <v>591</v>
      </c>
      <c r="L1002" s="11" t="s">
        <v>914</v>
      </c>
      <c r="M1002" s="22">
        <v>1</v>
      </c>
      <c r="N1002" s="46">
        <v>2041560</v>
      </c>
      <c r="O1002" s="49">
        <f t="shared" si="20"/>
        <v>2041560</v>
      </c>
      <c r="P1002" s="5" t="s">
        <v>393</v>
      </c>
      <c r="Q1002" s="5" t="s">
        <v>766</v>
      </c>
      <c r="R1002" s="11" t="s">
        <v>2030</v>
      </c>
      <c r="S1002" s="22">
        <v>0</v>
      </c>
    </row>
    <row r="1003" spans="1:19" ht="51" outlineLevel="1">
      <c r="A1003" s="5">
        <v>988</v>
      </c>
      <c r="B1003" s="15" t="s">
        <v>710</v>
      </c>
      <c r="C1003" s="5" t="s">
        <v>597</v>
      </c>
      <c r="D1003" s="11" t="s">
        <v>494</v>
      </c>
      <c r="E1003" s="57" t="s">
        <v>2067</v>
      </c>
      <c r="F1003" s="57" t="s">
        <v>496</v>
      </c>
      <c r="G1003" s="57" t="s">
        <v>2068</v>
      </c>
      <c r="H1003" s="57" t="s">
        <v>856</v>
      </c>
      <c r="I1003" s="57" t="s">
        <v>2069</v>
      </c>
      <c r="J1003" s="57" t="s">
        <v>124</v>
      </c>
      <c r="K1003" s="57" t="s">
        <v>591</v>
      </c>
      <c r="L1003" s="11" t="s">
        <v>914</v>
      </c>
      <c r="M1003" s="22">
        <v>1</v>
      </c>
      <c r="N1003" s="46">
        <v>2883929</v>
      </c>
      <c r="O1003" s="49">
        <f t="shared" si="20"/>
        <v>2883929</v>
      </c>
      <c r="P1003" s="5" t="s">
        <v>393</v>
      </c>
      <c r="Q1003" s="5" t="s">
        <v>766</v>
      </c>
      <c r="R1003" s="11" t="s">
        <v>1021</v>
      </c>
      <c r="S1003" s="5">
        <v>0</v>
      </c>
    </row>
    <row r="1004" spans="1:19" ht="51" outlineLevel="1">
      <c r="A1004" s="5">
        <v>989</v>
      </c>
      <c r="B1004" s="15" t="s">
        <v>710</v>
      </c>
      <c r="C1004" s="5" t="s">
        <v>597</v>
      </c>
      <c r="D1004" s="11" t="s">
        <v>494</v>
      </c>
      <c r="E1004" s="57" t="s">
        <v>2067</v>
      </c>
      <c r="F1004" s="57" t="s">
        <v>496</v>
      </c>
      <c r="G1004" s="57" t="s">
        <v>2068</v>
      </c>
      <c r="H1004" s="57" t="s">
        <v>856</v>
      </c>
      <c r="I1004" s="57" t="s">
        <v>2069</v>
      </c>
      <c r="J1004" s="57" t="s">
        <v>124</v>
      </c>
      <c r="K1004" s="57" t="s">
        <v>591</v>
      </c>
      <c r="L1004" s="11" t="s">
        <v>914</v>
      </c>
      <c r="M1004" s="22">
        <v>1</v>
      </c>
      <c r="N1004" s="46">
        <v>1200000</v>
      </c>
      <c r="O1004" s="49">
        <f t="shared" si="20"/>
        <v>1200000</v>
      </c>
      <c r="P1004" s="5" t="s">
        <v>391</v>
      </c>
      <c r="Q1004" s="5" t="s">
        <v>766</v>
      </c>
      <c r="R1004" s="11" t="s">
        <v>789</v>
      </c>
      <c r="S1004" s="5">
        <v>0</v>
      </c>
    </row>
    <row r="1005" spans="1:19" ht="51">
      <c r="A1005" s="5">
        <v>990</v>
      </c>
      <c r="B1005" s="15" t="s">
        <v>710</v>
      </c>
      <c r="C1005" s="5" t="s">
        <v>597</v>
      </c>
      <c r="D1005" s="11" t="s">
        <v>494</v>
      </c>
      <c r="E1005" s="57" t="s">
        <v>2067</v>
      </c>
      <c r="F1005" s="57" t="s">
        <v>496</v>
      </c>
      <c r="G1005" s="57" t="s">
        <v>2068</v>
      </c>
      <c r="H1005" s="57" t="s">
        <v>856</v>
      </c>
      <c r="I1005" s="57" t="s">
        <v>2069</v>
      </c>
      <c r="J1005" s="57" t="s">
        <v>124</v>
      </c>
      <c r="K1005" s="57" t="s">
        <v>591</v>
      </c>
      <c r="L1005" s="11" t="s">
        <v>914</v>
      </c>
      <c r="M1005" s="22">
        <v>1</v>
      </c>
      <c r="N1005" s="46">
        <v>2649107</v>
      </c>
      <c r="O1005" s="49">
        <f t="shared" si="20"/>
        <v>2649107</v>
      </c>
      <c r="P1005" s="5" t="s">
        <v>393</v>
      </c>
      <c r="Q1005" s="5" t="s">
        <v>766</v>
      </c>
      <c r="R1005" s="11" t="s">
        <v>633</v>
      </c>
      <c r="S1005" s="22">
        <v>0</v>
      </c>
    </row>
    <row r="1006" spans="1:19" ht="51">
      <c r="A1006" s="5">
        <v>991</v>
      </c>
      <c r="B1006" s="15" t="s">
        <v>710</v>
      </c>
      <c r="C1006" s="5" t="s">
        <v>597</v>
      </c>
      <c r="D1006" s="11" t="s">
        <v>494</v>
      </c>
      <c r="E1006" s="57" t="s">
        <v>2067</v>
      </c>
      <c r="F1006" s="57" t="s">
        <v>496</v>
      </c>
      <c r="G1006" s="57" t="s">
        <v>2068</v>
      </c>
      <c r="H1006" s="57" t="s">
        <v>856</v>
      </c>
      <c r="I1006" s="57" t="s">
        <v>2069</v>
      </c>
      <c r="J1006" s="57" t="s">
        <v>124</v>
      </c>
      <c r="K1006" s="57" t="s">
        <v>591</v>
      </c>
      <c r="L1006" s="11" t="s">
        <v>914</v>
      </c>
      <c r="M1006" s="22">
        <v>1</v>
      </c>
      <c r="N1006" s="46">
        <v>910714</v>
      </c>
      <c r="O1006" s="49">
        <f t="shared" si="20"/>
        <v>910714</v>
      </c>
      <c r="P1006" s="5" t="s">
        <v>393</v>
      </c>
      <c r="Q1006" s="5" t="s">
        <v>766</v>
      </c>
      <c r="R1006" s="11">
        <v>311000000</v>
      </c>
      <c r="S1006" s="22">
        <v>0</v>
      </c>
    </row>
    <row r="1007" spans="1:19" ht="51">
      <c r="A1007" s="5">
        <v>992</v>
      </c>
      <c r="B1007" s="15" t="s">
        <v>710</v>
      </c>
      <c r="C1007" s="5" t="s">
        <v>597</v>
      </c>
      <c r="D1007" s="11" t="s">
        <v>494</v>
      </c>
      <c r="E1007" s="57" t="s">
        <v>2067</v>
      </c>
      <c r="F1007" s="57" t="s">
        <v>496</v>
      </c>
      <c r="G1007" s="57" t="s">
        <v>2068</v>
      </c>
      <c r="H1007" s="57" t="s">
        <v>856</v>
      </c>
      <c r="I1007" s="57" t="s">
        <v>2069</v>
      </c>
      <c r="J1007" s="57" t="s">
        <v>497</v>
      </c>
      <c r="K1007" s="57" t="s">
        <v>591</v>
      </c>
      <c r="L1007" s="11" t="s">
        <v>914</v>
      </c>
      <c r="M1007" s="22">
        <v>1</v>
      </c>
      <c r="N1007" s="46">
        <v>3000000</v>
      </c>
      <c r="O1007" s="49">
        <f t="shared" si="20"/>
        <v>3000000</v>
      </c>
      <c r="P1007" s="5" t="s">
        <v>393</v>
      </c>
      <c r="Q1007" s="5" t="s">
        <v>766</v>
      </c>
      <c r="R1007" s="11">
        <v>431000000</v>
      </c>
      <c r="S1007" s="22">
        <v>0</v>
      </c>
    </row>
    <row r="1008" spans="1:19" s="32" customFormat="1" ht="62.25" customHeight="1">
      <c r="A1008" s="5">
        <v>993</v>
      </c>
      <c r="B1008" s="15" t="s">
        <v>710</v>
      </c>
      <c r="C1008" s="5" t="s">
        <v>597</v>
      </c>
      <c r="D1008" s="11" t="s">
        <v>494</v>
      </c>
      <c r="E1008" s="57" t="s">
        <v>2067</v>
      </c>
      <c r="F1008" s="57" t="s">
        <v>496</v>
      </c>
      <c r="G1008" s="57" t="s">
        <v>2068</v>
      </c>
      <c r="H1008" s="57" t="s">
        <v>856</v>
      </c>
      <c r="I1008" s="57" t="s">
        <v>2069</v>
      </c>
      <c r="J1008" s="57" t="s">
        <v>124</v>
      </c>
      <c r="K1008" s="57" t="s">
        <v>591</v>
      </c>
      <c r="L1008" s="11" t="s">
        <v>914</v>
      </c>
      <c r="M1008" s="22">
        <v>1</v>
      </c>
      <c r="N1008" s="46">
        <v>2400000</v>
      </c>
      <c r="O1008" s="49">
        <f t="shared" si="20"/>
        <v>2400000</v>
      </c>
      <c r="P1008" s="5" t="s">
        <v>393</v>
      </c>
      <c r="Q1008" s="5" t="s">
        <v>766</v>
      </c>
      <c r="R1008" s="11">
        <v>551000000</v>
      </c>
      <c r="S1008" s="22">
        <v>0</v>
      </c>
    </row>
    <row r="1009" spans="1:19" ht="51" outlineLevel="1">
      <c r="A1009" s="5">
        <v>994</v>
      </c>
      <c r="B1009" s="15" t="s">
        <v>710</v>
      </c>
      <c r="C1009" s="5" t="s">
        <v>597</v>
      </c>
      <c r="D1009" s="11" t="s">
        <v>494</v>
      </c>
      <c r="E1009" s="57" t="s">
        <v>2067</v>
      </c>
      <c r="F1009" s="57" t="s">
        <v>496</v>
      </c>
      <c r="G1009" s="57" t="s">
        <v>2068</v>
      </c>
      <c r="H1009" s="57" t="s">
        <v>856</v>
      </c>
      <c r="I1009" s="57" t="s">
        <v>2069</v>
      </c>
      <c r="J1009" s="57" t="s">
        <v>124</v>
      </c>
      <c r="K1009" s="57" t="s">
        <v>591</v>
      </c>
      <c r="L1009" s="11" t="s">
        <v>914</v>
      </c>
      <c r="M1009" s="22">
        <v>1</v>
      </c>
      <c r="N1009" s="46">
        <f>O1009</f>
        <v>2340000</v>
      </c>
      <c r="O1009" s="49">
        <f>142857+2197143</f>
        <v>2340000</v>
      </c>
      <c r="P1009" s="5" t="s">
        <v>393</v>
      </c>
      <c r="Q1009" s="5" t="s">
        <v>766</v>
      </c>
      <c r="R1009" s="11" t="s">
        <v>2029</v>
      </c>
      <c r="S1009" s="5">
        <v>0</v>
      </c>
    </row>
    <row r="1010" spans="1:19" ht="76.5" outlineLevel="1">
      <c r="A1010" s="5">
        <v>995</v>
      </c>
      <c r="B1010" s="29" t="s">
        <v>710</v>
      </c>
      <c r="C1010" s="35" t="s">
        <v>597</v>
      </c>
      <c r="D1010" s="11" t="s">
        <v>498</v>
      </c>
      <c r="E1010" s="57" t="s">
        <v>2037</v>
      </c>
      <c r="F1010" s="57" t="s">
        <v>499</v>
      </c>
      <c r="G1010" s="57" t="s">
        <v>2038</v>
      </c>
      <c r="H1010" s="57" t="s">
        <v>500</v>
      </c>
      <c r="I1010" s="57" t="s">
        <v>2039</v>
      </c>
      <c r="J1010" s="57" t="s">
        <v>284</v>
      </c>
      <c r="K1010" s="57" t="s">
        <v>591</v>
      </c>
      <c r="L1010" s="11" t="s">
        <v>914</v>
      </c>
      <c r="M1010" s="22">
        <v>1</v>
      </c>
      <c r="N1010" s="46">
        <v>960000</v>
      </c>
      <c r="O1010" s="49">
        <f t="shared" si="20"/>
        <v>960000</v>
      </c>
      <c r="P1010" s="5" t="s">
        <v>393</v>
      </c>
      <c r="Q1010" s="5" t="s">
        <v>766</v>
      </c>
      <c r="R1010" s="11" t="s">
        <v>2030</v>
      </c>
      <c r="S1010" s="22">
        <v>0</v>
      </c>
    </row>
    <row r="1011" spans="1:19" ht="76.5" outlineLevel="1">
      <c r="A1011" s="5">
        <v>996</v>
      </c>
      <c r="B1011" s="15" t="s">
        <v>710</v>
      </c>
      <c r="C1011" s="5" t="s">
        <v>597</v>
      </c>
      <c r="D1011" s="11" t="s">
        <v>498</v>
      </c>
      <c r="E1011" s="57" t="s">
        <v>2037</v>
      </c>
      <c r="F1011" s="57" t="s">
        <v>499</v>
      </c>
      <c r="G1011" s="57" t="s">
        <v>2038</v>
      </c>
      <c r="H1011" s="57" t="s">
        <v>500</v>
      </c>
      <c r="I1011" s="57" t="s">
        <v>2039</v>
      </c>
      <c r="J1011" s="57" t="s">
        <v>284</v>
      </c>
      <c r="K1011" s="57" t="s">
        <v>591</v>
      </c>
      <c r="L1011" s="11" t="s">
        <v>914</v>
      </c>
      <c r="M1011" s="22">
        <v>1</v>
      </c>
      <c r="N1011" s="46">
        <v>2321429</v>
      </c>
      <c r="O1011" s="49">
        <f t="shared" si="20"/>
        <v>2321429</v>
      </c>
      <c r="P1011" s="5" t="s">
        <v>393</v>
      </c>
      <c r="Q1011" s="5" t="s">
        <v>766</v>
      </c>
      <c r="R1011" s="11" t="s">
        <v>1021</v>
      </c>
      <c r="S1011" s="5">
        <v>0</v>
      </c>
    </row>
    <row r="1012" spans="1:19" ht="76.5" outlineLevel="1">
      <c r="A1012" s="5">
        <v>997</v>
      </c>
      <c r="B1012" s="15" t="s">
        <v>710</v>
      </c>
      <c r="C1012" s="5" t="s">
        <v>597</v>
      </c>
      <c r="D1012" s="11" t="s">
        <v>498</v>
      </c>
      <c r="E1012" s="57" t="s">
        <v>2037</v>
      </c>
      <c r="F1012" s="57" t="s">
        <v>499</v>
      </c>
      <c r="G1012" s="57" t="s">
        <v>2038</v>
      </c>
      <c r="H1012" s="57" t="s">
        <v>500</v>
      </c>
      <c r="I1012" s="57" t="s">
        <v>2039</v>
      </c>
      <c r="J1012" s="57" t="s">
        <v>284</v>
      </c>
      <c r="K1012" s="57" t="s">
        <v>591</v>
      </c>
      <c r="L1012" s="11" t="s">
        <v>914</v>
      </c>
      <c r="M1012" s="22">
        <v>1</v>
      </c>
      <c r="N1012" s="46">
        <v>750000</v>
      </c>
      <c r="O1012" s="49">
        <f t="shared" si="20"/>
        <v>750000</v>
      </c>
      <c r="P1012" s="5" t="s">
        <v>515</v>
      </c>
      <c r="Q1012" s="5" t="s">
        <v>766</v>
      </c>
      <c r="R1012" s="11" t="s">
        <v>789</v>
      </c>
      <c r="S1012" s="5">
        <v>0</v>
      </c>
    </row>
    <row r="1013" spans="1:19" ht="76.5" outlineLevel="1">
      <c r="A1013" s="5">
        <v>998</v>
      </c>
      <c r="B1013" s="15" t="s">
        <v>710</v>
      </c>
      <c r="C1013" s="5" t="s">
        <v>597</v>
      </c>
      <c r="D1013" s="11" t="s">
        <v>498</v>
      </c>
      <c r="E1013" s="57" t="s">
        <v>2037</v>
      </c>
      <c r="F1013" s="57" t="s">
        <v>499</v>
      </c>
      <c r="G1013" s="57" t="s">
        <v>2038</v>
      </c>
      <c r="H1013" s="57" t="s">
        <v>500</v>
      </c>
      <c r="I1013" s="57" t="s">
        <v>2039</v>
      </c>
      <c r="J1013" s="57" t="s">
        <v>284</v>
      </c>
      <c r="K1013" s="57" t="s">
        <v>591</v>
      </c>
      <c r="L1013" s="11" t="s">
        <v>914</v>
      </c>
      <c r="M1013" s="22">
        <v>1</v>
      </c>
      <c r="N1013" s="46">
        <v>960000</v>
      </c>
      <c r="O1013" s="49">
        <f t="shared" si="20"/>
        <v>960000</v>
      </c>
      <c r="P1013" s="5" t="s">
        <v>393</v>
      </c>
      <c r="Q1013" s="5" t="s">
        <v>766</v>
      </c>
      <c r="R1013" s="11" t="s">
        <v>633</v>
      </c>
      <c r="S1013" s="22">
        <v>0</v>
      </c>
    </row>
    <row r="1014" spans="1:19" ht="76.5" outlineLevel="1">
      <c r="A1014" s="5">
        <v>999</v>
      </c>
      <c r="B1014" s="15" t="s">
        <v>710</v>
      </c>
      <c r="C1014" s="5" t="s">
        <v>597</v>
      </c>
      <c r="D1014" s="11" t="s">
        <v>498</v>
      </c>
      <c r="E1014" s="57" t="s">
        <v>2037</v>
      </c>
      <c r="F1014" s="57" t="s">
        <v>499</v>
      </c>
      <c r="G1014" s="57" t="s">
        <v>2038</v>
      </c>
      <c r="H1014" s="57" t="s">
        <v>500</v>
      </c>
      <c r="I1014" s="57" t="s">
        <v>2039</v>
      </c>
      <c r="J1014" s="57" t="s">
        <v>284</v>
      </c>
      <c r="K1014" s="57" t="s">
        <v>591</v>
      </c>
      <c r="L1014" s="11" t="s">
        <v>914</v>
      </c>
      <c r="M1014" s="22">
        <v>1</v>
      </c>
      <c r="N1014" s="46">
        <v>960000</v>
      </c>
      <c r="O1014" s="49">
        <f t="shared" si="20"/>
        <v>960000</v>
      </c>
      <c r="P1014" s="5" t="s">
        <v>393</v>
      </c>
      <c r="Q1014" s="5" t="s">
        <v>766</v>
      </c>
      <c r="R1014" s="11">
        <v>311000000</v>
      </c>
      <c r="S1014" s="22">
        <v>0</v>
      </c>
    </row>
    <row r="1015" spans="1:19" ht="76.5" outlineLevel="1">
      <c r="A1015" s="5">
        <v>1000</v>
      </c>
      <c r="B1015" s="15" t="s">
        <v>710</v>
      </c>
      <c r="C1015" s="5" t="s">
        <v>597</v>
      </c>
      <c r="D1015" s="11" t="s">
        <v>498</v>
      </c>
      <c r="E1015" s="57" t="s">
        <v>2037</v>
      </c>
      <c r="F1015" s="57" t="s">
        <v>499</v>
      </c>
      <c r="G1015" s="57" t="s">
        <v>2038</v>
      </c>
      <c r="H1015" s="57" t="s">
        <v>500</v>
      </c>
      <c r="I1015" s="57" t="s">
        <v>2039</v>
      </c>
      <c r="J1015" s="57" t="s">
        <v>284</v>
      </c>
      <c r="K1015" s="57" t="s">
        <v>591</v>
      </c>
      <c r="L1015" s="11" t="s">
        <v>914</v>
      </c>
      <c r="M1015" s="22">
        <v>1</v>
      </c>
      <c r="N1015" s="46">
        <v>960000</v>
      </c>
      <c r="O1015" s="49">
        <f t="shared" si="20"/>
        <v>960000</v>
      </c>
      <c r="P1015" s="5" t="s">
        <v>393</v>
      </c>
      <c r="Q1015" s="5" t="s">
        <v>766</v>
      </c>
      <c r="R1015" s="11">
        <v>431000000</v>
      </c>
      <c r="S1015" s="22">
        <v>0</v>
      </c>
    </row>
    <row r="1016" spans="1:19" s="32" customFormat="1" ht="89.25" customHeight="1">
      <c r="A1016" s="5">
        <v>1001</v>
      </c>
      <c r="B1016" s="15" t="s">
        <v>710</v>
      </c>
      <c r="C1016" s="5" t="s">
        <v>597</v>
      </c>
      <c r="D1016" s="11" t="s">
        <v>498</v>
      </c>
      <c r="E1016" s="57" t="s">
        <v>2037</v>
      </c>
      <c r="F1016" s="57" t="s">
        <v>499</v>
      </c>
      <c r="G1016" s="57" t="s">
        <v>2038</v>
      </c>
      <c r="H1016" s="57" t="s">
        <v>500</v>
      </c>
      <c r="I1016" s="57" t="s">
        <v>2039</v>
      </c>
      <c r="J1016" s="57" t="s">
        <v>284</v>
      </c>
      <c r="K1016" s="57" t="s">
        <v>591</v>
      </c>
      <c r="L1016" s="11" t="s">
        <v>914</v>
      </c>
      <c r="M1016" s="22">
        <v>1</v>
      </c>
      <c r="N1016" s="46">
        <v>960000</v>
      </c>
      <c r="O1016" s="49">
        <f t="shared" si="20"/>
        <v>960000</v>
      </c>
      <c r="P1016" s="5" t="s">
        <v>393</v>
      </c>
      <c r="Q1016" s="5" t="s">
        <v>766</v>
      </c>
      <c r="R1016" s="11">
        <v>551000000</v>
      </c>
      <c r="S1016" s="22">
        <v>0</v>
      </c>
    </row>
    <row r="1017" spans="1:19" ht="76.5" outlineLevel="1">
      <c r="A1017" s="5">
        <v>1002</v>
      </c>
      <c r="B1017" s="15" t="s">
        <v>710</v>
      </c>
      <c r="C1017" s="5" t="s">
        <v>597</v>
      </c>
      <c r="D1017" s="11" t="s">
        <v>498</v>
      </c>
      <c r="E1017" s="57" t="s">
        <v>2037</v>
      </c>
      <c r="F1017" s="57" t="s">
        <v>499</v>
      </c>
      <c r="G1017" s="57" t="s">
        <v>2038</v>
      </c>
      <c r="H1017" s="57" t="s">
        <v>500</v>
      </c>
      <c r="I1017" s="57" t="s">
        <v>2039</v>
      </c>
      <c r="J1017" s="57" t="s">
        <v>284</v>
      </c>
      <c r="K1017" s="57" t="s">
        <v>591</v>
      </c>
      <c r="L1017" s="11" t="s">
        <v>914</v>
      </c>
      <c r="M1017" s="22">
        <v>1</v>
      </c>
      <c r="N1017" s="46">
        <v>960000</v>
      </c>
      <c r="O1017" s="49">
        <f t="shared" si="20"/>
        <v>960000</v>
      </c>
      <c r="P1017" s="5" t="s">
        <v>393</v>
      </c>
      <c r="Q1017" s="5" t="s">
        <v>766</v>
      </c>
      <c r="R1017" s="11" t="s">
        <v>2029</v>
      </c>
      <c r="S1017" s="5">
        <v>0</v>
      </c>
    </row>
    <row r="1018" spans="1:19" ht="63.75" outlineLevel="1">
      <c r="A1018" s="5">
        <v>1003</v>
      </c>
      <c r="B1018" s="15" t="s">
        <v>710</v>
      </c>
      <c r="C1018" s="5" t="s">
        <v>597</v>
      </c>
      <c r="D1018" s="5" t="s">
        <v>857</v>
      </c>
      <c r="E1018" s="57" t="s">
        <v>2268</v>
      </c>
      <c r="F1018" s="57" t="s">
        <v>34</v>
      </c>
      <c r="G1018" s="57" t="s">
        <v>858</v>
      </c>
      <c r="H1018" s="57" t="s">
        <v>859</v>
      </c>
      <c r="I1018" s="57" t="s">
        <v>2268</v>
      </c>
      <c r="J1018" s="57" t="s">
        <v>285</v>
      </c>
      <c r="K1018" s="57" t="s">
        <v>591</v>
      </c>
      <c r="L1018" s="11" t="s">
        <v>914</v>
      </c>
      <c r="M1018" s="22">
        <v>1</v>
      </c>
      <c r="N1018" s="46">
        <v>89286</v>
      </c>
      <c r="O1018" s="49">
        <f t="shared" si="20"/>
        <v>89286</v>
      </c>
      <c r="P1018" s="5" t="s">
        <v>501</v>
      </c>
      <c r="Q1018" s="5" t="s">
        <v>766</v>
      </c>
      <c r="R1018" s="11" t="s">
        <v>2030</v>
      </c>
      <c r="S1018" s="22">
        <v>0</v>
      </c>
    </row>
    <row r="1019" spans="1:19" ht="63.75" outlineLevel="1">
      <c r="A1019" s="5">
        <v>1004</v>
      </c>
      <c r="B1019" s="15" t="s">
        <v>710</v>
      </c>
      <c r="C1019" s="5" t="s">
        <v>597</v>
      </c>
      <c r="D1019" s="5" t="s">
        <v>857</v>
      </c>
      <c r="E1019" s="57" t="s">
        <v>2268</v>
      </c>
      <c r="F1019" s="57" t="s">
        <v>34</v>
      </c>
      <c r="G1019" s="57" t="s">
        <v>858</v>
      </c>
      <c r="H1019" s="57" t="s">
        <v>859</v>
      </c>
      <c r="I1019" s="57" t="s">
        <v>2268</v>
      </c>
      <c r="J1019" s="57" t="s">
        <v>285</v>
      </c>
      <c r="K1019" s="57" t="s">
        <v>591</v>
      </c>
      <c r="L1019" s="11" t="s">
        <v>914</v>
      </c>
      <c r="M1019" s="22">
        <v>1</v>
      </c>
      <c r="N1019" s="46">
        <v>89286</v>
      </c>
      <c r="O1019" s="49">
        <f t="shared" si="20"/>
        <v>89286</v>
      </c>
      <c r="P1019" s="5" t="s">
        <v>501</v>
      </c>
      <c r="Q1019" s="5" t="s">
        <v>766</v>
      </c>
      <c r="R1019" s="11" t="s">
        <v>1021</v>
      </c>
      <c r="S1019" s="5">
        <v>0</v>
      </c>
    </row>
    <row r="1020" spans="1:19" ht="63.75" outlineLevel="1">
      <c r="A1020" s="5">
        <v>1005</v>
      </c>
      <c r="B1020" s="15" t="s">
        <v>710</v>
      </c>
      <c r="C1020" s="5" t="s">
        <v>597</v>
      </c>
      <c r="D1020" s="5" t="s">
        <v>857</v>
      </c>
      <c r="E1020" s="57" t="s">
        <v>2268</v>
      </c>
      <c r="F1020" s="57" t="s">
        <v>34</v>
      </c>
      <c r="G1020" s="57" t="s">
        <v>858</v>
      </c>
      <c r="H1020" s="57" t="s">
        <v>859</v>
      </c>
      <c r="I1020" s="57" t="s">
        <v>2268</v>
      </c>
      <c r="J1020" s="57" t="s">
        <v>285</v>
      </c>
      <c r="K1020" s="57" t="s">
        <v>591</v>
      </c>
      <c r="L1020" s="11" t="s">
        <v>914</v>
      </c>
      <c r="M1020" s="22">
        <v>1</v>
      </c>
      <c r="N1020" s="46">
        <v>89286</v>
      </c>
      <c r="O1020" s="49">
        <f t="shared" si="20"/>
        <v>89286</v>
      </c>
      <c r="P1020" s="5" t="s">
        <v>515</v>
      </c>
      <c r="Q1020" s="5" t="s">
        <v>766</v>
      </c>
      <c r="R1020" s="11" t="s">
        <v>789</v>
      </c>
      <c r="S1020" s="5">
        <v>0</v>
      </c>
    </row>
    <row r="1021" spans="1:19" ht="63.75" outlineLevel="1">
      <c r="A1021" s="5">
        <v>1006</v>
      </c>
      <c r="B1021" s="15" t="s">
        <v>710</v>
      </c>
      <c r="C1021" s="5" t="s">
        <v>597</v>
      </c>
      <c r="D1021" s="5" t="s">
        <v>857</v>
      </c>
      <c r="E1021" s="57" t="s">
        <v>2268</v>
      </c>
      <c r="F1021" s="57" t="s">
        <v>34</v>
      </c>
      <c r="G1021" s="57" t="s">
        <v>858</v>
      </c>
      <c r="H1021" s="57" t="s">
        <v>859</v>
      </c>
      <c r="I1021" s="57" t="s">
        <v>2268</v>
      </c>
      <c r="J1021" s="57" t="s">
        <v>285</v>
      </c>
      <c r="K1021" s="57" t="s">
        <v>591</v>
      </c>
      <c r="L1021" s="11" t="s">
        <v>914</v>
      </c>
      <c r="M1021" s="22">
        <v>1</v>
      </c>
      <c r="N1021" s="46">
        <v>89286</v>
      </c>
      <c r="O1021" s="49">
        <f t="shared" si="20"/>
        <v>89286</v>
      </c>
      <c r="P1021" s="5" t="s">
        <v>501</v>
      </c>
      <c r="Q1021" s="5" t="s">
        <v>766</v>
      </c>
      <c r="R1021" s="11" t="s">
        <v>633</v>
      </c>
      <c r="S1021" s="22">
        <v>0</v>
      </c>
    </row>
    <row r="1022" spans="1:19" ht="63.75" outlineLevel="1">
      <c r="A1022" s="5">
        <v>1007</v>
      </c>
      <c r="B1022" s="15" t="s">
        <v>710</v>
      </c>
      <c r="C1022" s="5" t="s">
        <v>597</v>
      </c>
      <c r="D1022" s="5" t="s">
        <v>857</v>
      </c>
      <c r="E1022" s="57" t="s">
        <v>2268</v>
      </c>
      <c r="F1022" s="57" t="s">
        <v>34</v>
      </c>
      <c r="G1022" s="57" t="s">
        <v>858</v>
      </c>
      <c r="H1022" s="57" t="s">
        <v>859</v>
      </c>
      <c r="I1022" s="57" t="s">
        <v>2268</v>
      </c>
      <c r="J1022" s="57" t="s">
        <v>285</v>
      </c>
      <c r="K1022" s="57" t="s">
        <v>591</v>
      </c>
      <c r="L1022" s="11" t="s">
        <v>914</v>
      </c>
      <c r="M1022" s="22">
        <v>1</v>
      </c>
      <c r="N1022" s="46">
        <v>89286</v>
      </c>
      <c r="O1022" s="49">
        <f t="shared" si="20"/>
        <v>89286</v>
      </c>
      <c r="P1022" s="5" t="s">
        <v>501</v>
      </c>
      <c r="Q1022" s="5" t="s">
        <v>766</v>
      </c>
      <c r="R1022" s="11">
        <v>311000000</v>
      </c>
      <c r="S1022" s="22">
        <v>0</v>
      </c>
    </row>
    <row r="1023" spans="1:19" ht="63.75" outlineLevel="1">
      <c r="A1023" s="5">
        <v>1008</v>
      </c>
      <c r="B1023" s="15" t="s">
        <v>710</v>
      </c>
      <c r="C1023" s="5" t="s">
        <v>597</v>
      </c>
      <c r="D1023" s="5" t="s">
        <v>857</v>
      </c>
      <c r="E1023" s="57" t="s">
        <v>2268</v>
      </c>
      <c r="F1023" s="57" t="s">
        <v>34</v>
      </c>
      <c r="G1023" s="57" t="s">
        <v>858</v>
      </c>
      <c r="H1023" s="57" t="s">
        <v>859</v>
      </c>
      <c r="I1023" s="57" t="s">
        <v>2268</v>
      </c>
      <c r="J1023" s="57" t="s">
        <v>285</v>
      </c>
      <c r="K1023" s="57" t="s">
        <v>591</v>
      </c>
      <c r="L1023" s="11" t="s">
        <v>914</v>
      </c>
      <c r="M1023" s="22">
        <v>1</v>
      </c>
      <c r="N1023" s="46">
        <v>89286</v>
      </c>
      <c r="O1023" s="49">
        <f t="shared" si="20"/>
        <v>89286</v>
      </c>
      <c r="P1023" s="5" t="s">
        <v>501</v>
      </c>
      <c r="Q1023" s="5" t="s">
        <v>766</v>
      </c>
      <c r="R1023" s="11">
        <v>431000000</v>
      </c>
      <c r="S1023" s="22">
        <v>0</v>
      </c>
    </row>
    <row r="1024" spans="1:19" s="32" customFormat="1" ht="63.75">
      <c r="A1024" s="5">
        <v>1009</v>
      </c>
      <c r="B1024" s="15" t="s">
        <v>710</v>
      </c>
      <c r="C1024" s="5" t="s">
        <v>597</v>
      </c>
      <c r="D1024" s="5" t="s">
        <v>857</v>
      </c>
      <c r="E1024" s="57" t="s">
        <v>2268</v>
      </c>
      <c r="F1024" s="57" t="s">
        <v>34</v>
      </c>
      <c r="G1024" s="57" t="s">
        <v>858</v>
      </c>
      <c r="H1024" s="57" t="s">
        <v>859</v>
      </c>
      <c r="I1024" s="57" t="s">
        <v>2268</v>
      </c>
      <c r="J1024" s="57" t="s">
        <v>285</v>
      </c>
      <c r="K1024" s="57" t="s">
        <v>591</v>
      </c>
      <c r="L1024" s="11" t="s">
        <v>914</v>
      </c>
      <c r="M1024" s="22">
        <v>1</v>
      </c>
      <c r="N1024" s="46">
        <v>133929</v>
      </c>
      <c r="O1024" s="49">
        <f t="shared" si="20"/>
        <v>133929</v>
      </c>
      <c r="P1024" s="5" t="s">
        <v>501</v>
      </c>
      <c r="Q1024" s="5" t="s">
        <v>766</v>
      </c>
      <c r="R1024" s="11">
        <v>551000000</v>
      </c>
      <c r="S1024" s="22">
        <v>30</v>
      </c>
    </row>
    <row r="1025" spans="1:19" ht="63.75" outlineLevel="1">
      <c r="A1025" s="5">
        <v>1010</v>
      </c>
      <c r="B1025" s="15" t="s">
        <v>710</v>
      </c>
      <c r="C1025" s="5" t="s">
        <v>597</v>
      </c>
      <c r="D1025" s="5" t="s">
        <v>857</v>
      </c>
      <c r="E1025" s="57" t="s">
        <v>2268</v>
      </c>
      <c r="F1025" s="57" t="s">
        <v>34</v>
      </c>
      <c r="G1025" s="57" t="s">
        <v>858</v>
      </c>
      <c r="H1025" s="57" t="s">
        <v>859</v>
      </c>
      <c r="I1025" s="57" t="s">
        <v>2268</v>
      </c>
      <c r="J1025" s="57" t="s">
        <v>285</v>
      </c>
      <c r="K1025" s="57" t="s">
        <v>591</v>
      </c>
      <c r="L1025" s="11" t="s">
        <v>914</v>
      </c>
      <c r="M1025" s="22">
        <v>1</v>
      </c>
      <c r="N1025" s="46">
        <v>89286</v>
      </c>
      <c r="O1025" s="49">
        <f t="shared" si="20"/>
        <v>89286</v>
      </c>
      <c r="P1025" s="5" t="s">
        <v>698</v>
      </c>
      <c r="Q1025" s="5" t="s">
        <v>766</v>
      </c>
      <c r="R1025" s="11" t="s">
        <v>2029</v>
      </c>
      <c r="S1025" s="5">
        <v>30</v>
      </c>
    </row>
    <row r="1026" spans="1:19" ht="51" outlineLevel="1">
      <c r="A1026" s="5">
        <v>1011</v>
      </c>
      <c r="B1026" s="29" t="s">
        <v>710</v>
      </c>
      <c r="C1026" s="35" t="s">
        <v>597</v>
      </c>
      <c r="D1026" s="11" t="s">
        <v>483</v>
      </c>
      <c r="E1026" s="57" t="s">
        <v>2188</v>
      </c>
      <c r="F1026" s="57" t="s">
        <v>484</v>
      </c>
      <c r="G1026" s="57" t="s">
        <v>2188</v>
      </c>
      <c r="H1026" s="57" t="s">
        <v>913</v>
      </c>
      <c r="I1026" s="57" t="s">
        <v>2189</v>
      </c>
      <c r="J1026" s="57" t="s">
        <v>286</v>
      </c>
      <c r="K1026" s="57" t="s">
        <v>591</v>
      </c>
      <c r="L1026" s="11" t="s">
        <v>914</v>
      </c>
      <c r="M1026" s="22">
        <v>1</v>
      </c>
      <c r="N1026" s="46">
        <v>44643</v>
      </c>
      <c r="O1026" s="49">
        <f t="shared" si="20"/>
        <v>44643</v>
      </c>
      <c r="P1026" s="5" t="s">
        <v>612</v>
      </c>
      <c r="Q1026" s="5" t="s">
        <v>766</v>
      </c>
      <c r="R1026" s="11" t="s">
        <v>2030</v>
      </c>
      <c r="S1026" s="22">
        <v>0</v>
      </c>
    </row>
    <row r="1027" spans="1:19" ht="51" outlineLevel="1">
      <c r="A1027" s="5">
        <v>1012</v>
      </c>
      <c r="B1027" s="29" t="s">
        <v>710</v>
      </c>
      <c r="C1027" s="35" t="s">
        <v>597</v>
      </c>
      <c r="D1027" s="11" t="s">
        <v>483</v>
      </c>
      <c r="E1027" s="57" t="s">
        <v>2188</v>
      </c>
      <c r="F1027" s="57" t="s">
        <v>484</v>
      </c>
      <c r="G1027" s="57" t="s">
        <v>2188</v>
      </c>
      <c r="H1027" s="57" t="s">
        <v>913</v>
      </c>
      <c r="I1027" s="57" t="s">
        <v>2189</v>
      </c>
      <c r="J1027" s="57" t="s">
        <v>286</v>
      </c>
      <c r="K1027" s="57" t="s">
        <v>591</v>
      </c>
      <c r="L1027" s="11" t="s">
        <v>914</v>
      </c>
      <c r="M1027" s="22">
        <v>1</v>
      </c>
      <c r="N1027" s="46">
        <v>44643</v>
      </c>
      <c r="O1027" s="49">
        <f t="shared" si="20"/>
        <v>44643</v>
      </c>
      <c r="P1027" s="5" t="s">
        <v>501</v>
      </c>
      <c r="Q1027" s="5" t="s">
        <v>766</v>
      </c>
      <c r="R1027" s="11" t="s">
        <v>1021</v>
      </c>
      <c r="S1027" s="5">
        <v>0</v>
      </c>
    </row>
    <row r="1028" spans="1:19" ht="51" outlineLevel="1">
      <c r="A1028" s="5">
        <v>1013</v>
      </c>
      <c r="B1028" s="29" t="s">
        <v>710</v>
      </c>
      <c r="C1028" s="35" t="s">
        <v>597</v>
      </c>
      <c r="D1028" s="11" t="s">
        <v>483</v>
      </c>
      <c r="E1028" s="57" t="s">
        <v>2188</v>
      </c>
      <c r="F1028" s="57" t="s">
        <v>484</v>
      </c>
      <c r="G1028" s="57" t="s">
        <v>2188</v>
      </c>
      <c r="H1028" s="57" t="s">
        <v>913</v>
      </c>
      <c r="I1028" s="57" t="s">
        <v>2189</v>
      </c>
      <c r="J1028" s="57" t="s">
        <v>286</v>
      </c>
      <c r="K1028" s="57" t="s">
        <v>591</v>
      </c>
      <c r="L1028" s="11" t="s">
        <v>914</v>
      </c>
      <c r="M1028" s="22">
        <v>1</v>
      </c>
      <c r="N1028" s="46">
        <v>44643</v>
      </c>
      <c r="O1028" s="49">
        <f t="shared" si="20"/>
        <v>44643</v>
      </c>
      <c r="P1028" s="5" t="s">
        <v>515</v>
      </c>
      <c r="Q1028" s="5" t="s">
        <v>766</v>
      </c>
      <c r="R1028" s="11" t="s">
        <v>789</v>
      </c>
      <c r="S1028" s="5">
        <v>0</v>
      </c>
    </row>
    <row r="1029" spans="1:19" ht="51" outlineLevel="1">
      <c r="A1029" s="5">
        <v>1014</v>
      </c>
      <c r="B1029" s="29" t="s">
        <v>710</v>
      </c>
      <c r="C1029" s="35" t="s">
        <v>597</v>
      </c>
      <c r="D1029" s="11" t="s">
        <v>483</v>
      </c>
      <c r="E1029" s="57" t="s">
        <v>2188</v>
      </c>
      <c r="F1029" s="57" t="s">
        <v>484</v>
      </c>
      <c r="G1029" s="57" t="s">
        <v>2188</v>
      </c>
      <c r="H1029" s="57" t="s">
        <v>913</v>
      </c>
      <c r="I1029" s="57" t="s">
        <v>2189</v>
      </c>
      <c r="J1029" s="57" t="s">
        <v>286</v>
      </c>
      <c r="K1029" s="57" t="s">
        <v>591</v>
      </c>
      <c r="L1029" s="11" t="s">
        <v>914</v>
      </c>
      <c r="M1029" s="22">
        <v>1</v>
      </c>
      <c r="N1029" s="46">
        <v>44643</v>
      </c>
      <c r="O1029" s="49">
        <f t="shared" si="20"/>
        <v>44643</v>
      </c>
      <c r="P1029" s="5" t="s">
        <v>501</v>
      </c>
      <c r="Q1029" s="5" t="s">
        <v>766</v>
      </c>
      <c r="R1029" s="11" t="s">
        <v>633</v>
      </c>
      <c r="S1029" s="22">
        <v>0</v>
      </c>
    </row>
    <row r="1030" spans="1:19" ht="51" outlineLevel="1">
      <c r="A1030" s="5">
        <v>1015</v>
      </c>
      <c r="B1030" s="29" t="s">
        <v>710</v>
      </c>
      <c r="C1030" s="35" t="s">
        <v>597</v>
      </c>
      <c r="D1030" s="11" t="s">
        <v>483</v>
      </c>
      <c r="E1030" s="57" t="s">
        <v>2188</v>
      </c>
      <c r="F1030" s="57" t="s">
        <v>484</v>
      </c>
      <c r="G1030" s="57" t="s">
        <v>2188</v>
      </c>
      <c r="H1030" s="57" t="s">
        <v>913</v>
      </c>
      <c r="I1030" s="57" t="s">
        <v>2189</v>
      </c>
      <c r="J1030" s="57" t="s">
        <v>286</v>
      </c>
      <c r="K1030" s="57" t="s">
        <v>591</v>
      </c>
      <c r="L1030" s="11" t="s">
        <v>914</v>
      </c>
      <c r="M1030" s="22">
        <v>1</v>
      </c>
      <c r="N1030" s="46">
        <v>44643</v>
      </c>
      <c r="O1030" s="49">
        <f t="shared" si="20"/>
        <v>44643</v>
      </c>
      <c r="P1030" s="5" t="s">
        <v>501</v>
      </c>
      <c r="Q1030" s="5" t="s">
        <v>766</v>
      </c>
      <c r="R1030" s="11">
        <v>311000000</v>
      </c>
      <c r="S1030" s="22">
        <v>0</v>
      </c>
    </row>
    <row r="1031" spans="1:19" ht="51" outlineLevel="1">
      <c r="A1031" s="5">
        <v>1016</v>
      </c>
      <c r="B1031" s="29" t="s">
        <v>710</v>
      </c>
      <c r="C1031" s="35" t="s">
        <v>597</v>
      </c>
      <c r="D1031" s="11" t="s">
        <v>483</v>
      </c>
      <c r="E1031" s="57" t="s">
        <v>2188</v>
      </c>
      <c r="F1031" s="57" t="s">
        <v>484</v>
      </c>
      <c r="G1031" s="57" t="s">
        <v>2188</v>
      </c>
      <c r="H1031" s="57" t="s">
        <v>913</v>
      </c>
      <c r="I1031" s="57" t="s">
        <v>2189</v>
      </c>
      <c r="J1031" s="57" t="s">
        <v>286</v>
      </c>
      <c r="K1031" s="57" t="s">
        <v>591</v>
      </c>
      <c r="L1031" s="11" t="s">
        <v>914</v>
      </c>
      <c r="M1031" s="22">
        <v>1</v>
      </c>
      <c r="N1031" s="46">
        <v>44643</v>
      </c>
      <c r="O1031" s="49">
        <f t="shared" si="20"/>
        <v>44643</v>
      </c>
      <c r="P1031" s="5" t="s">
        <v>502</v>
      </c>
      <c r="Q1031" s="5" t="s">
        <v>766</v>
      </c>
      <c r="R1031" s="11">
        <v>431000000</v>
      </c>
      <c r="S1031" s="22">
        <v>0</v>
      </c>
    </row>
    <row r="1032" spans="1:19" ht="51" outlineLevel="1">
      <c r="A1032" s="5">
        <v>1017</v>
      </c>
      <c r="B1032" s="29" t="s">
        <v>710</v>
      </c>
      <c r="C1032" s="35" t="s">
        <v>597</v>
      </c>
      <c r="D1032" s="11" t="s">
        <v>483</v>
      </c>
      <c r="E1032" s="57" t="s">
        <v>2188</v>
      </c>
      <c r="F1032" s="57" t="s">
        <v>484</v>
      </c>
      <c r="G1032" s="57" t="s">
        <v>2188</v>
      </c>
      <c r="H1032" s="57" t="s">
        <v>913</v>
      </c>
      <c r="I1032" s="57" t="s">
        <v>2189</v>
      </c>
      <c r="J1032" s="57" t="s">
        <v>286</v>
      </c>
      <c r="K1032" s="57" t="s">
        <v>591</v>
      </c>
      <c r="L1032" s="11" t="s">
        <v>914</v>
      </c>
      <c r="M1032" s="22">
        <v>1</v>
      </c>
      <c r="N1032" s="46">
        <v>44643</v>
      </c>
      <c r="O1032" s="49">
        <f t="shared" si="20"/>
        <v>44643</v>
      </c>
      <c r="P1032" s="5" t="s">
        <v>612</v>
      </c>
      <c r="Q1032" s="5" t="s">
        <v>766</v>
      </c>
      <c r="R1032" s="11">
        <v>311000000</v>
      </c>
      <c r="S1032" s="22">
        <v>0</v>
      </c>
    </row>
    <row r="1033" spans="1:19" ht="51" outlineLevel="1">
      <c r="A1033" s="5">
        <v>1018</v>
      </c>
      <c r="B1033" s="29" t="s">
        <v>710</v>
      </c>
      <c r="C1033" s="35" t="s">
        <v>597</v>
      </c>
      <c r="D1033" s="11" t="s">
        <v>483</v>
      </c>
      <c r="E1033" s="57" t="s">
        <v>2188</v>
      </c>
      <c r="F1033" s="57" t="s">
        <v>484</v>
      </c>
      <c r="G1033" s="57" t="s">
        <v>2188</v>
      </c>
      <c r="H1033" s="57" t="s">
        <v>913</v>
      </c>
      <c r="I1033" s="57" t="s">
        <v>2189</v>
      </c>
      <c r="J1033" s="57" t="s">
        <v>286</v>
      </c>
      <c r="K1033" s="57" t="s">
        <v>591</v>
      </c>
      <c r="L1033" s="11" t="s">
        <v>914</v>
      </c>
      <c r="M1033" s="22">
        <v>1</v>
      </c>
      <c r="N1033" s="46">
        <v>44643</v>
      </c>
      <c r="O1033" s="49">
        <f t="shared" si="20"/>
        <v>44643</v>
      </c>
      <c r="P1033" s="5" t="s">
        <v>698</v>
      </c>
      <c r="Q1033" s="5" t="s">
        <v>766</v>
      </c>
      <c r="R1033" s="11" t="s">
        <v>2029</v>
      </c>
      <c r="S1033" s="5">
        <v>30</v>
      </c>
    </row>
    <row r="1034" spans="1:19" ht="76.5" outlineLevel="1">
      <c r="A1034" s="5">
        <v>1019</v>
      </c>
      <c r="B1034" s="29" t="s">
        <v>710</v>
      </c>
      <c r="C1034" s="35" t="s">
        <v>597</v>
      </c>
      <c r="D1034" s="15" t="s">
        <v>860</v>
      </c>
      <c r="E1034" s="57" t="s">
        <v>861</v>
      </c>
      <c r="F1034" s="57" t="s">
        <v>697</v>
      </c>
      <c r="G1034" s="57" t="s">
        <v>862</v>
      </c>
      <c r="H1034" s="57" t="s">
        <v>863</v>
      </c>
      <c r="I1034" s="57" t="s">
        <v>2306</v>
      </c>
      <c r="J1034" s="57" t="s">
        <v>287</v>
      </c>
      <c r="K1034" s="57" t="s">
        <v>591</v>
      </c>
      <c r="L1034" s="11" t="s">
        <v>914</v>
      </c>
      <c r="M1034" s="22">
        <v>1</v>
      </c>
      <c r="N1034" s="46">
        <v>133929</v>
      </c>
      <c r="O1034" s="49">
        <f t="shared" si="20"/>
        <v>133929</v>
      </c>
      <c r="P1034" s="5" t="s">
        <v>612</v>
      </c>
      <c r="Q1034" s="5" t="s">
        <v>766</v>
      </c>
      <c r="R1034" s="11" t="s">
        <v>2030</v>
      </c>
      <c r="S1034" s="22">
        <v>0</v>
      </c>
    </row>
    <row r="1035" spans="1:19" ht="76.5" outlineLevel="1">
      <c r="A1035" s="5">
        <v>1020</v>
      </c>
      <c r="B1035" s="29" t="s">
        <v>710</v>
      </c>
      <c r="C1035" s="35" t="s">
        <v>597</v>
      </c>
      <c r="D1035" s="15" t="s">
        <v>860</v>
      </c>
      <c r="E1035" s="57" t="s">
        <v>861</v>
      </c>
      <c r="F1035" s="57" t="s">
        <v>697</v>
      </c>
      <c r="G1035" s="57" t="s">
        <v>862</v>
      </c>
      <c r="H1035" s="57" t="s">
        <v>863</v>
      </c>
      <c r="I1035" s="57" t="s">
        <v>2306</v>
      </c>
      <c r="J1035" s="57" t="s">
        <v>287</v>
      </c>
      <c r="K1035" s="57" t="s">
        <v>591</v>
      </c>
      <c r="L1035" s="11" t="s">
        <v>914</v>
      </c>
      <c r="M1035" s="22">
        <v>1</v>
      </c>
      <c r="N1035" s="46">
        <f>O1035/M1035</f>
        <v>0</v>
      </c>
      <c r="O1035" s="49">
        <f>133929-133929</f>
        <v>0</v>
      </c>
      <c r="P1035" s="5" t="s">
        <v>501</v>
      </c>
      <c r="Q1035" s="5" t="s">
        <v>766</v>
      </c>
      <c r="R1035" s="11" t="s">
        <v>1021</v>
      </c>
      <c r="S1035" s="5">
        <v>0</v>
      </c>
    </row>
    <row r="1036" spans="1:19" ht="76.5" outlineLevel="1">
      <c r="A1036" s="5">
        <v>1021</v>
      </c>
      <c r="B1036" s="29" t="s">
        <v>710</v>
      </c>
      <c r="C1036" s="35" t="s">
        <v>597</v>
      </c>
      <c r="D1036" s="15" t="s">
        <v>860</v>
      </c>
      <c r="E1036" s="57" t="s">
        <v>861</v>
      </c>
      <c r="F1036" s="57" t="s">
        <v>697</v>
      </c>
      <c r="G1036" s="57" t="s">
        <v>862</v>
      </c>
      <c r="H1036" s="57" t="s">
        <v>863</v>
      </c>
      <c r="I1036" s="57" t="s">
        <v>2306</v>
      </c>
      <c r="J1036" s="57" t="s">
        <v>287</v>
      </c>
      <c r="K1036" s="57" t="s">
        <v>591</v>
      </c>
      <c r="L1036" s="11" t="s">
        <v>914</v>
      </c>
      <c r="M1036" s="22">
        <v>1</v>
      </c>
      <c r="N1036" s="46">
        <v>133929</v>
      </c>
      <c r="O1036" s="49">
        <f t="shared" si="20"/>
        <v>133929</v>
      </c>
      <c r="P1036" s="5" t="s">
        <v>612</v>
      </c>
      <c r="Q1036" s="5" t="s">
        <v>766</v>
      </c>
      <c r="R1036" s="11" t="s">
        <v>789</v>
      </c>
      <c r="S1036" s="5">
        <v>0</v>
      </c>
    </row>
    <row r="1037" spans="1:19" ht="76.5" outlineLevel="1">
      <c r="A1037" s="5">
        <v>1022</v>
      </c>
      <c r="B1037" s="29" t="s">
        <v>710</v>
      </c>
      <c r="C1037" s="35" t="s">
        <v>597</v>
      </c>
      <c r="D1037" s="15" t="s">
        <v>860</v>
      </c>
      <c r="E1037" s="57" t="s">
        <v>861</v>
      </c>
      <c r="F1037" s="57" t="s">
        <v>697</v>
      </c>
      <c r="G1037" s="57" t="s">
        <v>862</v>
      </c>
      <c r="H1037" s="57" t="s">
        <v>863</v>
      </c>
      <c r="I1037" s="57" t="s">
        <v>2306</v>
      </c>
      <c r="J1037" s="57" t="s">
        <v>287</v>
      </c>
      <c r="K1037" s="57" t="s">
        <v>591</v>
      </c>
      <c r="L1037" s="11" t="s">
        <v>914</v>
      </c>
      <c r="M1037" s="22">
        <v>1</v>
      </c>
      <c r="N1037" s="46">
        <v>133929</v>
      </c>
      <c r="O1037" s="49">
        <f t="shared" si="20"/>
        <v>133929</v>
      </c>
      <c r="P1037" s="5" t="s">
        <v>501</v>
      </c>
      <c r="Q1037" s="5" t="s">
        <v>502</v>
      </c>
      <c r="R1037" s="11" t="s">
        <v>633</v>
      </c>
      <c r="S1037" s="22">
        <v>0</v>
      </c>
    </row>
    <row r="1038" spans="1:19" ht="76.5" outlineLevel="1">
      <c r="A1038" s="5">
        <v>1023</v>
      </c>
      <c r="B1038" s="29" t="s">
        <v>710</v>
      </c>
      <c r="C1038" s="35" t="s">
        <v>597</v>
      </c>
      <c r="D1038" s="15" t="s">
        <v>860</v>
      </c>
      <c r="E1038" s="57" t="s">
        <v>861</v>
      </c>
      <c r="F1038" s="57" t="s">
        <v>697</v>
      </c>
      <c r="G1038" s="57" t="s">
        <v>862</v>
      </c>
      <c r="H1038" s="57" t="s">
        <v>863</v>
      </c>
      <c r="I1038" s="57" t="s">
        <v>2306</v>
      </c>
      <c r="J1038" s="57" t="s">
        <v>287</v>
      </c>
      <c r="K1038" s="57" t="s">
        <v>591</v>
      </c>
      <c r="L1038" s="11" t="s">
        <v>914</v>
      </c>
      <c r="M1038" s="22">
        <v>1</v>
      </c>
      <c r="N1038" s="46">
        <v>133929</v>
      </c>
      <c r="O1038" s="49">
        <f t="shared" si="20"/>
        <v>133929</v>
      </c>
      <c r="P1038" s="5" t="s">
        <v>515</v>
      </c>
      <c r="Q1038" s="5" t="s">
        <v>766</v>
      </c>
      <c r="R1038" s="11">
        <v>311000000</v>
      </c>
      <c r="S1038" s="22">
        <v>0</v>
      </c>
    </row>
    <row r="1039" spans="1:19" ht="76.5">
      <c r="A1039" s="5">
        <v>1024</v>
      </c>
      <c r="B1039" s="29" t="s">
        <v>710</v>
      </c>
      <c r="C1039" s="35" t="s">
        <v>597</v>
      </c>
      <c r="D1039" s="15" t="s">
        <v>860</v>
      </c>
      <c r="E1039" s="57" t="s">
        <v>861</v>
      </c>
      <c r="F1039" s="57" t="s">
        <v>697</v>
      </c>
      <c r="G1039" s="57" t="s">
        <v>862</v>
      </c>
      <c r="H1039" s="57" t="s">
        <v>863</v>
      </c>
      <c r="I1039" s="57" t="s">
        <v>2306</v>
      </c>
      <c r="J1039" s="57" t="s">
        <v>287</v>
      </c>
      <c r="K1039" s="57" t="s">
        <v>591</v>
      </c>
      <c r="L1039" s="11" t="s">
        <v>914</v>
      </c>
      <c r="M1039" s="22">
        <v>1</v>
      </c>
      <c r="N1039" s="46">
        <v>133929</v>
      </c>
      <c r="O1039" s="49">
        <f t="shared" si="20"/>
        <v>133929</v>
      </c>
      <c r="P1039" s="5" t="s">
        <v>393</v>
      </c>
      <c r="Q1039" s="5" t="s">
        <v>766</v>
      </c>
      <c r="R1039" s="11">
        <v>431000000</v>
      </c>
      <c r="S1039" s="22">
        <v>0</v>
      </c>
    </row>
    <row r="1040" spans="1:19" s="32" customFormat="1" ht="76.5">
      <c r="A1040" s="5">
        <v>1025</v>
      </c>
      <c r="B1040" s="29" t="s">
        <v>710</v>
      </c>
      <c r="C1040" s="35" t="s">
        <v>597</v>
      </c>
      <c r="D1040" s="15" t="s">
        <v>860</v>
      </c>
      <c r="E1040" s="57" t="s">
        <v>861</v>
      </c>
      <c r="F1040" s="57" t="s">
        <v>697</v>
      </c>
      <c r="G1040" s="57" t="s">
        <v>862</v>
      </c>
      <c r="H1040" s="57" t="s">
        <v>863</v>
      </c>
      <c r="I1040" s="57" t="s">
        <v>2306</v>
      </c>
      <c r="J1040" s="57" t="s">
        <v>287</v>
      </c>
      <c r="K1040" s="57" t="s">
        <v>591</v>
      </c>
      <c r="L1040" s="11" t="s">
        <v>914</v>
      </c>
      <c r="M1040" s="22">
        <v>1</v>
      </c>
      <c r="N1040" s="46">
        <f>O1040/M1040</f>
        <v>0</v>
      </c>
      <c r="O1040" s="49">
        <f>133929-133929</f>
        <v>0</v>
      </c>
      <c r="P1040" s="5" t="s">
        <v>612</v>
      </c>
      <c r="Q1040" s="5" t="s">
        <v>394</v>
      </c>
      <c r="R1040" s="11">
        <v>551000000</v>
      </c>
      <c r="S1040" s="22">
        <v>30</v>
      </c>
    </row>
    <row r="1041" spans="1:19" ht="76.5" outlineLevel="1">
      <c r="A1041" s="5">
        <v>1026</v>
      </c>
      <c r="B1041" s="29" t="s">
        <v>710</v>
      </c>
      <c r="C1041" s="35" t="s">
        <v>597</v>
      </c>
      <c r="D1041" s="15" t="s">
        <v>860</v>
      </c>
      <c r="E1041" s="57" t="s">
        <v>861</v>
      </c>
      <c r="F1041" s="57" t="s">
        <v>697</v>
      </c>
      <c r="G1041" s="57" t="s">
        <v>862</v>
      </c>
      <c r="H1041" s="57" t="s">
        <v>863</v>
      </c>
      <c r="I1041" s="57" t="s">
        <v>2306</v>
      </c>
      <c r="J1041" s="57" t="s">
        <v>287</v>
      </c>
      <c r="K1041" s="57" t="s">
        <v>591</v>
      </c>
      <c r="L1041" s="11" t="s">
        <v>914</v>
      </c>
      <c r="M1041" s="22">
        <v>1</v>
      </c>
      <c r="N1041" s="46">
        <f>O1041</f>
        <v>0</v>
      </c>
      <c r="O1041" s="49">
        <f>133929-133929</f>
        <v>0</v>
      </c>
      <c r="P1041" s="5" t="s">
        <v>501</v>
      </c>
      <c r="Q1041" s="5" t="s">
        <v>766</v>
      </c>
      <c r="R1041" s="11" t="s">
        <v>2029</v>
      </c>
      <c r="S1041" s="5">
        <v>30</v>
      </c>
    </row>
    <row r="1042" spans="1:19" ht="51" outlineLevel="1">
      <c r="A1042" s="5">
        <v>1027</v>
      </c>
      <c r="B1042" s="29" t="s">
        <v>710</v>
      </c>
      <c r="C1042" s="35" t="s">
        <v>597</v>
      </c>
      <c r="D1042" s="5" t="s">
        <v>503</v>
      </c>
      <c r="E1042" s="57" t="s">
        <v>504</v>
      </c>
      <c r="F1042" s="57" t="s">
        <v>505</v>
      </c>
      <c r="G1042" s="57" t="s">
        <v>504</v>
      </c>
      <c r="H1042" s="57" t="s">
        <v>505</v>
      </c>
      <c r="I1042" s="57" t="s">
        <v>2244</v>
      </c>
      <c r="J1042" s="57" t="s">
        <v>288</v>
      </c>
      <c r="K1042" s="57" t="s">
        <v>591</v>
      </c>
      <c r="L1042" s="11" t="s">
        <v>914</v>
      </c>
      <c r="M1042" s="22">
        <v>1</v>
      </c>
      <c r="N1042" s="46">
        <v>178571</v>
      </c>
      <c r="O1042" s="49">
        <f t="shared" ref="O1042:O1049" si="21">M1042*N1042</f>
        <v>178571</v>
      </c>
      <c r="P1042" s="5" t="s">
        <v>393</v>
      </c>
      <c r="Q1042" s="5" t="s">
        <v>766</v>
      </c>
      <c r="R1042" s="11" t="s">
        <v>2030</v>
      </c>
      <c r="S1042" s="22">
        <v>100</v>
      </c>
    </row>
    <row r="1043" spans="1:19" ht="51" outlineLevel="1">
      <c r="A1043" s="5">
        <v>1028</v>
      </c>
      <c r="B1043" s="29" t="s">
        <v>710</v>
      </c>
      <c r="C1043" s="35" t="s">
        <v>597</v>
      </c>
      <c r="D1043" s="5" t="s">
        <v>503</v>
      </c>
      <c r="E1043" s="57" t="s">
        <v>504</v>
      </c>
      <c r="F1043" s="57" t="s">
        <v>505</v>
      </c>
      <c r="G1043" s="57" t="s">
        <v>504</v>
      </c>
      <c r="H1043" s="57" t="s">
        <v>505</v>
      </c>
      <c r="I1043" s="57" t="s">
        <v>2244</v>
      </c>
      <c r="J1043" s="57" t="s">
        <v>288</v>
      </c>
      <c r="K1043" s="57" t="s">
        <v>591</v>
      </c>
      <c r="L1043" s="11" t="s">
        <v>914</v>
      </c>
      <c r="M1043" s="22">
        <v>1</v>
      </c>
      <c r="N1043" s="46">
        <v>178571</v>
      </c>
      <c r="O1043" s="49">
        <f t="shared" si="21"/>
        <v>178571</v>
      </c>
      <c r="P1043" s="5" t="s">
        <v>506</v>
      </c>
      <c r="Q1043" s="5" t="s">
        <v>766</v>
      </c>
      <c r="R1043" s="11" t="s">
        <v>1021</v>
      </c>
      <c r="S1043" s="5">
        <v>0</v>
      </c>
    </row>
    <row r="1044" spans="1:19" ht="51" outlineLevel="1">
      <c r="A1044" s="5">
        <v>1029</v>
      </c>
      <c r="B1044" s="29" t="s">
        <v>710</v>
      </c>
      <c r="C1044" s="35" t="s">
        <v>597</v>
      </c>
      <c r="D1044" s="5" t="s">
        <v>503</v>
      </c>
      <c r="E1044" s="57" t="s">
        <v>504</v>
      </c>
      <c r="F1044" s="57" t="s">
        <v>505</v>
      </c>
      <c r="G1044" s="57" t="s">
        <v>504</v>
      </c>
      <c r="H1044" s="57" t="s">
        <v>505</v>
      </c>
      <c r="I1044" s="57" t="s">
        <v>2244</v>
      </c>
      <c r="J1044" s="57" t="s">
        <v>288</v>
      </c>
      <c r="K1044" s="57" t="s">
        <v>591</v>
      </c>
      <c r="L1044" s="11" t="s">
        <v>914</v>
      </c>
      <c r="M1044" s="22">
        <v>1</v>
      </c>
      <c r="N1044" s="46">
        <v>178571</v>
      </c>
      <c r="O1044" s="49">
        <f t="shared" si="21"/>
        <v>178571</v>
      </c>
      <c r="P1044" s="5" t="s">
        <v>588</v>
      </c>
      <c r="Q1044" s="5" t="s">
        <v>766</v>
      </c>
      <c r="R1044" s="11" t="s">
        <v>789</v>
      </c>
      <c r="S1044" s="5">
        <v>0</v>
      </c>
    </row>
    <row r="1045" spans="1:19" ht="38.25" outlineLevel="1">
      <c r="A1045" s="5">
        <v>1030</v>
      </c>
      <c r="B1045" s="29" t="s">
        <v>710</v>
      </c>
      <c r="C1045" s="35" t="s">
        <v>597</v>
      </c>
      <c r="D1045" s="5" t="s">
        <v>503</v>
      </c>
      <c r="E1045" s="57" t="s">
        <v>504</v>
      </c>
      <c r="F1045" s="57" t="s">
        <v>505</v>
      </c>
      <c r="G1045" s="57" t="s">
        <v>504</v>
      </c>
      <c r="H1045" s="57" t="s">
        <v>505</v>
      </c>
      <c r="I1045" s="57" t="s">
        <v>2244</v>
      </c>
      <c r="J1045" s="57" t="s">
        <v>288</v>
      </c>
      <c r="K1045" s="57" t="s">
        <v>591</v>
      </c>
      <c r="L1045" s="11" t="s">
        <v>914</v>
      </c>
      <c r="M1045" s="22">
        <v>1</v>
      </c>
      <c r="N1045" s="46">
        <v>178571</v>
      </c>
      <c r="O1045" s="49">
        <f t="shared" si="21"/>
        <v>178571</v>
      </c>
      <c r="P1045" s="5" t="s">
        <v>698</v>
      </c>
      <c r="Q1045" s="5" t="s">
        <v>699</v>
      </c>
      <c r="R1045" s="11" t="s">
        <v>633</v>
      </c>
      <c r="S1045" s="22">
        <v>0</v>
      </c>
    </row>
    <row r="1046" spans="1:19" ht="51" outlineLevel="1">
      <c r="A1046" s="5">
        <v>1031</v>
      </c>
      <c r="B1046" s="29" t="s">
        <v>710</v>
      </c>
      <c r="C1046" s="35" t="s">
        <v>597</v>
      </c>
      <c r="D1046" s="5" t="s">
        <v>503</v>
      </c>
      <c r="E1046" s="57" t="s">
        <v>504</v>
      </c>
      <c r="F1046" s="57" t="s">
        <v>505</v>
      </c>
      <c r="G1046" s="57" t="s">
        <v>504</v>
      </c>
      <c r="H1046" s="57" t="s">
        <v>505</v>
      </c>
      <c r="I1046" s="57" t="s">
        <v>2244</v>
      </c>
      <c r="J1046" s="57" t="s">
        <v>288</v>
      </c>
      <c r="K1046" s="57" t="s">
        <v>591</v>
      </c>
      <c r="L1046" s="11" t="s">
        <v>914</v>
      </c>
      <c r="M1046" s="22">
        <v>1</v>
      </c>
      <c r="N1046" s="46">
        <v>178571</v>
      </c>
      <c r="O1046" s="49">
        <f t="shared" si="21"/>
        <v>178571</v>
      </c>
      <c r="P1046" s="5" t="s">
        <v>699</v>
      </c>
      <c r="Q1046" s="5" t="s">
        <v>766</v>
      </c>
      <c r="R1046" s="11">
        <v>311000000</v>
      </c>
      <c r="S1046" s="22">
        <v>0</v>
      </c>
    </row>
    <row r="1047" spans="1:19" s="32" customFormat="1" ht="38.25">
      <c r="A1047" s="5">
        <v>1032</v>
      </c>
      <c r="B1047" s="29" t="s">
        <v>710</v>
      </c>
      <c r="C1047" s="35" t="s">
        <v>597</v>
      </c>
      <c r="D1047" s="5" t="s">
        <v>503</v>
      </c>
      <c r="E1047" s="57" t="s">
        <v>504</v>
      </c>
      <c r="F1047" s="57" t="s">
        <v>505</v>
      </c>
      <c r="G1047" s="57" t="s">
        <v>504</v>
      </c>
      <c r="H1047" s="57" t="s">
        <v>505</v>
      </c>
      <c r="I1047" s="57" t="s">
        <v>2244</v>
      </c>
      <c r="J1047" s="57" t="s">
        <v>288</v>
      </c>
      <c r="K1047" s="57" t="s">
        <v>591</v>
      </c>
      <c r="L1047" s="11" t="s">
        <v>914</v>
      </c>
      <c r="M1047" s="22">
        <v>1</v>
      </c>
      <c r="N1047" s="46">
        <v>178571</v>
      </c>
      <c r="O1047" s="49">
        <f t="shared" si="21"/>
        <v>178571</v>
      </c>
      <c r="P1047" s="5" t="s">
        <v>612</v>
      </c>
      <c r="Q1047" s="5" t="s">
        <v>394</v>
      </c>
      <c r="R1047" s="11">
        <v>551000000</v>
      </c>
      <c r="S1047" s="22">
        <v>100</v>
      </c>
    </row>
    <row r="1048" spans="1:19" ht="38.25" outlineLevel="1">
      <c r="A1048" s="5">
        <v>1033</v>
      </c>
      <c r="B1048" s="29" t="s">
        <v>710</v>
      </c>
      <c r="C1048" s="35" t="s">
        <v>597</v>
      </c>
      <c r="D1048" s="5" t="s">
        <v>503</v>
      </c>
      <c r="E1048" s="57" t="s">
        <v>504</v>
      </c>
      <c r="F1048" s="57" t="s">
        <v>505</v>
      </c>
      <c r="G1048" s="57" t="s">
        <v>504</v>
      </c>
      <c r="H1048" s="57" t="s">
        <v>505</v>
      </c>
      <c r="I1048" s="57" t="s">
        <v>2244</v>
      </c>
      <c r="J1048" s="57" t="s">
        <v>288</v>
      </c>
      <c r="K1048" s="57" t="s">
        <v>591</v>
      </c>
      <c r="L1048" s="11" t="s">
        <v>914</v>
      </c>
      <c r="M1048" s="22">
        <v>1</v>
      </c>
      <c r="N1048" s="46">
        <f>O1048</f>
        <v>0</v>
      </c>
      <c r="O1048" s="49">
        <f>178571-178571</f>
        <v>0</v>
      </c>
      <c r="P1048" s="5" t="s">
        <v>588</v>
      </c>
      <c r="Q1048" s="5" t="s">
        <v>588</v>
      </c>
      <c r="R1048" s="11" t="s">
        <v>2029</v>
      </c>
      <c r="S1048" s="5">
        <v>0</v>
      </c>
    </row>
    <row r="1049" spans="1:19" ht="51.6" customHeight="1" outlineLevel="1">
      <c r="A1049" s="5">
        <v>1034</v>
      </c>
      <c r="B1049" s="15" t="s">
        <v>710</v>
      </c>
      <c r="C1049" s="5" t="s">
        <v>597</v>
      </c>
      <c r="D1049" s="117" t="s">
        <v>1136</v>
      </c>
      <c r="E1049" s="57" t="s">
        <v>1787</v>
      </c>
      <c r="F1049" s="57" t="s">
        <v>1137</v>
      </c>
      <c r="G1049" s="57" t="s">
        <v>1788</v>
      </c>
      <c r="H1049" s="57" t="s">
        <v>1138</v>
      </c>
      <c r="I1049" s="57" t="s">
        <v>1789</v>
      </c>
      <c r="J1049" s="57" t="s">
        <v>41</v>
      </c>
      <c r="K1049" s="57" t="s">
        <v>591</v>
      </c>
      <c r="L1049" s="11" t="s">
        <v>914</v>
      </c>
      <c r="M1049" s="22">
        <v>1</v>
      </c>
      <c r="N1049" s="46">
        <v>106786</v>
      </c>
      <c r="O1049" s="49">
        <f t="shared" si="21"/>
        <v>106786</v>
      </c>
      <c r="P1049" s="5" t="s">
        <v>698</v>
      </c>
      <c r="Q1049" s="5" t="s">
        <v>1477</v>
      </c>
      <c r="R1049" s="11" t="s">
        <v>1175</v>
      </c>
      <c r="S1049" s="22">
        <v>0</v>
      </c>
    </row>
    <row r="1050" spans="1:19" ht="51" outlineLevel="1">
      <c r="A1050" s="5">
        <v>1035</v>
      </c>
      <c r="B1050" s="15" t="s">
        <v>710</v>
      </c>
      <c r="C1050" s="5" t="s">
        <v>597</v>
      </c>
      <c r="D1050" s="5" t="s">
        <v>775</v>
      </c>
      <c r="E1050" s="57" t="s">
        <v>528</v>
      </c>
      <c r="F1050" s="57" t="s">
        <v>529</v>
      </c>
      <c r="G1050" s="57" t="s">
        <v>530</v>
      </c>
      <c r="H1050" s="57" t="s">
        <v>776</v>
      </c>
      <c r="I1050" s="57" t="s">
        <v>1790</v>
      </c>
      <c r="J1050" s="57" t="s">
        <v>42</v>
      </c>
      <c r="K1050" s="57" t="s">
        <v>591</v>
      </c>
      <c r="L1050" s="11" t="s">
        <v>914</v>
      </c>
      <c r="M1050" s="22">
        <v>1</v>
      </c>
      <c r="N1050" s="46">
        <f>O1050/M1050</f>
        <v>1116000</v>
      </c>
      <c r="O1050" s="49">
        <v>1116000</v>
      </c>
      <c r="P1050" s="5" t="s">
        <v>393</v>
      </c>
      <c r="Q1050" s="5" t="s">
        <v>766</v>
      </c>
      <c r="R1050" s="11" t="s">
        <v>1175</v>
      </c>
      <c r="S1050" s="22">
        <v>0</v>
      </c>
    </row>
    <row r="1051" spans="1:19" ht="178.5" outlineLevel="1">
      <c r="A1051" s="5">
        <v>1036</v>
      </c>
      <c r="B1051" s="15" t="s">
        <v>710</v>
      </c>
      <c r="C1051" s="5" t="s">
        <v>597</v>
      </c>
      <c r="D1051" s="5" t="s">
        <v>511</v>
      </c>
      <c r="E1051" s="57" t="s">
        <v>512</v>
      </c>
      <c r="F1051" s="57" t="s">
        <v>114</v>
      </c>
      <c r="G1051" s="57" t="s">
        <v>513</v>
      </c>
      <c r="H1051" s="57" t="s">
        <v>514</v>
      </c>
      <c r="I1051" s="57" t="s">
        <v>1791</v>
      </c>
      <c r="J1051" s="57" t="s">
        <v>114</v>
      </c>
      <c r="K1051" s="57" t="s">
        <v>591</v>
      </c>
      <c r="L1051" s="11" t="s">
        <v>914</v>
      </c>
      <c r="M1051" s="22">
        <v>1</v>
      </c>
      <c r="N1051" s="46">
        <v>446429</v>
      </c>
      <c r="O1051" s="49">
        <f>M1051*N1051</f>
        <v>446429</v>
      </c>
      <c r="P1051" s="5" t="s">
        <v>588</v>
      </c>
      <c r="Q1051" s="5" t="s">
        <v>766</v>
      </c>
      <c r="R1051" s="11" t="s">
        <v>1175</v>
      </c>
      <c r="S1051" s="22">
        <v>0</v>
      </c>
    </row>
    <row r="1052" spans="1:19" ht="51" outlineLevel="1">
      <c r="A1052" s="5">
        <v>1037</v>
      </c>
      <c r="B1052" s="15" t="s">
        <v>710</v>
      </c>
      <c r="C1052" s="5" t="s">
        <v>597</v>
      </c>
      <c r="D1052" s="5" t="s">
        <v>1398</v>
      </c>
      <c r="E1052" s="57" t="s">
        <v>528</v>
      </c>
      <c r="F1052" s="57" t="s">
        <v>529</v>
      </c>
      <c r="G1052" s="57" t="s">
        <v>1796</v>
      </c>
      <c r="H1052" s="57" t="s">
        <v>1399</v>
      </c>
      <c r="I1052" s="57" t="s">
        <v>1792</v>
      </c>
      <c r="J1052" s="57" t="s">
        <v>43</v>
      </c>
      <c r="K1052" s="57" t="s">
        <v>591</v>
      </c>
      <c r="L1052" s="11" t="s">
        <v>914</v>
      </c>
      <c r="M1052" s="22">
        <v>1</v>
      </c>
      <c r="N1052" s="46">
        <f>O1052/M1052</f>
        <v>90000</v>
      </c>
      <c r="O1052" s="49">
        <v>90000</v>
      </c>
      <c r="P1052" s="5" t="s">
        <v>393</v>
      </c>
      <c r="Q1052" s="5" t="s">
        <v>766</v>
      </c>
      <c r="R1052" s="11" t="s">
        <v>1175</v>
      </c>
      <c r="S1052" s="22">
        <v>0</v>
      </c>
    </row>
    <row r="1053" spans="1:19" ht="51" outlineLevel="1">
      <c r="A1053" s="5">
        <v>1038</v>
      </c>
      <c r="B1053" s="15" t="s">
        <v>710</v>
      </c>
      <c r="C1053" s="5" t="s">
        <v>597</v>
      </c>
      <c r="D1053" s="5" t="s">
        <v>1400</v>
      </c>
      <c r="E1053" s="57" t="s">
        <v>1401</v>
      </c>
      <c r="F1053" s="57" t="s">
        <v>1402</v>
      </c>
      <c r="G1053" s="57" t="s">
        <v>1401</v>
      </c>
      <c r="H1053" s="57" t="s">
        <v>1402</v>
      </c>
      <c r="I1053" s="57" t="s">
        <v>1793</v>
      </c>
      <c r="J1053" s="57" t="s">
        <v>44</v>
      </c>
      <c r="K1053" s="57" t="s">
        <v>591</v>
      </c>
      <c r="L1053" s="11" t="s">
        <v>914</v>
      </c>
      <c r="M1053" s="22">
        <v>1</v>
      </c>
      <c r="N1053" s="46">
        <f>O1053/M1053</f>
        <v>156250</v>
      </c>
      <c r="O1053" s="49">
        <v>156250</v>
      </c>
      <c r="P1053" s="5" t="s">
        <v>588</v>
      </c>
      <c r="Q1053" s="5" t="s">
        <v>766</v>
      </c>
      <c r="R1053" s="11" t="s">
        <v>1175</v>
      </c>
      <c r="S1053" s="22">
        <v>100</v>
      </c>
    </row>
    <row r="1054" spans="1:19" ht="51" outlineLevel="1">
      <c r="A1054" s="5">
        <v>1039</v>
      </c>
      <c r="B1054" s="15" t="s">
        <v>710</v>
      </c>
      <c r="C1054" s="5" t="s">
        <v>597</v>
      </c>
      <c r="D1054" s="5" t="s">
        <v>1403</v>
      </c>
      <c r="E1054" s="57" t="s">
        <v>528</v>
      </c>
      <c r="F1054" s="57" t="s">
        <v>916</v>
      </c>
      <c r="G1054" s="57" t="s">
        <v>1797</v>
      </c>
      <c r="H1054" s="57" t="s">
        <v>1404</v>
      </c>
      <c r="I1054" s="57" t="s">
        <v>1794</v>
      </c>
      <c r="J1054" s="57" t="s">
        <v>45</v>
      </c>
      <c r="K1054" s="57" t="s">
        <v>591</v>
      </c>
      <c r="L1054" s="11" t="s">
        <v>914</v>
      </c>
      <c r="M1054" s="22">
        <v>1</v>
      </c>
      <c r="N1054" s="46">
        <v>89286</v>
      </c>
      <c r="O1054" s="49">
        <f t="shared" ref="O1054:O1085" si="22">M1054*N1054</f>
        <v>89286</v>
      </c>
      <c r="P1054" s="5" t="s">
        <v>612</v>
      </c>
      <c r="Q1054" s="5" t="s">
        <v>766</v>
      </c>
      <c r="R1054" s="11" t="s">
        <v>1175</v>
      </c>
      <c r="S1054" s="22">
        <v>0</v>
      </c>
    </row>
    <row r="1055" spans="1:19" s="1" customFormat="1" ht="89.25">
      <c r="A1055" s="5">
        <v>1040</v>
      </c>
      <c r="B1055" s="15" t="s">
        <v>710</v>
      </c>
      <c r="C1055" s="4" t="s">
        <v>597</v>
      </c>
      <c r="D1055" s="31" t="s">
        <v>915</v>
      </c>
      <c r="E1055" s="57" t="s">
        <v>1798</v>
      </c>
      <c r="F1055" s="57" t="s">
        <v>916</v>
      </c>
      <c r="G1055" s="57" t="s">
        <v>1799</v>
      </c>
      <c r="H1055" s="57" t="s">
        <v>917</v>
      </c>
      <c r="I1055" s="57" t="s">
        <v>1795</v>
      </c>
      <c r="J1055" s="57" t="s">
        <v>1468</v>
      </c>
      <c r="K1055" s="57" t="s">
        <v>591</v>
      </c>
      <c r="L1055" s="11" t="s">
        <v>914</v>
      </c>
      <c r="M1055" s="22">
        <v>1</v>
      </c>
      <c r="N1055" s="46">
        <v>160714</v>
      </c>
      <c r="O1055" s="49">
        <f t="shared" si="22"/>
        <v>160714</v>
      </c>
      <c r="P1055" s="5" t="s">
        <v>391</v>
      </c>
      <c r="Q1055" s="5" t="s">
        <v>1483</v>
      </c>
      <c r="R1055" s="11" t="s">
        <v>1175</v>
      </c>
      <c r="S1055" s="5">
        <v>0</v>
      </c>
    </row>
    <row r="1056" spans="1:19" ht="89.25" outlineLevel="1">
      <c r="A1056" s="5">
        <v>1041</v>
      </c>
      <c r="B1056" s="29" t="s">
        <v>710</v>
      </c>
      <c r="C1056" s="35" t="s">
        <v>597</v>
      </c>
      <c r="D1056" s="31" t="s">
        <v>915</v>
      </c>
      <c r="E1056" s="57" t="s">
        <v>1798</v>
      </c>
      <c r="F1056" s="57" t="s">
        <v>916</v>
      </c>
      <c r="G1056" s="57" t="s">
        <v>1799</v>
      </c>
      <c r="H1056" s="57" t="s">
        <v>917</v>
      </c>
      <c r="I1056" s="57" t="s">
        <v>1011</v>
      </c>
      <c r="J1056" s="57" t="s">
        <v>258</v>
      </c>
      <c r="K1056" s="57" t="s">
        <v>591</v>
      </c>
      <c r="L1056" s="11" t="s">
        <v>914</v>
      </c>
      <c r="M1056" s="22">
        <v>1</v>
      </c>
      <c r="N1056" s="46">
        <v>127009</v>
      </c>
      <c r="O1056" s="49">
        <f t="shared" si="22"/>
        <v>127009</v>
      </c>
      <c r="P1056" s="5" t="s">
        <v>515</v>
      </c>
      <c r="Q1056" s="5" t="s">
        <v>766</v>
      </c>
      <c r="R1056" s="11" t="s">
        <v>2030</v>
      </c>
      <c r="S1056" s="22">
        <v>100</v>
      </c>
    </row>
    <row r="1057" spans="1:19" ht="89.25" outlineLevel="1">
      <c r="A1057" s="5">
        <v>1042</v>
      </c>
      <c r="B1057" s="29" t="s">
        <v>710</v>
      </c>
      <c r="C1057" s="35" t="s">
        <v>597</v>
      </c>
      <c r="D1057" s="31" t="s">
        <v>915</v>
      </c>
      <c r="E1057" s="57" t="s">
        <v>1798</v>
      </c>
      <c r="F1057" s="57" t="s">
        <v>916</v>
      </c>
      <c r="G1057" s="57" t="s">
        <v>1799</v>
      </c>
      <c r="H1057" s="57" t="s">
        <v>917</v>
      </c>
      <c r="I1057" s="57" t="s">
        <v>1011</v>
      </c>
      <c r="J1057" s="57" t="s">
        <v>258</v>
      </c>
      <c r="K1057" s="57" t="s">
        <v>591</v>
      </c>
      <c r="L1057" s="11" t="s">
        <v>914</v>
      </c>
      <c r="M1057" s="22">
        <v>1</v>
      </c>
      <c r="N1057" s="46">
        <v>127009</v>
      </c>
      <c r="O1057" s="49">
        <f t="shared" si="22"/>
        <v>127009</v>
      </c>
      <c r="P1057" s="31" t="s">
        <v>391</v>
      </c>
      <c r="Q1057" s="5" t="s">
        <v>766</v>
      </c>
      <c r="R1057" s="11" t="s">
        <v>1021</v>
      </c>
      <c r="S1057" s="5">
        <v>0</v>
      </c>
    </row>
    <row r="1058" spans="1:19" ht="89.25">
      <c r="A1058" s="5">
        <v>1043</v>
      </c>
      <c r="B1058" s="29" t="s">
        <v>710</v>
      </c>
      <c r="C1058" s="35" t="s">
        <v>597</v>
      </c>
      <c r="D1058" s="31" t="s">
        <v>915</v>
      </c>
      <c r="E1058" s="57" t="s">
        <v>1798</v>
      </c>
      <c r="F1058" s="57" t="s">
        <v>916</v>
      </c>
      <c r="G1058" s="57" t="s">
        <v>1799</v>
      </c>
      <c r="H1058" s="57" t="s">
        <v>917</v>
      </c>
      <c r="I1058" s="57" t="s">
        <v>1011</v>
      </c>
      <c r="J1058" s="57" t="s">
        <v>258</v>
      </c>
      <c r="K1058" s="57" t="s">
        <v>591</v>
      </c>
      <c r="L1058" s="11" t="s">
        <v>914</v>
      </c>
      <c r="M1058" s="22">
        <v>1</v>
      </c>
      <c r="N1058" s="46">
        <v>127009</v>
      </c>
      <c r="O1058" s="49">
        <f t="shared" si="22"/>
        <v>127009</v>
      </c>
      <c r="P1058" s="5" t="s">
        <v>588</v>
      </c>
      <c r="Q1058" s="5" t="s">
        <v>766</v>
      </c>
      <c r="R1058" s="11" t="s">
        <v>789</v>
      </c>
      <c r="S1058" s="5">
        <v>0</v>
      </c>
    </row>
    <row r="1059" spans="1:19" ht="89.25" outlineLevel="1">
      <c r="A1059" s="5">
        <v>1044</v>
      </c>
      <c r="B1059" s="29" t="s">
        <v>710</v>
      </c>
      <c r="C1059" s="35" t="s">
        <v>597</v>
      </c>
      <c r="D1059" s="31" t="s">
        <v>915</v>
      </c>
      <c r="E1059" s="57" t="s">
        <v>1798</v>
      </c>
      <c r="F1059" s="57" t="s">
        <v>916</v>
      </c>
      <c r="G1059" s="57" t="s">
        <v>1799</v>
      </c>
      <c r="H1059" s="57" t="s">
        <v>917</v>
      </c>
      <c r="I1059" s="57" t="s">
        <v>1011</v>
      </c>
      <c r="J1059" s="57" t="s">
        <v>258</v>
      </c>
      <c r="K1059" s="57" t="s">
        <v>591</v>
      </c>
      <c r="L1059" s="11" t="s">
        <v>914</v>
      </c>
      <c r="M1059" s="22">
        <v>1</v>
      </c>
      <c r="N1059" s="46">
        <f>O1059/M1059</f>
        <v>0</v>
      </c>
      <c r="O1059" s="49">
        <f>127009-127009</f>
        <v>0</v>
      </c>
      <c r="P1059" s="5" t="s">
        <v>391</v>
      </c>
      <c r="Q1059" s="5" t="s">
        <v>391</v>
      </c>
      <c r="R1059" s="11" t="s">
        <v>2022</v>
      </c>
      <c r="S1059" s="22">
        <v>0</v>
      </c>
    </row>
    <row r="1060" spans="1:19" ht="89.25" outlineLevel="1">
      <c r="A1060" s="5">
        <v>1045</v>
      </c>
      <c r="B1060" s="29" t="s">
        <v>710</v>
      </c>
      <c r="C1060" s="35" t="s">
        <v>597</v>
      </c>
      <c r="D1060" s="31" t="s">
        <v>915</v>
      </c>
      <c r="E1060" s="57" t="s">
        <v>1798</v>
      </c>
      <c r="F1060" s="57" t="s">
        <v>916</v>
      </c>
      <c r="G1060" s="57" t="s">
        <v>1799</v>
      </c>
      <c r="H1060" s="57" t="s">
        <v>917</v>
      </c>
      <c r="I1060" s="57" t="s">
        <v>1011</v>
      </c>
      <c r="J1060" s="57" t="s">
        <v>258</v>
      </c>
      <c r="K1060" s="57" t="s">
        <v>591</v>
      </c>
      <c r="L1060" s="11" t="s">
        <v>914</v>
      </c>
      <c r="M1060" s="22">
        <v>1</v>
      </c>
      <c r="N1060" s="46">
        <v>127009</v>
      </c>
      <c r="O1060" s="49">
        <f t="shared" si="22"/>
        <v>127009</v>
      </c>
      <c r="P1060" s="5" t="s">
        <v>391</v>
      </c>
      <c r="Q1060" s="5" t="s">
        <v>766</v>
      </c>
      <c r="R1060" s="11" t="s">
        <v>2027</v>
      </c>
      <c r="S1060" s="22">
        <v>30</v>
      </c>
    </row>
    <row r="1061" spans="1:19" s="13" customFormat="1" ht="89.25">
      <c r="A1061" s="5">
        <v>1046</v>
      </c>
      <c r="B1061" s="29" t="s">
        <v>710</v>
      </c>
      <c r="C1061" s="35" t="s">
        <v>597</v>
      </c>
      <c r="D1061" s="31" t="s">
        <v>915</v>
      </c>
      <c r="E1061" s="57" t="s">
        <v>1798</v>
      </c>
      <c r="F1061" s="57" t="s">
        <v>916</v>
      </c>
      <c r="G1061" s="57" t="s">
        <v>1799</v>
      </c>
      <c r="H1061" s="57" t="s">
        <v>917</v>
      </c>
      <c r="I1061" s="57" t="s">
        <v>1011</v>
      </c>
      <c r="J1061" s="57" t="s">
        <v>258</v>
      </c>
      <c r="K1061" s="57" t="s">
        <v>591</v>
      </c>
      <c r="L1061" s="11" t="s">
        <v>914</v>
      </c>
      <c r="M1061" s="22">
        <v>1</v>
      </c>
      <c r="N1061" s="46">
        <v>127009</v>
      </c>
      <c r="O1061" s="49">
        <f t="shared" si="22"/>
        <v>127009</v>
      </c>
      <c r="P1061" s="5" t="s">
        <v>501</v>
      </c>
      <c r="Q1061" s="5" t="s">
        <v>766</v>
      </c>
      <c r="R1061" s="11" t="s">
        <v>2023</v>
      </c>
      <c r="S1061" s="22">
        <v>100</v>
      </c>
    </row>
    <row r="1062" spans="1:19" ht="89.25" outlineLevel="1">
      <c r="A1062" s="5">
        <v>1047</v>
      </c>
      <c r="B1062" s="29" t="s">
        <v>710</v>
      </c>
      <c r="C1062" s="35" t="s">
        <v>597</v>
      </c>
      <c r="D1062" s="31" t="s">
        <v>915</v>
      </c>
      <c r="E1062" s="57" t="s">
        <v>1798</v>
      </c>
      <c r="F1062" s="57" t="s">
        <v>916</v>
      </c>
      <c r="G1062" s="57" t="s">
        <v>1799</v>
      </c>
      <c r="H1062" s="57" t="s">
        <v>917</v>
      </c>
      <c r="I1062" s="57" t="s">
        <v>1011</v>
      </c>
      <c r="J1062" s="57" t="s">
        <v>258</v>
      </c>
      <c r="K1062" s="57" t="s">
        <v>591</v>
      </c>
      <c r="L1062" s="11" t="s">
        <v>914</v>
      </c>
      <c r="M1062" s="22">
        <v>1</v>
      </c>
      <c r="N1062" s="46">
        <v>127009</v>
      </c>
      <c r="O1062" s="49">
        <f t="shared" si="22"/>
        <v>127009</v>
      </c>
      <c r="P1062" s="5" t="s">
        <v>391</v>
      </c>
      <c r="Q1062" s="5" t="s">
        <v>766</v>
      </c>
      <c r="R1062" s="11" t="s">
        <v>633</v>
      </c>
      <c r="S1062" s="22">
        <v>30</v>
      </c>
    </row>
    <row r="1063" spans="1:19" ht="89.25" outlineLevel="1">
      <c r="A1063" s="5">
        <v>1048</v>
      </c>
      <c r="B1063" s="29" t="s">
        <v>710</v>
      </c>
      <c r="C1063" s="35" t="s">
        <v>597</v>
      </c>
      <c r="D1063" s="31" t="s">
        <v>915</v>
      </c>
      <c r="E1063" s="57" t="s">
        <v>1798</v>
      </c>
      <c r="F1063" s="57" t="s">
        <v>916</v>
      </c>
      <c r="G1063" s="57" t="s">
        <v>1799</v>
      </c>
      <c r="H1063" s="57" t="s">
        <v>917</v>
      </c>
      <c r="I1063" s="57" t="s">
        <v>1011</v>
      </c>
      <c r="J1063" s="57" t="s">
        <v>258</v>
      </c>
      <c r="K1063" s="57" t="s">
        <v>591</v>
      </c>
      <c r="L1063" s="11" t="s">
        <v>914</v>
      </c>
      <c r="M1063" s="22">
        <v>1</v>
      </c>
      <c r="N1063" s="46">
        <v>127009</v>
      </c>
      <c r="O1063" s="49">
        <f t="shared" si="22"/>
        <v>127009</v>
      </c>
      <c r="P1063" s="5" t="s">
        <v>502</v>
      </c>
      <c r="Q1063" s="5" t="s">
        <v>766</v>
      </c>
      <c r="R1063" s="11">
        <v>311000000</v>
      </c>
      <c r="S1063" s="22">
        <v>0</v>
      </c>
    </row>
    <row r="1064" spans="1:19" ht="89.25" outlineLevel="1">
      <c r="A1064" s="5">
        <v>1049</v>
      </c>
      <c r="B1064" s="29" t="s">
        <v>710</v>
      </c>
      <c r="C1064" s="35" t="s">
        <v>597</v>
      </c>
      <c r="D1064" s="31" t="s">
        <v>915</v>
      </c>
      <c r="E1064" s="57" t="s">
        <v>1798</v>
      </c>
      <c r="F1064" s="57" t="s">
        <v>916</v>
      </c>
      <c r="G1064" s="57" t="s">
        <v>1799</v>
      </c>
      <c r="H1064" s="57" t="s">
        <v>917</v>
      </c>
      <c r="I1064" s="57" t="s">
        <v>1011</v>
      </c>
      <c r="J1064" s="57" t="s">
        <v>258</v>
      </c>
      <c r="K1064" s="57" t="s">
        <v>591</v>
      </c>
      <c r="L1064" s="11" t="s">
        <v>914</v>
      </c>
      <c r="M1064" s="22">
        <v>1</v>
      </c>
      <c r="N1064" s="46">
        <v>127009</v>
      </c>
      <c r="O1064" s="49">
        <f t="shared" si="22"/>
        <v>127009</v>
      </c>
      <c r="P1064" s="5" t="s">
        <v>393</v>
      </c>
      <c r="Q1064" s="5" t="s">
        <v>766</v>
      </c>
      <c r="R1064" s="11" t="s">
        <v>2024</v>
      </c>
      <c r="S1064" s="5">
        <v>100</v>
      </c>
    </row>
    <row r="1065" spans="1:19" ht="89.25">
      <c r="A1065" s="5">
        <v>1050</v>
      </c>
      <c r="B1065" s="29" t="s">
        <v>710</v>
      </c>
      <c r="C1065" s="35" t="s">
        <v>597</v>
      </c>
      <c r="D1065" s="31" t="s">
        <v>915</v>
      </c>
      <c r="E1065" s="57" t="s">
        <v>1798</v>
      </c>
      <c r="F1065" s="57" t="s">
        <v>916</v>
      </c>
      <c r="G1065" s="57" t="s">
        <v>1799</v>
      </c>
      <c r="H1065" s="57" t="s">
        <v>917</v>
      </c>
      <c r="I1065" s="57" t="s">
        <v>1011</v>
      </c>
      <c r="J1065" s="57" t="s">
        <v>258</v>
      </c>
      <c r="K1065" s="57" t="s">
        <v>591</v>
      </c>
      <c r="L1065" s="11" t="s">
        <v>914</v>
      </c>
      <c r="M1065" s="22">
        <v>1</v>
      </c>
      <c r="N1065" s="46">
        <v>127009</v>
      </c>
      <c r="O1065" s="49">
        <f t="shared" si="22"/>
        <v>127009</v>
      </c>
      <c r="P1065" s="5" t="s">
        <v>391</v>
      </c>
      <c r="Q1065" s="5" t="s">
        <v>766</v>
      </c>
      <c r="R1065" s="11">
        <v>351000000</v>
      </c>
      <c r="S1065" s="22">
        <v>30</v>
      </c>
    </row>
    <row r="1066" spans="1:19" ht="89.25" outlineLevel="1">
      <c r="A1066" s="5">
        <v>1051</v>
      </c>
      <c r="B1066" s="29" t="s">
        <v>710</v>
      </c>
      <c r="C1066" s="35" t="s">
        <v>597</v>
      </c>
      <c r="D1066" s="31" t="s">
        <v>915</v>
      </c>
      <c r="E1066" s="57" t="s">
        <v>1798</v>
      </c>
      <c r="F1066" s="57" t="s">
        <v>916</v>
      </c>
      <c r="G1066" s="57" t="s">
        <v>1799</v>
      </c>
      <c r="H1066" s="57" t="s">
        <v>917</v>
      </c>
      <c r="I1066" s="57" t="s">
        <v>1011</v>
      </c>
      <c r="J1066" s="57" t="s">
        <v>258</v>
      </c>
      <c r="K1066" s="57" t="s">
        <v>591</v>
      </c>
      <c r="L1066" s="11" t="s">
        <v>914</v>
      </c>
      <c r="M1066" s="22">
        <v>1</v>
      </c>
      <c r="N1066" s="46">
        <f>O1066/M1066</f>
        <v>115295</v>
      </c>
      <c r="O1066" s="49">
        <f>127009-11714</f>
        <v>115295</v>
      </c>
      <c r="P1066" s="5" t="s">
        <v>515</v>
      </c>
      <c r="Q1066" s="5" t="s">
        <v>766</v>
      </c>
      <c r="R1066" s="11" t="s">
        <v>925</v>
      </c>
      <c r="S1066" s="22">
        <v>50</v>
      </c>
    </row>
    <row r="1067" spans="1:19" ht="89.25" outlineLevel="1">
      <c r="A1067" s="5">
        <v>1052</v>
      </c>
      <c r="B1067" s="29" t="s">
        <v>710</v>
      </c>
      <c r="C1067" s="35" t="s">
        <v>597</v>
      </c>
      <c r="D1067" s="31" t="s">
        <v>915</v>
      </c>
      <c r="E1067" s="57" t="s">
        <v>1798</v>
      </c>
      <c r="F1067" s="57" t="s">
        <v>916</v>
      </c>
      <c r="G1067" s="57" t="s">
        <v>1799</v>
      </c>
      <c r="H1067" s="57" t="s">
        <v>917</v>
      </c>
      <c r="I1067" s="57" t="s">
        <v>1011</v>
      </c>
      <c r="J1067" s="57" t="s">
        <v>258</v>
      </c>
      <c r="K1067" s="57" t="s">
        <v>591</v>
      </c>
      <c r="L1067" s="11" t="s">
        <v>914</v>
      </c>
      <c r="M1067" s="22">
        <v>1</v>
      </c>
      <c r="N1067" s="46">
        <v>127009</v>
      </c>
      <c r="O1067" s="49">
        <f t="shared" si="22"/>
        <v>127009</v>
      </c>
      <c r="P1067" s="5" t="s">
        <v>393</v>
      </c>
      <c r="Q1067" s="5" t="s">
        <v>766</v>
      </c>
      <c r="R1067" s="11">
        <v>431000000</v>
      </c>
      <c r="S1067" s="22">
        <v>100</v>
      </c>
    </row>
    <row r="1068" spans="1:19" ht="89.25" outlineLevel="1">
      <c r="A1068" s="5">
        <v>1053</v>
      </c>
      <c r="B1068" s="29" t="s">
        <v>710</v>
      </c>
      <c r="C1068" s="35" t="s">
        <v>597</v>
      </c>
      <c r="D1068" s="31" t="s">
        <v>915</v>
      </c>
      <c r="E1068" s="57" t="s">
        <v>1798</v>
      </c>
      <c r="F1068" s="57" t="s">
        <v>916</v>
      </c>
      <c r="G1068" s="57" t="s">
        <v>1799</v>
      </c>
      <c r="H1068" s="57" t="s">
        <v>917</v>
      </c>
      <c r="I1068" s="57" t="s">
        <v>1011</v>
      </c>
      <c r="J1068" s="57" t="s">
        <v>258</v>
      </c>
      <c r="K1068" s="57" t="s">
        <v>591</v>
      </c>
      <c r="L1068" s="11" t="s">
        <v>914</v>
      </c>
      <c r="M1068" s="52">
        <v>1</v>
      </c>
      <c r="N1068" s="46">
        <v>127009</v>
      </c>
      <c r="O1068" s="49">
        <f t="shared" si="22"/>
        <v>127009</v>
      </c>
      <c r="P1068" s="5" t="s">
        <v>515</v>
      </c>
      <c r="Q1068" s="5" t="s">
        <v>766</v>
      </c>
      <c r="R1068" s="11" t="s">
        <v>715</v>
      </c>
      <c r="S1068" s="22">
        <v>0</v>
      </c>
    </row>
    <row r="1069" spans="1:19" s="32" customFormat="1" ht="89.25">
      <c r="A1069" s="5">
        <v>1054</v>
      </c>
      <c r="B1069" s="29" t="s">
        <v>710</v>
      </c>
      <c r="C1069" s="35" t="s">
        <v>597</v>
      </c>
      <c r="D1069" s="31" t="s">
        <v>915</v>
      </c>
      <c r="E1069" s="57" t="s">
        <v>1798</v>
      </c>
      <c r="F1069" s="57" t="s">
        <v>916</v>
      </c>
      <c r="G1069" s="57" t="s">
        <v>1799</v>
      </c>
      <c r="H1069" s="57" t="s">
        <v>917</v>
      </c>
      <c r="I1069" s="57" t="s">
        <v>1011</v>
      </c>
      <c r="J1069" s="57" t="s">
        <v>258</v>
      </c>
      <c r="K1069" s="57" t="s">
        <v>591</v>
      </c>
      <c r="L1069" s="11" t="s">
        <v>914</v>
      </c>
      <c r="M1069" s="22">
        <v>1</v>
      </c>
      <c r="N1069" s="46">
        <v>127009</v>
      </c>
      <c r="O1069" s="49">
        <f t="shared" si="22"/>
        <v>127009</v>
      </c>
      <c r="P1069" s="5" t="s">
        <v>515</v>
      </c>
      <c r="Q1069" s="5" t="s">
        <v>501</v>
      </c>
      <c r="R1069" s="11">
        <v>551000000</v>
      </c>
      <c r="S1069" s="22">
        <v>30</v>
      </c>
    </row>
    <row r="1070" spans="1:19" ht="89.25" outlineLevel="1">
      <c r="A1070" s="5">
        <v>1055</v>
      </c>
      <c r="B1070" s="29" t="s">
        <v>710</v>
      </c>
      <c r="C1070" s="35" t="s">
        <v>597</v>
      </c>
      <c r="D1070" s="31" t="s">
        <v>915</v>
      </c>
      <c r="E1070" s="57" t="s">
        <v>1798</v>
      </c>
      <c r="F1070" s="57" t="s">
        <v>916</v>
      </c>
      <c r="G1070" s="57" t="s">
        <v>1799</v>
      </c>
      <c r="H1070" s="57" t="s">
        <v>917</v>
      </c>
      <c r="I1070" s="57" t="s">
        <v>1011</v>
      </c>
      <c r="J1070" s="57" t="s">
        <v>258</v>
      </c>
      <c r="K1070" s="57" t="s">
        <v>591</v>
      </c>
      <c r="L1070" s="11" t="s">
        <v>914</v>
      </c>
      <c r="M1070" s="22">
        <v>1</v>
      </c>
      <c r="N1070" s="46">
        <v>127009</v>
      </c>
      <c r="O1070" s="49">
        <f t="shared" si="22"/>
        <v>127009</v>
      </c>
      <c r="P1070" s="5" t="s">
        <v>391</v>
      </c>
      <c r="Q1070" s="5" t="s">
        <v>766</v>
      </c>
      <c r="R1070" s="11">
        <v>591000000</v>
      </c>
      <c r="S1070" s="22">
        <v>0</v>
      </c>
    </row>
    <row r="1071" spans="1:19" ht="89.25" outlineLevel="1">
      <c r="A1071" s="5">
        <v>1056</v>
      </c>
      <c r="B1071" s="29" t="s">
        <v>710</v>
      </c>
      <c r="C1071" s="35" t="s">
        <v>597</v>
      </c>
      <c r="D1071" s="31" t="s">
        <v>915</v>
      </c>
      <c r="E1071" s="57" t="s">
        <v>1798</v>
      </c>
      <c r="F1071" s="57" t="s">
        <v>916</v>
      </c>
      <c r="G1071" s="57" t="s">
        <v>1799</v>
      </c>
      <c r="H1071" s="57" t="s">
        <v>917</v>
      </c>
      <c r="I1071" s="57" t="s">
        <v>1011</v>
      </c>
      <c r="J1071" s="57" t="s">
        <v>258</v>
      </c>
      <c r="K1071" s="57" t="s">
        <v>591</v>
      </c>
      <c r="L1071" s="11" t="s">
        <v>914</v>
      </c>
      <c r="M1071" s="22">
        <v>1</v>
      </c>
      <c r="N1071" s="46">
        <v>127009</v>
      </c>
      <c r="O1071" s="49">
        <f t="shared" si="22"/>
        <v>127009</v>
      </c>
      <c r="P1071" s="5" t="s">
        <v>501</v>
      </c>
      <c r="Q1071" s="5" t="s">
        <v>766</v>
      </c>
      <c r="R1071" s="11" t="s">
        <v>2029</v>
      </c>
      <c r="S1071" s="5">
        <v>30</v>
      </c>
    </row>
    <row r="1072" spans="1:19" ht="178.5" outlineLevel="1">
      <c r="A1072" s="5">
        <v>1057</v>
      </c>
      <c r="B1072" s="29" t="s">
        <v>710</v>
      </c>
      <c r="C1072" s="35" t="s">
        <v>597</v>
      </c>
      <c r="D1072" s="5" t="s">
        <v>511</v>
      </c>
      <c r="E1072" s="57" t="s">
        <v>512</v>
      </c>
      <c r="F1072" s="57" t="s">
        <v>114</v>
      </c>
      <c r="G1072" s="57" t="s">
        <v>513</v>
      </c>
      <c r="H1072" s="57" t="s">
        <v>514</v>
      </c>
      <c r="I1072" s="57" t="s">
        <v>1791</v>
      </c>
      <c r="J1072" s="57" t="s">
        <v>114</v>
      </c>
      <c r="K1072" s="57" t="s">
        <v>591</v>
      </c>
      <c r="L1072" s="11" t="s">
        <v>914</v>
      </c>
      <c r="M1072" s="22">
        <v>1</v>
      </c>
      <c r="N1072" s="46">
        <v>71429</v>
      </c>
      <c r="O1072" s="49">
        <f t="shared" si="22"/>
        <v>71429</v>
      </c>
      <c r="P1072" s="5" t="s">
        <v>515</v>
      </c>
      <c r="Q1072" s="5" t="s">
        <v>766</v>
      </c>
      <c r="R1072" s="11" t="s">
        <v>2030</v>
      </c>
      <c r="S1072" s="22">
        <v>0</v>
      </c>
    </row>
    <row r="1073" spans="1:19" ht="178.5" outlineLevel="1">
      <c r="A1073" s="5">
        <v>1058</v>
      </c>
      <c r="B1073" s="15" t="s">
        <v>710</v>
      </c>
      <c r="C1073" s="5" t="s">
        <v>597</v>
      </c>
      <c r="D1073" s="5" t="s">
        <v>511</v>
      </c>
      <c r="E1073" s="57" t="s">
        <v>512</v>
      </c>
      <c r="F1073" s="57" t="s">
        <v>114</v>
      </c>
      <c r="G1073" s="57" t="s">
        <v>513</v>
      </c>
      <c r="H1073" s="57" t="s">
        <v>514</v>
      </c>
      <c r="I1073" s="57" t="s">
        <v>1791</v>
      </c>
      <c r="J1073" s="57" t="s">
        <v>114</v>
      </c>
      <c r="K1073" s="57" t="s">
        <v>591</v>
      </c>
      <c r="L1073" s="11" t="s">
        <v>914</v>
      </c>
      <c r="M1073" s="22">
        <v>1</v>
      </c>
      <c r="N1073" s="46">
        <v>71429</v>
      </c>
      <c r="O1073" s="49">
        <f t="shared" si="22"/>
        <v>71429</v>
      </c>
      <c r="P1073" s="31" t="s">
        <v>391</v>
      </c>
      <c r="Q1073" s="5" t="s">
        <v>766</v>
      </c>
      <c r="R1073" s="11" t="s">
        <v>1021</v>
      </c>
      <c r="S1073" s="5">
        <v>0</v>
      </c>
    </row>
    <row r="1074" spans="1:19" ht="178.5" outlineLevel="1">
      <c r="A1074" s="5">
        <v>1059</v>
      </c>
      <c r="B1074" s="15" t="s">
        <v>710</v>
      </c>
      <c r="C1074" s="5" t="s">
        <v>597</v>
      </c>
      <c r="D1074" s="5" t="s">
        <v>511</v>
      </c>
      <c r="E1074" s="57" t="s">
        <v>512</v>
      </c>
      <c r="F1074" s="57" t="s">
        <v>114</v>
      </c>
      <c r="G1074" s="57" t="s">
        <v>513</v>
      </c>
      <c r="H1074" s="57" t="s">
        <v>514</v>
      </c>
      <c r="I1074" s="57" t="s">
        <v>1791</v>
      </c>
      <c r="J1074" s="57" t="s">
        <v>114</v>
      </c>
      <c r="K1074" s="57" t="s">
        <v>591</v>
      </c>
      <c r="L1074" s="11" t="s">
        <v>914</v>
      </c>
      <c r="M1074" s="22">
        <v>1</v>
      </c>
      <c r="N1074" s="46">
        <v>71429</v>
      </c>
      <c r="O1074" s="49">
        <f t="shared" si="22"/>
        <v>71429</v>
      </c>
      <c r="P1074" s="5" t="s">
        <v>866</v>
      </c>
      <c r="Q1074" s="5" t="s">
        <v>766</v>
      </c>
      <c r="R1074" s="11" t="s">
        <v>789</v>
      </c>
      <c r="S1074" s="5">
        <v>0</v>
      </c>
    </row>
    <row r="1075" spans="1:19" ht="178.5" outlineLevel="1">
      <c r="A1075" s="5">
        <v>1060</v>
      </c>
      <c r="B1075" s="15" t="s">
        <v>710</v>
      </c>
      <c r="C1075" s="5" t="s">
        <v>597</v>
      </c>
      <c r="D1075" s="5" t="s">
        <v>511</v>
      </c>
      <c r="E1075" s="57" t="s">
        <v>512</v>
      </c>
      <c r="F1075" s="57" t="s">
        <v>114</v>
      </c>
      <c r="G1075" s="57" t="s">
        <v>513</v>
      </c>
      <c r="H1075" s="57" t="s">
        <v>514</v>
      </c>
      <c r="I1075" s="57" t="s">
        <v>1791</v>
      </c>
      <c r="J1075" s="57" t="s">
        <v>114</v>
      </c>
      <c r="K1075" s="57" t="s">
        <v>591</v>
      </c>
      <c r="L1075" s="11" t="s">
        <v>914</v>
      </c>
      <c r="M1075" s="22">
        <v>1</v>
      </c>
      <c r="N1075" s="46">
        <f>O1075/M1075</f>
        <v>0</v>
      </c>
      <c r="O1075" s="49">
        <f>71429-7143-64286</f>
        <v>0</v>
      </c>
      <c r="P1075" s="5" t="s">
        <v>391</v>
      </c>
      <c r="Q1075" s="5" t="s">
        <v>766</v>
      </c>
      <c r="R1075" s="11" t="s">
        <v>2022</v>
      </c>
      <c r="S1075" s="22">
        <v>0</v>
      </c>
    </row>
    <row r="1076" spans="1:19" s="13" customFormat="1" ht="178.5">
      <c r="A1076" s="5">
        <v>1061</v>
      </c>
      <c r="B1076" s="15" t="s">
        <v>710</v>
      </c>
      <c r="C1076" s="5" t="s">
        <v>597</v>
      </c>
      <c r="D1076" s="5" t="s">
        <v>511</v>
      </c>
      <c r="E1076" s="57" t="s">
        <v>512</v>
      </c>
      <c r="F1076" s="57" t="s">
        <v>114</v>
      </c>
      <c r="G1076" s="57" t="s">
        <v>513</v>
      </c>
      <c r="H1076" s="57" t="s">
        <v>514</v>
      </c>
      <c r="I1076" s="57" t="s">
        <v>1791</v>
      </c>
      <c r="J1076" s="57" t="s">
        <v>114</v>
      </c>
      <c r="K1076" s="57" t="s">
        <v>591</v>
      </c>
      <c r="L1076" s="11" t="s">
        <v>914</v>
      </c>
      <c r="M1076" s="22">
        <v>1</v>
      </c>
      <c r="N1076" s="46">
        <f>O1076/M1076</f>
        <v>0</v>
      </c>
      <c r="O1076" s="49">
        <f>71429-71429</f>
        <v>0</v>
      </c>
      <c r="P1076" s="5" t="s">
        <v>501</v>
      </c>
      <c r="Q1076" s="5" t="s">
        <v>766</v>
      </c>
      <c r="R1076" s="11" t="s">
        <v>2023</v>
      </c>
      <c r="S1076" s="22">
        <v>100</v>
      </c>
    </row>
    <row r="1077" spans="1:19" ht="178.5" outlineLevel="1">
      <c r="A1077" s="5">
        <v>1062</v>
      </c>
      <c r="B1077" s="15" t="s">
        <v>710</v>
      </c>
      <c r="C1077" s="5" t="s">
        <v>597</v>
      </c>
      <c r="D1077" s="5" t="s">
        <v>511</v>
      </c>
      <c r="E1077" s="57" t="s">
        <v>512</v>
      </c>
      <c r="F1077" s="57" t="s">
        <v>114</v>
      </c>
      <c r="G1077" s="57" t="s">
        <v>513</v>
      </c>
      <c r="H1077" s="57" t="s">
        <v>514</v>
      </c>
      <c r="I1077" s="57" t="s">
        <v>1791</v>
      </c>
      <c r="J1077" s="57" t="s">
        <v>114</v>
      </c>
      <c r="K1077" s="57" t="s">
        <v>591</v>
      </c>
      <c r="L1077" s="11" t="s">
        <v>914</v>
      </c>
      <c r="M1077" s="22">
        <v>1</v>
      </c>
      <c r="N1077" s="46">
        <v>71429</v>
      </c>
      <c r="O1077" s="49">
        <f t="shared" si="22"/>
        <v>71429</v>
      </c>
      <c r="P1077" s="5" t="s">
        <v>515</v>
      </c>
      <c r="Q1077" s="5" t="s">
        <v>766</v>
      </c>
      <c r="R1077" s="11" t="s">
        <v>633</v>
      </c>
      <c r="S1077" s="22">
        <v>100</v>
      </c>
    </row>
    <row r="1078" spans="1:19" ht="178.5" outlineLevel="1">
      <c r="A1078" s="5">
        <v>1063</v>
      </c>
      <c r="B1078" s="15" t="s">
        <v>710</v>
      </c>
      <c r="C1078" s="5" t="s">
        <v>597</v>
      </c>
      <c r="D1078" s="5" t="s">
        <v>511</v>
      </c>
      <c r="E1078" s="57" t="s">
        <v>512</v>
      </c>
      <c r="F1078" s="57" t="s">
        <v>114</v>
      </c>
      <c r="G1078" s="57" t="s">
        <v>513</v>
      </c>
      <c r="H1078" s="57" t="s">
        <v>514</v>
      </c>
      <c r="I1078" s="57" t="s">
        <v>1791</v>
      </c>
      <c r="J1078" s="57" t="s">
        <v>114</v>
      </c>
      <c r="K1078" s="57" t="s">
        <v>591</v>
      </c>
      <c r="L1078" s="11" t="s">
        <v>914</v>
      </c>
      <c r="M1078" s="22">
        <v>1</v>
      </c>
      <c r="N1078" s="46">
        <v>71429</v>
      </c>
      <c r="O1078" s="49">
        <f t="shared" si="22"/>
        <v>71429</v>
      </c>
      <c r="P1078" s="5" t="s">
        <v>502</v>
      </c>
      <c r="Q1078" s="5" t="s">
        <v>766</v>
      </c>
      <c r="R1078" s="11">
        <v>311000000</v>
      </c>
      <c r="S1078" s="22">
        <v>0</v>
      </c>
    </row>
    <row r="1079" spans="1:19" ht="178.5" outlineLevel="1">
      <c r="A1079" s="5">
        <v>1064</v>
      </c>
      <c r="B1079" s="15" t="s">
        <v>710</v>
      </c>
      <c r="C1079" s="5" t="s">
        <v>597</v>
      </c>
      <c r="D1079" s="5" t="s">
        <v>511</v>
      </c>
      <c r="E1079" s="57" t="s">
        <v>512</v>
      </c>
      <c r="F1079" s="57" t="s">
        <v>114</v>
      </c>
      <c r="G1079" s="57" t="s">
        <v>513</v>
      </c>
      <c r="H1079" s="57" t="s">
        <v>514</v>
      </c>
      <c r="I1079" s="57" t="s">
        <v>1791</v>
      </c>
      <c r="J1079" s="57" t="s">
        <v>114</v>
      </c>
      <c r="K1079" s="57" t="s">
        <v>591</v>
      </c>
      <c r="L1079" s="11" t="s">
        <v>914</v>
      </c>
      <c r="M1079" s="22">
        <v>1</v>
      </c>
      <c r="N1079" s="46">
        <v>71429</v>
      </c>
      <c r="O1079" s="49">
        <f t="shared" si="22"/>
        <v>71429</v>
      </c>
      <c r="P1079" s="5" t="s">
        <v>393</v>
      </c>
      <c r="Q1079" s="5" t="s">
        <v>766</v>
      </c>
      <c r="R1079" s="11" t="s">
        <v>2024</v>
      </c>
      <c r="S1079" s="5">
        <v>0</v>
      </c>
    </row>
    <row r="1080" spans="1:19" ht="178.5" outlineLevel="1">
      <c r="A1080" s="5">
        <v>1065</v>
      </c>
      <c r="B1080" s="15" t="s">
        <v>710</v>
      </c>
      <c r="C1080" s="5" t="s">
        <v>597</v>
      </c>
      <c r="D1080" s="5" t="s">
        <v>511</v>
      </c>
      <c r="E1080" s="57" t="s">
        <v>512</v>
      </c>
      <c r="F1080" s="57" t="s">
        <v>114</v>
      </c>
      <c r="G1080" s="57" t="s">
        <v>513</v>
      </c>
      <c r="H1080" s="57" t="s">
        <v>514</v>
      </c>
      <c r="I1080" s="57" t="s">
        <v>1791</v>
      </c>
      <c r="J1080" s="57" t="s">
        <v>114</v>
      </c>
      <c r="K1080" s="57" t="s">
        <v>591</v>
      </c>
      <c r="L1080" s="11" t="s">
        <v>914</v>
      </c>
      <c r="M1080" s="22">
        <v>1</v>
      </c>
      <c r="N1080" s="46">
        <v>71429</v>
      </c>
      <c r="O1080" s="49">
        <f t="shared" si="22"/>
        <v>71429</v>
      </c>
      <c r="P1080" s="5" t="s">
        <v>391</v>
      </c>
      <c r="Q1080" s="5" t="s">
        <v>766</v>
      </c>
      <c r="R1080" s="11">
        <v>351000000</v>
      </c>
      <c r="S1080" s="22">
        <v>30</v>
      </c>
    </row>
    <row r="1081" spans="1:19" ht="178.5" outlineLevel="1">
      <c r="A1081" s="5">
        <v>1066</v>
      </c>
      <c r="B1081" s="15" t="s">
        <v>710</v>
      </c>
      <c r="C1081" s="5" t="s">
        <v>597</v>
      </c>
      <c r="D1081" s="5" t="s">
        <v>511</v>
      </c>
      <c r="E1081" s="57" t="s">
        <v>512</v>
      </c>
      <c r="F1081" s="57" t="s">
        <v>114</v>
      </c>
      <c r="G1081" s="57" t="s">
        <v>513</v>
      </c>
      <c r="H1081" s="57" t="s">
        <v>514</v>
      </c>
      <c r="I1081" s="57" t="s">
        <v>1791</v>
      </c>
      <c r="J1081" s="57" t="s">
        <v>114</v>
      </c>
      <c r="K1081" s="57" t="s">
        <v>591</v>
      </c>
      <c r="L1081" s="11" t="s">
        <v>914</v>
      </c>
      <c r="M1081" s="22">
        <v>1</v>
      </c>
      <c r="N1081" s="46">
        <f>O1081/M1081</f>
        <v>0</v>
      </c>
      <c r="O1081" s="49">
        <f>71429-71429</f>
        <v>0</v>
      </c>
      <c r="P1081" s="5" t="s">
        <v>586</v>
      </c>
      <c r="Q1081" s="14" t="s">
        <v>1474</v>
      </c>
      <c r="R1081" s="11" t="s">
        <v>925</v>
      </c>
      <c r="S1081" s="22">
        <v>50</v>
      </c>
    </row>
    <row r="1082" spans="1:19" ht="178.5" outlineLevel="1">
      <c r="A1082" s="5">
        <v>1067</v>
      </c>
      <c r="B1082" s="15" t="s">
        <v>710</v>
      </c>
      <c r="C1082" s="5" t="s">
        <v>597</v>
      </c>
      <c r="D1082" s="5" t="s">
        <v>511</v>
      </c>
      <c r="E1082" s="57" t="s">
        <v>512</v>
      </c>
      <c r="F1082" s="57" t="s">
        <v>114</v>
      </c>
      <c r="G1082" s="57" t="s">
        <v>513</v>
      </c>
      <c r="H1082" s="57" t="s">
        <v>514</v>
      </c>
      <c r="I1082" s="57" t="s">
        <v>1791</v>
      </c>
      <c r="J1082" s="57" t="s">
        <v>114</v>
      </c>
      <c r="K1082" s="57" t="s">
        <v>591</v>
      </c>
      <c r="L1082" s="11" t="s">
        <v>914</v>
      </c>
      <c r="M1082" s="22">
        <v>1</v>
      </c>
      <c r="N1082" s="46">
        <v>71429</v>
      </c>
      <c r="O1082" s="49">
        <f t="shared" si="22"/>
        <v>71429</v>
      </c>
      <c r="P1082" s="5" t="s">
        <v>515</v>
      </c>
      <c r="Q1082" s="14" t="s">
        <v>1474</v>
      </c>
      <c r="R1082" s="11">
        <v>431000000</v>
      </c>
      <c r="S1082" s="22">
        <v>0</v>
      </c>
    </row>
    <row r="1083" spans="1:19" ht="178.5" outlineLevel="1">
      <c r="A1083" s="5">
        <v>1068</v>
      </c>
      <c r="B1083" s="29" t="s">
        <v>710</v>
      </c>
      <c r="C1083" s="35" t="s">
        <v>597</v>
      </c>
      <c r="D1083" s="5" t="s">
        <v>511</v>
      </c>
      <c r="E1083" s="57" t="s">
        <v>512</v>
      </c>
      <c r="F1083" s="57" t="s">
        <v>114</v>
      </c>
      <c r="G1083" s="57" t="s">
        <v>513</v>
      </c>
      <c r="H1083" s="57" t="s">
        <v>514</v>
      </c>
      <c r="I1083" s="57" t="s">
        <v>1791</v>
      </c>
      <c r="J1083" s="57" t="s">
        <v>114</v>
      </c>
      <c r="K1083" s="57" t="s">
        <v>591</v>
      </c>
      <c r="L1083" s="11" t="s">
        <v>914</v>
      </c>
      <c r="M1083" s="22">
        <v>1</v>
      </c>
      <c r="N1083" s="46">
        <v>71429</v>
      </c>
      <c r="O1083" s="49">
        <f t="shared" si="22"/>
        <v>71429</v>
      </c>
      <c r="P1083" s="5" t="s">
        <v>501</v>
      </c>
      <c r="Q1083" s="5" t="s">
        <v>766</v>
      </c>
      <c r="R1083" s="11" t="s">
        <v>715</v>
      </c>
      <c r="S1083" s="22">
        <v>0</v>
      </c>
    </row>
    <row r="1084" spans="1:19" s="32" customFormat="1" ht="178.5">
      <c r="A1084" s="5">
        <v>1069</v>
      </c>
      <c r="B1084" s="15" t="s">
        <v>710</v>
      </c>
      <c r="C1084" s="5" t="s">
        <v>597</v>
      </c>
      <c r="D1084" s="5" t="s">
        <v>511</v>
      </c>
      <c r="E1084" s="57" t="s">
        <v>512</v>
      </c>
      <c r="F1084" s="57" t="s">
        <v>114</v>
      </c>
      <c r="G1084" s="57" t="s">
        <v>513</v>
      </c>
      <c r="H1084" s="57" t="s">
        <v>514</v>
      </c>
      <c r="I1084" s="57" t="s">
        <v>1791</v>
      </c>
      <c r="J1084" s="57" t="s">
        <v>114</v>
      </c>
      <c r="K1084" s="57" t="s">
        <v>591</v>
      </c>
      <c r="L1084" s="11" t="s">
        <v>914</v>
      </c>
      <c r="M1084" s="22">
        <v>1</v>
      </c>
      <c r="N1084" s="46">
        <f>O1084/M1084</f>
        <v>0</v>
      </c>
      <c r="O1084" s="49">
        <f>71429-71429</f>
        <v>0</v>
      </c>
      <c r="P1084" s="5" t="s">
        <v>515</v>
      </c>
      <c r="Q1084" s="5" t="s">
        <v>501</v>
      </c>
      <c r="R1084" s="11">
        <v>551000000</v>
      </c>
      <c r="S1084" s="22">
        <v>30</v>
      </c>
    </row>
    <row r="1085" spans="1:19" ht="164.25" customHeight="1" outlineLevel="1">
      <c r="A1085" s="5">
        <v>1070</v>
      </c>
      <c r="B1085" s="15" t="s">
        <v>941</v>
      </c>
      <c r="C1085" s="5" t="s">
        <v>597</v>
      </c>
      <c r="D1085" s="5" t="s">
        <v>511</v>
      </c>
      <c r="E1085" s="57" t="s">
        <v>512</v>
      </c>
      <c r="F1085" s="57" t="s">
        <v>114</v>
      </c>
      <c r="G1085" s="57" t="s">
        <v>513</v>
      </c>
      <c r="H1085" s="57" t="s">
        <v>514</v>
      </c>
      <c r="I1085" s="57" t="s">
        <v>1791</v>
      </c>
      <c r="J1085" s="57" t="s">
        <v>114</v>
      </c>
      <c r="K1085" s="57" t="s">
        <v>591</v>
      </c>
      <c r="L1085" s="11" t="s">
        <v>914</v>
      </c>
      <c r="M1085" s="22">
        <v>1</v>
      </c>
      <c r="N1085" s="46">
        <v>71429</v>
      </c>
      <c r="O1085" s="49">
        <f t="shared" si="22"/>
        <v>71429</v>
      </c>
      <c r="P1085" s="5" t="s">
        <v>866</v>
      </c>
      <c r="Q1085" s="5" t="s">
        <v>766</v>
      </c>
      <c r="R1085" s="11">
        <v>591000000</v>
      </c>
      <c r="S1085" s="22">
        <v>30</v>
      </c>
    </row>
    <row r="1086" spans="1:19" ht="165" customHeight="1" outlineLevel="1">
      <c r="A1086" s="5">
        <v>1071</v>
      </c>
      <c r="B1086" s="15" t="s">
        <v>710</v>
      </c>
      <c r="C1086" s="5" t="s">
        <v>597</v>
      </c>
      <c r="D1086" s="5" t="s">
        <v>511</v>
      </c>
      <c r="E1086" s="57" t="s">
        <v>512</v>
      </c>
      <c r="F1086" s="57" t="s">
        <v>114</v>
      </c>
      <c r="G1086" s="57" t="s">
        <v>513</v>
      </c>
      <c r="H1086" s="57" t="s">
        <v>514</v>
      </c>
      <c r="I1086" s="57" t="s">
        <v>1791</v>
      </c>
      <c r="J1086" s="57" t="s">
        <v>114</v>
      </c>
      <c r="K1086" s="57" t="s">
        <v>591</v>
      </c>
      <c r="L1086" s="11" t="s">
        <v>914</v>
      </c>
      <c r="M1086" s="22">
        <v>1</v>
      </c>
      <c r="N1086" s="46">
        <f>O1086</f>
        <v>0</v>
      </c>
      <c r="O1086" s="49">
        <f>71429-71429</f>
        <v>0</v>
      </c>
      <c r="P1086" s="5" t="s">
        <v>501</v>
      </c>
      <c r="Q1086" s="5" t="s">
        <v>766</v>
      </c>
      <c r="R1086" s="11" t="s">
        <v>2029</v>
      </c>
      <c r="S1086" s="5">
        <v>0</v>
      </c>
    </row>
    <row r="1087" spans="1:19" ht="63.75" outlineLevel="1">
      <c r="A1087" s="5">
        <v>1072</v>
      </c>
      <c r="B1087" s="15" t="s">
        <v>710</v>
      </c>
      <c r="C1087" s="5" t="s">
        <v>597</v>
      </c>
      <c r="D1087" s="5" t="s">
        <v>516</v>
      </c>
      <c r="E1087" s="57" t="s">
        <v>517</v>
      </c>
      <c r="F1087" s="57" t="s">
        <v>518</v>
      </c>
      <c r="G1087" s="57" t="s">
        <v>517</v>
      </c>
      <c r="H1087" s="57" t="s">
        <v>518</v>
      </c>
      <c r="I1087" s="57" t="s">
        <v>1800</v>
      </c>
      <c r="J1087" s="57" t="s">
        <v>46</v>
      </c>
      <c r="K1087" s="57" t="s">
        <v>1484</v>
      </c>
      <c r="L1087" s="11" t="s">
        <v>914</v>
      </c>
      <c r="M1087" s="22">
        <v>1</v>
      </c>
      <c r="N1087" s="46">
        <v>3571429</v>
      </c>
      <c r="O1087" s="49">
        <f t="shared" ref="O1087:O1137" si="23">M1087*N1087</f>
        <v>3571429</v>
      </c>
      <c r="P1087" s="5" t="s">
        <v>612</v>
      </c>
      <c r="Q1087" s="5" t="s">
        <v>766</v>
      </c>
      <c r="R1087" s="11" t="s">
        <v>1175</v>
      </c>
      <c r="S1087" s="22">
        <v>0</v>
      </c>
    </row>
    <row r="1088" spans="1:19" ht="63.75" outlineLevel="1">
      <c r="A1088" s="5">
        <v>1073</v>
      </c>
      <c r="B1088" s="15" t="s">
        <v>710</v>
      </c>
      <c r="C1088" s="5" t="s">
        <v>597</v>
      </c>
      <c r="D1088" s="5" t="s">
        <v>516</v>
      </c>
      <c r="E1088" s="57" t="s">
        <v>517</v>
      </c>
      <c r="F1088" s="57" t="s">
        <v>2374</v>
      </c>
      <c r="G1088" s="57" t="s">
        <v>517</v>
      </c>
      <c r="H1088" s="57" t="s">
        <v>2374</v>
      </c>
      <c r="I1088" s="57" t="s">
        <v>1801</v>
      </c>
      <c r="J1088" s="57" t="s">
        <v>47</v>
      </c>
      <c r="K1088" s="57" t="s">
        <v>591</v>
      </c>
      <c r="L1088" s="11" t="s">
        <v>914</v>
      </c>
      <c r="M1088" s="22">
        <v>1</v>
      </c>
      <c r="N1088" s="46">
        <v>1428571</v>
      </c>
      <c r="O1088" s="49">
        <f t="shared" si="23"/>
        <v>1428571</v>
      </c>
      <c r="P1088" s="5" t="s">
        <v>393</v>
      </c>
      <c r="Q1088" s="5" t="s">
        <v>766</v>
      </c>
      <c r="R1088" s="11" t="s">
        <v>1175</v>
      </c>
      <c r="S1088" s="22">
        <v>0</v>
      </c>
    </row>
    <row r="1089" spans="1:19" ht="51" outlineLevel="1">
      <c r="A1089" s="5">
        <v>1074</v>
      </c>
      <c r="B1089" s="29" t="s">
        <v>710</v>
      </c>
      <c r="C1089" s="35" t="s">
        <v>597</v>
      </c>
      <c r="D1089" s="11" t="s">
        <v>700</v>
      </c>
      <c r="E1089" s="57" t="s">
        <v>2263</v>
      </c>
      <c r="F1089" s="57" t="s">
        <v>701</v>
      </c>
      <c r="G1089" s="57" t="s">
        <v>2263</v>
      </c>
      <c r="H1089" s="57" t="s">
        <v>701</v>
      </c>
      <c r="I1089" s="57" t="s">
        <v>2264</v>
      </c>
      <c r="J1089" s="57" t="s">
        <v>120</v>
      </c>
      <c r="K1089" s="57" t="s">
        <v>591</v>
      </c>
      <c r="L1089" s="11" t="s">
        <v>914</v>
      </c>
      <c r="M1089" s="22">
        <v>1</v>
      </c>
      <c r="N1089" s="46">
        <v>642857</v>
      </c>
      <c r="O1089" s="49">
        <f t="shared" si="23"/>
        <v>642857</v>
      </c>
      <c r="P1089" s="5" t="s">
        <v>393</v>
      </c>
      <c r="Q1089" s="5" t="s">
        <v>766</v>
      </c>
      <c r="R1089" s="11" t="s">
        <v>2030</v>
      </c>
      <c r="S1089" s="22">
        <v>0</v>
      </c>
    </row>
    <row r="1090" spans="1:19" ht="51" outlineLevel="1">
      <c r="A1090" s="5">
        <v>1075</v>
      </c>
      <c r="B1090" s="29" t="s">
        <v>710</v>
      </c>
      <c r="C1090" s="35" t="s">
        <v>597</v>
      </c>
      <c r="D1090" s="11" t="s">
        <v>700</v>
      </c>
      <c r="E1090" s="57" t="s">
        <v>2263</v>
      </c>
      <c r="F1090" s="57" t="s">
        <v>701</v>
      </c>
      <c r="G1090" s="57" t="s">
        <v>2263</v>
      </c>
      <c r="H1090" s="57" t="s">
        <v>701</v>
      </c>
      <c r="I1090" s="57" t="s">
        <v>2264</v>
      </c>
      <c r="J1090" s="57" t="s">
        <v>120</v>
      </c>
      <c r="K1090" s="57" t="s">
        <v>591</v>
      </c>
      <c r="L1090" s="11" t="s">
        <v>914</v>
      </c>
      <c r="M1090" s="22">
        <v>1</v>
      </c>
      <c r="N1090" s="46">
        <v>642857</v>
      </c>
      <c r="O1090" s="49">
        <f t="shared" si="23"/>
        <v>642857</v>
      </c>
      <c r="P1090" s="5" t="s">
        <v>393</v>
      </c>
      <c r="Q1090" s="5" t="s">
        <v>766</v>
      </c>
      <c r="R1090" s="11" t="s">
        <v>1021</v>
      </c>
      <c r="S1090" s="5">
        <v>100</v>
      </c>
    </row>
    <row r="1091" spans="1:19" ht="51" outlineLevel="1">
      <c r="A1091" s="5">
        <v>1076</v>
      </c>
      <c r="B1091" s="29" t="s">
        <v>710</v>
      </c>
      <c r="C1091" s="35" t="s">
        <v>597</v>
      </c>
      <c r="D1091" s="11" t="s">
        <v>700</v>
      </c>
      <c r="E1091" s="57" t="s">
        <v>2263</v>
      </c>
      <c r="F1091" s="57" t="s">
        <v>701</v>
      </c>
      <c r="G1091" s="57" t="s">
        <v>2263</v>
      </c>
      <c r="H1091" s="57" t="s">
        <v>701</v>
      </c>
      <c r="I1091" s="57" t="s">
        <v>2264</v>
      </c>
      <c r="J1091" s="57" t="s">
        <v>120</v>
      </c>
      <c r="K1091" s="57" t="s">
        <v>591</v>
      </c>
      <c r="L1091" s="11" t="s">
        <v>914</v>
      </c>
      <c r="M1091" s="22">
        <v>1</v>
      </c>
      <c r="N1091" s="46">
        <v>642857</v>
      </c>
      <c r="O1091" s="49">
        <f t="shared" si="23"/>
        <v>642857</v>
      </c>
      <c r="P1091" s="5" t="s">
        <v>501</v>
      </c>
      <c r="Q1091" s="5" t="s">
        <v>766</v>
      </c>
      <c r="R1091" s="11" t="s">
        <v>789</v>
      </c>
      <c r="S1091" s="5">
        <v>0</v>
      </c>
    </row>
    <row r="1092" spans="1:19" ht="51" outlineLevel="1">
      <c r="A1092" s="5">
        <v>1077</v>
      </c>
      <c r="B1092" s="29" t="s">
        <v>710</v>
      </c>
      <c r="C1092" s="35" t="s">
        <v>597</v>
      </c>
      <c r="D1092" s="11" t="s">
        <v>700</v>
      </c>
      <c r="E1092" s="57" t="s">
        <v>2263</v>
      </c>
      <c r="F1092" s="57" t="s">
        <v>701</v>
      </c>
      <c r="G1092" s="57" t="s">
        <v>2263</v>
      </c>
      <c r="H1092" s="57" t="s">
        <v>701</v>
      </c>
      <c r="I1092" s="57" t="s">
        <v>2264</v>
      </c>
      <c r="J1092" s="57" t="s">
        <v>120</v>
      </c>
      <c r="K1092" s="57" t="s">
        <v>591</v>
      </c>
      <c r="L1092" s="11" t="s">
        <v>914</v>
      </c>
      <c r="M1092" s="22">
        <v>1</v>
      </c>
      <c r="N1092" s="46">
        <v>1004464</v>
      </c>
      <c r="O1092" s="49">
        <f t="shared" si="23"/>
        <v>1004464</v>
      </c>
      <c r="P1092" s="5" t="s">
        <v>393</v>
      </c>
      <c r="Q1092" s="5" t="s">
        <v>766</v>
      </c>
      <c r="R1092" s="11" t="s">
        <v>2027</v>
      </c>
      <c r="S1092" s="22">
        <v>100</v>
      </c>
    </row>
    <row r="1093" spans="1:19" ht="51" outlineLevel="1">
      <c r="A1093" s="5">
        <v>1078</v>
      </c>
      <c r="B1093" s="29" t="s">
        <v>710</v>
      </c>
      <c r="C1093" s="35" t="s">
        <v>597</v>
      </c>
      <c r="D1093" s="11" t="s">
        <v>700</v>
      </c>
      <c r="E1093" s="57" t="s">
        <v>2263</v>
      </c>
      <c r="F1093" s="57" t="s">
        <v>701</v>
      </c>
      <c r="G1093" s="57" t="s">
        <v>2263</v>
      </c>
      <c r="H1093" s="57" t="s">
        <v>701</v>
      </c>
      <c r="I1093" s="57" t="s">
        <v>2264</v>
      </c>
      <c r="J1093" s="57" t="s">
        <v>120</v>
      </c>
      <c r="K1093" s="57" t="s">
        <v>591</v>
      </c>
      <c r="L1093" s="11" t="s">
        <v>914</v>
      </c>
      <c r="M1093" s="22">
        <v>1</v>
      </c>
      <c r="N1093" s="46">
        <v>642857</v>
      </c>
      <c r="O1093" s="49">
        <f t="shared" si="23"/>
        <v>642857</v>
      </c>
      <c r="P1093" s="5" t="s">
        <v>393</v>
      </c>
      <c r="Q1093" s="5" t="s">
        <v>766</v>
      </c>
      <c r="R1093" s="11" t="s">
        <v>2022</v>
      </c>
      <c r="S1093" s="22">
        <v>100</v>
      </c>
    </row>
    <row r="1094" spans="1:19" s="13" customFormat="1" ht="51">
      <c r="A1094" s="5">
        <v>1079</v>
      </c>
      <c r="B1094" s="29" t="s">
        <v>710</v>
      </c>
      <c r="C1094" s="35" t="s">
        <v>597</v>
      </c>
      <c r="D1094" s="11" t="s">
        <v>700</v>
      </c>
      <c r="E1094" s="57" t="s">
        <v>2263</v>
      </c>
      <c r="F1094" s="57" t="s">
        <v>701</v>
      </c>
      <c r="G1094" s="57" t="s">
        <v>2263</v>
      </c>
      <c r="H1094" s="57" t="s">
        <v>701</v>
      </c>
      <c r="I1094" s="57" t="s">
        <v>2264</v>
      </c>
      <c r="J1094" s="57" t="s">
        <v>120</v>
      </c>
      <c r="K1094" s="57" t="s">
        <v>591</v>
      </c>
      <c r="L1094" s="11" t="s">
        <v>914</v>
      </c>
      <c r="M1094" s="22">
        <v>1</v>
      </c>
      <c r="N1094" s="46">
        <v>642857</v>
      </c>
      <c r="O1094" s="49">
        <f t="shared" si="23"/>
        <v>642857</v>
      </c>
      <c r="P1094" s="5" t="s">
        <v>393</v>
      </c>
      <c r="Q1094" s="5" t="s">
        <v>766</v>
      </c>
      <c r="R1094" s="11" t="s">
        <v>2023</v>
      </c>
      <c r="S1094" s="22">
        <v>100</v>
      </c>
    </row>
    <row r="1095" spans="1:19" ht="51" outlineLevel="1">
      <c r="A1095" s="5">
        <v>1080</v>
      </c>
      <c r="B1095" s="29" t="s">
        <v>710</v>
      </c>
      <c r="C1095" s="35" t="s">
        <v>597</v>
      </c>
      <c r="D1095" s="11" t="s">
        <v>700</v>
      </c>
      <c r="E1095" s="57" t="s">
        <v>2263</v>
      </c>
      <c r="F1095" s="57" t="s">
        <v>701</v>
      </c>
      <c r="G1095" s="57" t="s">
        <v>2263</v>
      </c>
      <c r="H1095" s="57" t="s">
        <v>701</v>
      </c>
      <c r="I1095" s="57" t="s">
        <v>2264</v>
      </c>
      <c r="J1095" s="57" t="s">
        <v>120</v>
      </c>
      <c r="K1095" s="57" t="s">
        <v>591</v>
      </c>
      <c r="L1095" s="11" t="s">
        <v>914</v>
      </c>
      <c r="M1095" s="22">
        <v>1</v>
      </c>
      <c r="N1095" s="46">
        <v>642857</v>
      </c>
      <c r="O1095" s="49">
        <f t="shared" si="23"/>
        <v>642857</v>
      </c>
      <c r="P1095" s="5" t="s">
        <v>393</v>
      </c>
      <c r="Q1095" s="5" t="s">
        <v>766</v>
      </c>
      <c r="R1095" s="11" t="s">
        <v>633</v>
      </c>
      <c r="S1095" s="22">
        <v>30</v>
      </c>
    </row>
    <row r="1096" spans="1:19" ht="51" outlineLevel="1">
      <c r="A1096" s="5">
        <v>1081</v>
      </c>
      <c r="B1096" s="29" t="s">
        <v>710</v>
      </c>
      <c r="C1096" s="35" t="s">
        <v>597</v>
      </c>
      <c r="D1096" s="11" t="s">
        <v>700</v>
      </c>
      <c r="E1096" s="57" t="s">
        <v>2263</v>
      </c>
      <c r="F1096" s="57" t="s">
        <v>701</v>
      </c>
      <c r="G1096" s="57" t="s">
        <v>2263</v>
      </c>
      <c r="H1096" s="57" t="s">
        <v>701</v>
      </c>
      <c r="I1096" s="57" t="s">
        <v>2264</v>
      </c>
      <c r="J1096" s="57" t="s">
        <v>120</v>
      </c>
      <c r="K1096" s="57" t="s">
        <v>591</v>
      </c>
      <c r="L1096" s="11" t="s">
        <v>914</v>
      </c>
      <c r="M1096" s="22">
        <v>1</v>
      </c>
      <c r="N1096" s="46">
        <v>642857</v>
      </c>
      <c r="O1096" s="49">
        <f t="shared" si="23"/>
        <v>642857</v>
      </c>
      <c r="P1096" s="5" t="s">
        <v>393</v>
      </c>
      <c r="Q1096" s="5" t="s">
        <v>766</v>
      </c>
      <c r="R1096" s="11">
        <v>311000000</v>
      </c>
      <c r="S1096" s="22">
        <v>0</v>
      </c>
    </row>
    <row r="1097" spans="1:19" ht="51" outlineLevel="1">
      <c r="A1097" s="5">
        <v>1082</v>
      </c>
      <c r="B1097" s="29" t="s">
        <v>710</v>
      </c>
      <c r="C1097" s="35" t="s">
        <v>597</v>
      </c>
      <c r="D1097" s="11" t="s">
        <v>700</v>
      </c>
      <c r="E1097" s="57" t="s">
        <v>2263</v>
      </c>
      <c r="F1097" s="57" t="s">
        <v>701</v>
      </c>
      <c r="G1097" s="57" t="s">
        <v>2263</v>
      </c>
      <c r="H1097" s="57" t="s">
        <v>701</v>
      </c>
      <c r="I1097" s="57" t="s">
        <v>2264</v>
      </c>
      <c r="J1097" s="57" t="s">
        <v>120</v>
      </c>
      <c r="K1097" s="57" t="s">
        <v>591</v>
      </c>
      <c r="L1097" s="11" t="s">
        <v>914</v>
      </c>
      <c r="M1097" s="22">
        <v>1</v>
      </c>
      <c r="N1097" s="46">
        <v>642857</v>
      </c>
      <c r="O1097" s="49">
        <f t="shared" si="23"/>
        <v>642857</v>
      </c>
      <c r="P1097" s="5" t="s">
        <v>393</v>
      </c>
      <c r="Q1097" s="5" t="s">
        <v>766</v>
      </c>
      <c r="R1097" s="11" t="s">
        <v>2024</v>
      </c>
      <c r="S1097" s="5">
        <v>30</v>
      </c>
    </row>
    <row r="1098" spans="1:19" ht="51" outlineLevel="1">
      <c r="A1098" s="5">
        <v>1083</v>
      </c>
      <c r="B1098" s="29" t="s">
        <v>710</v>
      </c>
      <c r="C1098" s="35" t="s">
        <v>597</v>
      </c>
      <c r="D1098" s="11" t="s">
        <v>700</v>
      </c>
      <c r="E1098" s="57" t="s">
        <v>2263</v>
      </c>
      <c r="F1098" s="57" t="s">
        <v>701</v>
      </c>
      <c r="G1098" s="57" t="s">
        <v>2263</v>
      </c>
      <c r="H1098" s="57" t="s">
        <v>701</v>
      </c>
      <c r="I1098" s="57" t="s">
        <v>2264</v>
      </c>
      <c r="J1098" s="57" t="s">
        <v>120</v>
      </c>
      <c r="K1098" s="57" t="s">
        <v>591</v>
      </c>
      <c r="L1098" s="11" t="s">
        <v>914</v>
      </c>
      <c r="M1098" s="22">
        <v>1</v>
      </c>
      <c r="N1098" s="46">
        <v>642857</v>
      </c>
      <c r="O1098" s="49">
        <f t="shared" si="23"/>
        <v>642857</v>
      </c>
      <c r="P1098" s="5" t="s">
        <v>393</v>
      </c>
      <c r="Q1098" s="5" t="s">
        <v>766</v>
      </c>
      <c r="R1098" s="11">
        <v>351000000</v>
      </c>
      <c r="S1098" s="22">
        <v>100</v>
      </c>
    </row>
    <row r="1099" spans="1:19" ht="51" outlineLevel="1">
      <c r="A1099" s="5">
        <v>1084</v>
      </c>
      <c r="B1099" s="29" t="s">
        <v>710</v>
      </c>
      <c r="C1099" s="35" t="s">
        <v>597</v>
      </c>
      <c r="D1099" s="11" t="s">
        <v>700</v>
      </c>
      <c r="E1099" s="57" t="s">
        <v>2263</v>
      </c>
      <c r="F1099" s="57" t="s">
        <v>701</v>
      </c>
      <c r="G1099" s="57" t="s">
        <v>2263</v>
      </c>
      <c r="H1099" s="57" t="s">
        <v>701</v>
      </c>
      <c r="I1099" s="57" t="s">
        <v>2264</v>
      </c>
      <c r="J1099" s="57" t="s">
        <v>120</v>
      </c>
      <c r="K1099" s="57" t="s">
        <v>591</v>
      </c>
      <c r="L1099" s="11" t="s">
        <v>914</v>
      </c>
      <c r="M1099" s="22">
        <v>1</v>
      </c>
      <c r="N1099" s="46">
        <v>642857</v>
      </c>
      <c r="O1099" s="49">
        <f t="shared" si="23"/>
        <v>642857</v>
      </c>
      <c r="P1099" s="5" t="s">
        <v>393</v>
      </c>
      <c r="Q1099" s="5" t="s">
        <v>766</v>
      </c>
      <c r="R1099" s="11" t="s">
        <v>925</v>
      </c>
      <c r="S1099" s="22">
        <v>0</v>
      </c>
    </row>
    <row r="1100" spans="1:19" ht="51" outlineLevel="1">
      <c r="A1100" s="5">
        <v>1085</v>
      </c>
      <c r="B1100" s="29" t="s">
        <v>710</v>
      </c>
      <c r="C1100" s="35" t="s">
        <v>597</v>
      </c>
      <c r="D1100" s="11" t="s">
        <v>700</v>
      </c>
      <c r="E1100" s="57" t="s">
        <v>2263</v>
      </c>
      <c r="F1100" s="57" t="s">
        <v>701</v>
      </c>
      <c r="G1100" s="57" t="s">
        <v>2263</v>
      </c>
      <c r="H1100" s="57" t="s">
        <v>701</v>
      </c>
      <c r="I1100" s="57" t="s">
        <v>2264</v>
      </c>
      <c r="J1100" s="57" t="s">
        <v>120</v>
      </c>
      <c r="K1100" s="57" t="s">
        <v>591</v>
      </c>
      <c r="L1100" s="11" t="s">
        <v>914</v>
      </c>
      <c r="M1100" s="22">
        <v>1</v>
      </c>
      <c r="N1100" s="46">
        <v>508929</v>
      </c>
      <c r="O1100" s="49">
        <f t="shared" si="23"/>
        <v>508929</v>
      </c>
      <c r="P1100" s="5" t="s">
        <v>393</v>
      </c>
      <c r="Q1100" s="5" t="s">
        <v>394</v>
      </c>
      <c r="R1100" s="11">
        <v>431000000</v>
      </c>
      <c r="S1100" s="22">
        <v>100</v>
      </c>
    </row>
    <row r="1101" spans="1:19" ht="51" outlineLevel="1">
      <c r="A1101" s="5">
        <v>1086</v>
      </c>
      <c r="B1101" s="29" t="s">
        <v>710</v>
      </c>
      <c r="C1101" s="35" t="s">
        <v>597</v>
      </c>
      <c r="D1101" s="11" t="s">
        <v>700</v>
      </c>
      <c r="E1101" s="57" t="s">
        <v>2263</v>
      </c>
      <c r="F1101" s="57" t="s">
        <v>701</v>
      </c>
      <c r="G1101" s="57" t="s">
        <v>2263</v>
      </c>
      <c r="H1101" s="57" t="s">
        <v>701</v>
      </c>
      <c r="I1101" s="57" t="s">
        <v>2264</v>
      </c>
      <c r="J1101" s="57" t="s">
        <v>120</v>
      </c>
      <c r="K1101" s="57" t="s">
        <v>591</v>
      </c>
      <c r="L1101" s="11" t="s">
        <v>914</v>
      </c>
      <c r="M1101" s="52">
        <v>1</v>
      </c>
      <c r="N1101" s="46">
        <v>642857</v>
      </c>
      <c r="O1101" s="49">
        <f t="shared" si="23"/>
        <v>642857</v>
      </c>
      <c r="P1101" s="5" t="s">
        <v>393</v>
      </c>
      <c r="Q1101" s="5" t="s">
        <v>766</v>
      </c>
      <c r="R1101" s="11" t="s">
        <v>715</v>
      </c>
      <c r="S1101" s="22">
        <v>100</v>
      </c>
    </row>
    <row r="1102" spans="1:19" s="32" customFormat="1" ht="51">
      <c r="A1102" s="5">
        <v>1087</v>
      </c>
      <c r="B1102" s="29" t="s">
        <v>710</v>
      </c>
      <c r="C1102" s="35" t="s">
        <v>597</v>
      </c>
      <c r="D1102" s="11" t="s">
        <v>700</v>
      </c>
      <c r="E1102" s="57" t="s">
        <v>2263</v>
      </c>
      <c r="F1102" s="57" t="s">
        <v>701</v>
      </c>
      <c r="G1102" s="57" t="s">
        <v>2263</v>
      </c>
      <c r="H1102" s="57" t="s">
        <v>701</v>
      </c>
      <c r="I1102" s="57" t="s">
        <v>2264</v>
      </c>
      <c r="J1102" s="57" t="s">
        <v>120</v>
      </c>
      <c r="K1102" s="57" t="s">
        <v>591</v>
      </c>
      <c r="L1102" s="11" t="s">
        <v>914</v>
      </c>
      <c r="M1102" s="22">
        <v>1</v>
      </c>
      <c r="N1102" s="46">
        <v>642857</v>
      </c>
      <c r="O1102" s="49">
        <f t="shared" si="23"/>
        <v>642857</v>
      </c>
      <c r="P1102" s="5" t="s">
        <v>393</v>
      </c>
      <c r="Q1102" s="5" t="s">
        <v>766</v>
      </c>
      <c r="R1102" s="11">
        <v>551000000</v>
      </c>
      <c r="S1102" s="22">
        <v>0</v>
      </c>
    </row>
    <row r="1103" spans="1:19" ht="51" outlineLevel="1">
      <c r="A1103" s="5">
        <v>1088</v>
      </c>
      <c r="B1103" s="29" t="s">
        <v>710</v>
      </c>
      <c r="C1103" s="35" t="s">
        <v>597</v>
      </c>
      <c r="D1103" s="11" t="s">
        <v>700</v>
      </c>
      <c r="E1103" s="57" t="s">
        <v>2263</v>
      </c>
      <c r="F1103" s="57" t="s">
        <v>701</v>
      </c>
      <c r="G1103" s="57" t="s">
        <v>2263</v>
      </c>
      <c r="H1103" s="57" t="s">
        <v>701</v>
      </c>
      <c r="I1103" s="57" t="s">
        <v>2264</v>
      </c>
      <c r="J1103" s="57" t="s">
        <v>120</v>
      </c>
      <c r="K1103" s="57" t="s">
        <v>591</v>
      </c>
      <c r="L1103" s="11" t="s">
        <v>914</v>
      </c>
      <c r="M1103" s="22">
        <v>1</v>
      </c>
      <c r="N1103" s="46">
        <v>642857</v>
      </c>
      <c r="O1103" s="49">
        <f t="shared" si="23"/>
        <v>642857</v>
      </c>
      <c r="P1103" s="5" t="s">
        <v>393</v>
      </c>
      <c r="Q1103" s="5" t="s">
        <v>766</v>
      </c>
      <c r="R1103" s="11">
        <v>591000000</v>
      </c>
      <c r="S1103" s="22">
        <v>100</v>
      </c>
    </row>
    <row r="1104" spans="1:19" ht="51" outlineLevel="1">
      <c r="A1104" s="5">
        <v>1089</v>
      </c>
      <c r="B1104" s="29" t="s">
        <v>710</v>
      </c>
      <c r="C1104" s="35" t="s">
        <v>597</v>
      </c>
      <c r="D1104" s="11" t="s">
        <v>700</v>
      </c>
      <c r="E1104" s="57" t="s">
        <v>2263</v>
      </c>
      <c r="F1104" s="57" t="s">
        <v>701</v>
      </c>
      <c r="G1104" s="57" t="s">
        <v>2263</v>
      </c>
      <c r="H1104" s="57" t="s">
        <v>701</v>
      </c>
      <c r="I1104" s="57" t="s">
        <v>2264</v>
      </c>
      <c r="J1104" s="57" t="s">
        <v>120</v>
      </c>
      <c r="K1104" s="57" t="s">
        <v>591</v>
      </c>
      <c r="L1104" s="11" t="s">
        <v>914</v>
      </c>
      <c r="M1104" s="22">
        <v>1</v>
      </c>
      <c r="N1104" s="46">
        <v>642857</v>
      </c>
      <c r="O1104" s="49">
        <f t="shared" si="23"/>
        <v>642857</v>
      </c>
      <c r="P1104" s="5" t="s">
        <v>393</v>
      </c>
      <c r="Q1104" s="5" t="s">
        <v>766</v>
      </c>
      <c r="R1104" s="11" t="s">
        <v>2029</v>
      </c>
      <c r="S1104" s="5">
        <v>100</v>
      </c>
    </row>
    <row r="1105" spans="1:19" ht="51" outlineLevel="1">
      <c r="A1105" s="5">
        <v>1090</v>
      </c>
      <c r="B1105" s="29" t="s">
        <v>710</v>
      </c>
      <c r="C1105" s="35" t="s">
        <v>597</v>
      </c>
      <c r="D1105" s="5" t="s">
        <v>700</v>
      </c>
      <c r="E1105" s="57" t="s">
        <v>867</v>
      </c>
      <c r="F1105" s="57" t="s">
        <v>701</v>
      </c>
      <c r="G1105" s="57" t="s">
        <v>867</v>
      </c>
      <c r="H1105" s="57" t="s">
        <v>701</v>
      </c>
      <c r="I1105" s="57" t="s">
        <v>2267</v>
      </c>
      <c r="J1105" s="57" t="s">
        <v>116</v>
      </c>
      <c r="K1105" s="57" t="s">
        <v>591</v>
      </c>
      <c r="L1105" s="11" t="s">
        <v>914</v>
      </c>
      <c r="M1105" s="22">
        <v>1</v>
      </c>
      <c r="N1105" s="46">
        <v>361607</v>
      </c>
      <c r="O1105" s="49">
        <f t="shared" si="23"/>
        <v>361607</v>
      </c>
      <c r="P1105" s="5" t="s">
        <v>393</v>
      </c>
      <c r="Q1105" s="5" t="s">
        <v>766</v>
      </c>
      <c r="R1105" s="11" t="s">
        <v>2030</v>
      </c>
      <c r="S1105" s="22">
        <v>100</v>
      </c>
    </row>
    <row r="1106" spans="1:19" ht="51" outlineLevel="1">
      <c r="A1106" s="5">
        <v>1091</v>
      </c>
      <c r="B1106" s="29" t="s">
        <v>710</v>
      </c>
      <c r="C1106" s="35" t="s">
        <v>597</v>
      </c>
      <c r="D1106" s="5" t="s">
        <v>700</v>
      </c>
      <c r="E1106" s="57" t="s">
        <v>867</v>
      </c>
      <c r="F1106" s="57" t="s">
        <v>701</v>
      </c>
      <c r="G1106" s="57" t="s">
        <v>867</v>
      </c>
      <c r="H1106" s="57" t="s">
        <v>701</v>
      </c>
      <c r="I1106" s="57" t="s">
        <v>2267</v>
      </c>
      <c r="J1106" s="57" t="s">
        <v>116</v>
      </c>
      <c r="K1106" s="57" t="s">
        <v>591</v>
      </c>
      <c r="L1106" s="11" t="s">
        <v>914</v>
      </c>
      <c r="M1106" s="22">
        <v>1</v>
      </c>
      <c r="N1106" s="46">
        <v>361607</v>
      </c>
      <c r="O1106" s="49">
        <f t="shared" si="23"/>
        <v>361607</v>
      </c>
      <c r="P1106" s="5" t="s">
        <v>391</v>
      </c>
      <c r="Q1106" s="5" t="s">
        <v>766</v>
      </c>
      <c r="R1106" s="11" t="s">
        <v>1021</v>
      </c>
      <c r="S1106" s="5">
        <v>100</v>
      </c>
    </row>
    <row r="1107" spans="1:19" ht="51" outlineLevel="1">
      <c r="A1107" s="5">
        <v>1092</v>
      </c>
      <c r="B1107" s="29" t="s">
        <v>710</v>
      </c>
      <c r="C1107" s="35" t="s">
        <v>597</v>
      </c>
      <c r="D1107" s="5" t="s">
        <v>700</v>
      </c>
      <c r="E1107" s="57" t="s">
        <v>867</v>
      </c>
      <c r="F1107" s="57" t="s">
        <v>701</v>
      </c>
      <c r="G1107" s="57" t="s">
        <v>867</v>
      </c>
      <c r="H1107" s="57" t="s">
        <v>701</v>
      </c>
      <c r="I1107" s="57" t="s">
        <v>2267</v>
      </c>
      <c r="J1107" s="57" t="s">
        <v>116</v>
      </c>
      <c r="K1107" s="57" t="s">
        <v>591</v>
      </c>
      <c r="L1107" s="11" t="s">
        <v>914</v>
      </c>
      <c r="M1107" s="22">
        <v>1</v>
      </c>
      <c r="N1107" s="46">
        <v>361607</v>
      </c>
      <c r="O1107" s="49">
        <f t="shared" si="23"/>
        <v>361607</v>
      </c>
      <c r="P1107" s="5" t="s">
        <v>502</v>
      </c>
      <c r="Q1107" s="5" t="s">
        <v>766</v>
      </c>
      <c r="R1107" s="11" t="s">
        <v>789</v>
      </c>
      <c r="S1107" s="5">
        <v>100</v>
      </c>
    </row>
    <row r="1108" spans="1:19" ht="51" outlineLevel="1">
      <c r="A1108" s="5">
        <v>1093</v>
      </c>
      <c r="B1108" s="29" t="s">
        <v>710</v>
      </c>
      <c r="C1108" s="35" t="s">
        <v>597</v>
      </c>
      <c r="D1108" s="5" t="s">
        <v>700</v>
      </c>
      <c r="E1108" s="57" t="s">
        <v>867</v>
      </c>
      <c r="F1108" s="57" t="s">
        <v>701</v>
      </c>
      <c r="G1108" s="57" t="s">
        <v>867</v>
      </c>
      <c r="H1108" s="57" t="s">
        <v>701</v>
      </c>
      <c r="I1108" s="57" t="s">
        <v>2267</v>
      </c>
      <c r="J1108" s="57" t="s">
        <v>116</v>
      </c>
      <c r="K1108" s="57" t="s">
        <v>591</v>
      </c>
      <c r="L1108" s="11" t="s">
        <v>914</v>
      </c>
      <c r="M1108" s="22">
        <v>1</v>
      </c>
      <c r="N1108" s="46">
        <v>361607</v>
      </c>
      <c r="O1108" s="49">
        <f t="shared" si="23"/>
        <v>361607</v>
      </c>
      <c r="P1108" s="5" t="s">
        <v>393</v>
      </c>
      <c r="Q1108" s="5" t="s">
        <v>766</v>
      </c>
      <c r="R1108" s="11" t="s">
        <v>2022</v>
      </c>
      <c r="S1108" s="22">
        <v>100</v>
      </c>
    </row>
    <row r="1109" spans="1:19" s="13" customFormat="1" ht="51">
      <c r="A1109" s="5">
        <v>1094</v>
      </c>
      <c r="B1109" s="29" t="s">
        <v>710</v>
      </c>
      <c r="C1109" s="35" t="s">
        <v>597</v>
      </c>
      <c r="D1109" s="5" t="s">
        <v>700</v>
      </c>
      <c r="E1109" s="57" t="s">
        <v>867</v>
      </c>
      <c r="F1109" s="57" t="s">
        <v>701</v>
      </c>
      <c r="G1109" s="57" t="s">
        <v>867</v>
      </c>
      <c r="H1109" s="57" t="s">
        <v>701</v>
      </c>
      <c r="I1109" s="57" t="s">
        <v>2267</v>
      </c>
      <c r="J1109" s="57" t="s">
        <v>116</v>
      </c>
      <c r="K1109" s="57" t="s">
        <v>591</v>
      </c>
      <c r="L1109" s="11" t="s">
        <v>914</v>
      </c>
      <c r="M1109" s="22">
        <v>1</v>
      </c>
      <c r="N1109" s="46">
        <v>361607</v>
      </c>
      <c r="O1109" s="49">
        <f t="shared" si="23"/>
        <v>361607</v>
      </c>
      <c r="P1109" s="5" t="s">
        <v>391</v>
      </c>
      <c r="Q1109" s="5" t="s">
        <v>766</v>
      </c>
      <c r="R1109" s="11" t="s">
        <v>2023</v>
      </c>
      <c r="S1109" s="22">
        <v>100</v>
      </c>
    </row>
    <row r="1110" spans="1:19" ht="51" outlineLevel="1">
      <c r="A1110" s="5">
        <v>1095</v>
      </c>
      <c r="B1110" s="29" t="s">
        <v>710</v>
      </c>
      <c r="C1110" s="35" t="s">
        <v>597</v>
      </c>
      <c r="D1110" s="5" t="s">
        <v>700</v>
      </c>
      <c r="E1110" s="57" t="s">
        <v>867</v>
      </c>
      <c r="F1110" s="57" t="s">
        <v>701</v>
      </c>
      <c r="G1110" s="57" t="s">
        <v>867</v>
      </c>
      <c r="H1110" s="57" t="s">
        <v>701</v>
      </c>
      <c r="I1110" s="57" t="s">
        <v>2267</v>
      </c>
      <c r="J1110" s="57" t="s">
        <v>116</v>
      </c>
      <c r="K1110" s="57" t="s">
        <v>591</v>
      </c>
      <c r="L1110" s="11" t="s">
        <v>914</v>
      </c>
      <c r="M1110" s="22">
        <v>1</v>
      </c>
      <c r="N1110" s="46">
        <v>361607</v>
      </c>
      <c r="O1110" s="49">
        <f t="shared" si="23"/>
        <v>361607</v>
      </c>
      <c r="P1110" s="5" t="s">
        <v>393</v>
      </c>
      <c r="Q1110" s="5" t="s">
        <v>766</v>
      </c>
      <c r="R1110" s="11" t="s">
        <v>633</v>
      </c>
      <c r="S1110" s="22">
        <v>30</v>
      </c>
    </row>
    <row r="1111" spans="1:19" ht="51" outlineLevel="1">
      <c r="A1111" s="5">
        <v>1096</v>
      </c>
      <c r="B1111" s="29" t="s">
        <v>710</v>
      </c>
      <c r="C1111" s="35" t="s">
        <v>597</v>
      </c>
      <c r="D1111" s="5" t="s">
        <v>700</v>
      </c>
      <c r="E1111" s="57" t="s">
        <v>867</v>
      </c>
      <c r="F1111" s="57" t="s">
        <v>701</v>
      </c>
      <c r="G1111" s="57" t="s">
        <v>867</v>
      </c>
      <c r="H1111" s="57" t="s">
        <v>701</v>
      </c>
      <c r="I1111" s="57" t="s">
        <v>2267</v>
      </c>
      <c r="J1111" s="57" t="s">
        <v>116</v>
      </c>
      <c r="K1111" s="57" t="s">
        <v>591</v>
      </c>
      <c r="L1111" s="11" t="s">
        <v>914</v>
      </c>
      <c r="M1111" s="22">
        <v>1</v>
      </c>
      <c r="N1111" s="46">
        <v>361607</v>
      </c>
      <c r="O1111" s="49">
        <f t="shared" si="23"/>
        <v>361607</v>
      </c>
      <c r="P1111" s="5" t="s">
        <v>391</v>
      </c>
      <c r="Q1111" s="5" t="s">
        <v>766</v>
      </c>
      <c r="R1111" s="11">
        <v>311000000</v>
      </c>
      <c r="S1111" s="22">
        <v>0</v>
      </c>
    </row>
    <row r="1112" spans="1:19" ht="51" outlineLevel="1">
      <c r="A1112" s="5">
        <v>1097</v>
      </c>
      <c r="B1112" s="29" t="s">
        <v>710</v>
      </c>
      <c r="C1112" s="35" t="s">
        <v>597</v>
      </c>
      <c r="D1112" s="5" t="s">
        <v>700</v>
      </c>
      <c r="E1112" s="57" t="s">
        <v>867</v>
      </c>
      <c r="F1112" s="57" t="s">
        <v>701</v>
      </c>
      <c r="G1112" s="57" t="s">
        <v>867</v>
      </c>
      <c r="H1112" s="57" t="s">
        <v>701</v>
      </c>
      <c r="I1112" s="57" t="s">
        <v>2267</v>
      </c>
      <c r="J1112" s="57" t="s">
        <v>116</v>
      </c>
      <c r="K1112" s="57" t="s">
        <v>591</v>
      </c>
      <c r="L1112" s="11" t="s">
        <v>914</v>
      </c>
      <c r="M1112" s="22">
        <v>1</v>
      </c>
      <c r="N1112" s="46">
        <v>361607</v>
      </c>
      <c r="O1112" s="49">
        <f t="shared" si="23"/>
        <v>361607</v>
      </c>
      <c r="P1112" s="5" t="s">
        <v>393</v>
      </c>
      <c r="Q1112" s="5" t="s">
        <v>766</v>
      </c>
      <c r="R1112" s="11" t="s">
        <v>2024</v>
      </c>
      <c r="S1112" s="5">
        <v>0</v>
      </c>
    </row>
    <row r="1113" spans="1:19" ht="51" outlineLevel="1">
      <c r="A1113" s="5">
        <v>1098</v>
      </c>
      <c r="B1113" s="29" t="s">
        <v>710</v>
      </c>
      <c r="C1113" s="35" t="s">
        <v>597</v>
      </c>
      <c r="D1113" s="5" t="s">
        <v>700</v>
      </c>
      <c r="E1113" s="57" t="s">
        <v>867</v>
      </c>
      <c r="F1113" s="57" t="s">
        <v>701</v>
      </c>
      <c r="G1113" s="57" t="s">
        <v>867</v>
      </c>
      <c r="H1113" s="57" t="s">
        <v>701</v>
      </c>
      <c r="I1113" s="57" t="s">
        <v>2267</v>
      </c>
      <c r="J1113" s="57" t="s">
        <v>116</v>
      </c>
      <c r="K1113" s="57" t="s">
        <v>591</v>
      </c>
      <c r="L1113" s="11" t="s">
        <v>914</v>
      </c>
      <c r="M1113" s="22">
        <v>1</v>
      </c>
      <c r="N1113" s="46">
        <v>361607</v>
      </c>
      <c r="O1113" s="49">
        <f t="shared" si="23"/>
        <v>361607</v>
      </c>
      <c r="P1113" s="5" t="s">
        <v>393</v>
      </c>
      <c r="Q1113" s="5" t="s">
        <v>766</v>
      </c>
      <c r="R1113" s="11">
        <v>351000000</v>
      </c>
      <c r="S1113" s="22">
        <v>30</v>
      </c>
    </row>
    <row r="1114" spans="1:19" ht="51" outlineLevel="1">
      <c r="A1114" s="5">
        <v>1099</v>
      </c>
      <c r="B1114" s="29" t="s">
        <v>710</v>
      </c>
      <c r="C1114" s="35" t="s">
        <v>597</v>
      </c>
      <c r="D1114" s="5" t="s">
        <v>700</v>
      </c>
      <c r="E1114" s="57" t="s">
        <v>867</v>
      </c>
      <c r="F1114" s="57" t="s">
        <v>701</v>
      </c>
      <c r="G1114" s="57" t="s">
        <v>867</v>
      </c>
      <c r="H1114" s="57" t="s">
        <v>701</v>
      </c>
      <c r="I1114" s="57" t="s">
        <v>2267</v>
      </c>
      <c r="J1114" s="57" t="s">
        <v>116</v>
      </c>
      <c r="K1114" s="57" t="s">
        <v>591</v>
      </c>
      <c r="L1114" s="11" t="s">
        <v>914</v>
      </c>
      <c r="M1114" s="22">
        <v>1</v>
      </c>
      <c r="N1114" s="46">
        <v>361607</v>
      </c>
      <c r="O1114" s="49">
        <f t="shared" si="23"/>
        <v>361607</v>
      </c>
      <c r="P1114" s="5" t="s">
        <v>393</v>
      </c>
      <c r="Q1114" s="5" t="s">
        <v>766</v>
      </c>
      <c r="R1114" s="11" t="s">
        <v>925</v>
      </c>
      <c r="S1114" s="22">
        <v>0</v>
      </c>
    </row>
    <row r="1115" spans="1:19" ht="51" outlineLevel="1">
      <c r="A1115" s="5">
        <v>1100</v>
      </c>
      <c r="B1115" s="29" t="s">
        <v>710</v>
      </c>
      <c r="C1115" s="35" t="s">
        <v>597</v>
      </c>
      <c r="D1115" s="5" t="s">
        <v>700</v>
      </c>
      <c r="E1115" s="57" t="s">
        <v>867</v>
      </c>
      <c r="F1115" s="57" t="s">
        <v>701</v>
      </c>
      <c r="G1115" s="57" t="s">
        <v>867</v>
      </c>
      <c r="H1115" s="57" t="s">
        <v>701</v>
      </c>
      <c r="I1115" s="57" t="s">
        <v>2267</v>
      </c>
      <c r="J1115" s="57" t="s">
        <v>116</v>
      </c>
      <c r="K1115" s="57" t="s">
        <v>591</v>
      </c>
      <c r="L1115" s="11" t="s">
        <v>914</v>
      </c>
      <c r="M1115" s="22">
        <v>1</v>
      </c>
      <c r="N1115" s="46">
        <v>361607</v>
      </c>
      <c r="O1115" s="49">
        <f t="shared" si="23"/>
        <v>361607</v>
      </c>
      <c r="P1115" s="5" t="s">
        <v>393</v>
      </c>
      <c r="Q1115" s="5" t="s">
        <v>766</v>
      </c>
      <c r="R1115" s="11">
        <v>431000000</v>
      </c>
      <c r="S1115" s="22">
        <v>100</v>
      </c>
    </row>
    <row r="1116" spans="1:19" ht="51" outlineLevel="1">
      <c r="A1116" s="5">
        <v>1101</v>
      </c>
      <c r="B1116" s="29" t="s">
        <v>710</v>
      </c>
      <c r="C1116" s="35" t="s">
        <v>597</v>
      </c>
      <c r="D1116" s="5" t="s">
        <v>700</v>
      </c>
      <c r="E1116" s="57" t="s">
        <v>867</v>
      </c>
      <c r="F1116" s="57" t="s">
        <v>701</v>
      </c>
      <c r="G1116" s="57" t="s">
        <v>867</v>
      </c>
      <c r="H1116" s="57" t="s">
        <v>701</v>
      </c>
      <c r="I1116" s="57" t="s">
        <v>2267</v>
      </c>
      <c r="J1116" s="57" t="s">
        <v>116</v>
      </c>
      <c r="K1116" s="57" t="s">
        <v>591</v>
      </c>
      <c r="L1116" s="11" t="s">
        <v>914</v>
      </c>
      <c r="M1116" s="22">
        <v>1</v>
      </c>
      <c r="N1116" s="46">
        <v>361607</v>
      </c>
      <c r="O1116" s="49">
        <f t="shared" si="23"/>
        <v>361607</v>
      </c>
      <c r="P1116" s="5" t="s">
        <v>612</v>
      </c>
      <c r="Q1116" s="5" t="s">
        <v>766</v>
      </c>
      <c r="R1116" s="11" t="s">
        <v>715</v>
      </c>
      <c r="S1116" s="22">
        <v>100</v>
      </c>
    </row>
    <row r="1117" spans="1:19" s="32" customFormat="1" ht="51">
      <c r="A1117" s="5">
        <v>1102</v>
      </c>
      <c r="B1117" s="29" t="s">
        <v>710</v>
      </c>
      <c r="C1117" s="35" t="s">
        <v>597</v>
      </c>
      <c r="D1117" s="5" t="s">
        <v>700</v>
      </c>
      <c r="E1117" s="57" t="s">
        <v>867</v>
      </c>
      <c r="F1117" s="57" t="s">
        <v>701</v>
      </c>
      <c r="G1117" s="57" t="s">
        <v>867</v>
      </c>
      <c r="H1117" s="57" t="s">
        <v>701</v>
      </c>
      <c r="I1117" s="57" t="s">
        <v>2267</v>
      </c>
      <c r="J1117" s="57" t="s">
        <v>116</v>
      </c>
      <c r="K1117" s="57" t="s">
        <v>591</v>
      </c>
      <c r="L1117" s="11" t="s">
        <v>914</v>
      </c>
      <c r="M1117" s="22">
        <v>1</v>
      </c>
      <c r="N1117" s="46">
        <v>361607</v>
      </c>
      <c r="O1117" s="49">
        <f t="shared" si="23"/>
        <v>361607</v>
      </c>
      <c r="P1117" s="5" t="s">
        <v>393</v>
      </c>
      <c r="Q1117" s="5" t="s">
        <v>766</v>
      </c>
      <c r="R1117" s="11">
        <v>551000000</v>
      </c>
      <c r="S1117" s="22">
        <v>0</v>
      </c>
    </row>
    <row r="1118" spans="1:19" ht="51" outlineLevel="1">
      <c r="A1118" s="5">
        <v>1103</v>
      </c>
      <c r="B1118" s="29" t="s">
        <v>710</v>
      </c>
      <c r="C1118" s="35" t="s">
        <v>597</v>
      </c>
      <c r="D1118" s="5" t="s">
        <v>700</v>
      </c>
      <c r="E1118" s="57" t="s">
        <v>867</v>
      </c>
      <c r="F1118" s="57" t="s">
        <v>701</v>
      </c>
      <c r="G1118" s="57" t="s">
        <v>867</v>
      </c>
      <c r="H1118" s="57" t="s">
        <v>701</v>
      </c>
      <c r="I1118" s="57" t="s">
        <v>2267</v>
      </c>
      <c r="J1118" s="57" t="s">
        <v>116</v>
      </c>
      <c r="K1118" s="57" t="s">
        <v>591</v>
      </c>
      <c r="L1118" s="11" t="s">
        <v>914</v>
      </c>
      <c r="M1118" s="22">
        <v>1</v>
      </c>
      <c r="N1118" s="46">
        <v>361607</v>
      </c>
      <c r="O1118" s="49">
        <f t="shared" si="23"/>
        <v>361607</v>
      </c>
      <c r="P1118" s="5" t="s">
        <v>393</v>
      </c>
      <c r="Q1118" s="5" t="s">
        <v>766</v>
      </c>
      <c r="R1118" s="11">
        <v>591000000</v>
      </c>
      <c r="S1118" s="22">
        <v>100</v>
      </c>
    </row>
    <row r="1119" spans="1:19" ht="51" outlineLevel="1">
      <c r="A1119" s="5">
        <v>1104</v>
      </c>
      <c r="B1119" s="29" t="s">
        <v>710</v>
      </c>
      <c r="C1119" s="35" t="s">
        <v>597</v>
      </c>
      <c r="D1119" s="5" t="s">
        <v>700</v>
      </c>
      <c r="E1119" s="57" t="s">
        <v>867</v>
      </c>
      <c r="F1119" s="57" t="s">
        <v>701</v>
      </c>
      <c r="G1119" s="57" t="s">
        <v>867</v>
      </c>
      <c r="H1119" s="57" t="s">
        <v>701</v>
      </c>
      <c r="I1119" s="57" t="s">
        <v>2267</v>
      </c>
      <c r="J1119" s="57" t="s">
        <v>116</v>
      </c>
      <c r="K1119" s="57" t="s">
        <v>591</v>
      </c>
      <c r="L1119" s="11" t="s">
        <v>914</v>
      </c>
      <c r="M1119" s="22">
        <v>1</v>
      </c>
      <c r="N1119" s="46">
        <v>361607</v>
      </c>
      <c r="O1119" s="49">
        <f t="shared" si="23"/>
        <v>361607</v>
      </c>
      <c r="P1119" s="5" t="s">
        <v>699</v>
      </c>
      <c r="Q1119" s="5" t="s">
        <v>766</v>
      </c>
      <c r="R1119" s="11" t="s">
        <v>2029</v>
      </c>
      <c r="S1119" s="5">
        <v>100</v>
      </c>
    </row>
    <row r="1120" spans="1:19" ht="76.5" outlineLevel="1">
      <c r="A1120" s="5">
        <v>1105</v>
      </c>
      <c r="B1120" s="29" t="s">
        <v>710</v>
      </c>
      <c r="C1120" s="35" t="s">
        <v>597</v>
      </c>
      <c r="D1120" s="5" t="s">
        <v>519</v>
      </c>
      <c r="E1120" s="57" t="s">
        <v>520</v>
      </c>
      <c r="F1120" s="57" t="s">
        <v>521</v>
      </c>
      <c r="G1120" s="57" t="s">
        <v>522</v>
      </c>
      <c r="H1120" s="57" t="s">
        <v>523</v>
      </c>
      <c r="I1120" s="57" t="s">
        <v>1802</v>
      </c>
      <c r="J1120" s="57" t="s">
        <v>52</v>
      </c>
      <c r="K1120" s="57" t="s">
        <v>591</v>
      </c>
      <c r="L1120" s="11" t="s">
        <v>914</v>
      </c>
      <c r="M1120" s="22">
        <v>1</v>
      </c>
      <c r="N1120" s="46">
        <f>O1120/M1120</f>
        <v>47131614.210000001</v>
      </c>
      <c r="O1120" s="49">
        <f>36661536+10470078.21</f>
        <v>47131614.210000001</v>
      </c>
      <c r="P1120" s="5" t="s">
        <v>506</v>
      </c>
      <c r="Q1120" s="5" t="s">
        <v>394</v>
      </c>
      <c r="R1120" s="11" t="s">
        <v>1175</v>
      </c>
      <c r="S1120" s="22">
        <v>100</v>
      </c>
    </row>
    <row r="1121" spans="1:19" ht="76.5" outlineLevel="1">
      <c r="A1121" s="5">
        <v>1106</v>
      </c>
      <c r="B1121" s="29" t="s">
        <v>710</v>
      </c>
      <c r="C1121" s="35" t="s">
        <v>597</v>
      </c>
      <c r="D1121" s="5" t="s">
        <v>519</v>
      </c>
      <c r="E1121" s="57" t="s">
        <v>520</v>
      </c>
      <c r="F1121" s="57" t="s">
        <v>521</v>
      </c>
      <c r="G1121" s="57" t="s">
        <v>522</v>
      </c>
      <c r="H1121" s="57" t="s">
        <v>523</v>
      </c>
      <c r="I1121" s="57" t="s">
        <v>1802</v>
      </c>
      <c r="J1121" s="57" t="s">
        <v>52</v>
      </c>
      <c r="K1121" s="57" t="s">
        <v>591</v>
      </c>
      <c r="L1121" s="11" t="s">
        <v>914</v>
      </c>
      <c r="M1121" s="22">
        <v>1</v>
      </c>
      <c r="N1121" s="46">
        <v>446429</v>
      </c>
      <c r="O1121" s="49">
        <f t="shared" si="23"/>
        <v>446429</v>
      </c>
      <c r="P1121" s="5" t="s">
        <v>612</v>
      </c>
      <c r="Q1121" s="5" t="s">
        <v>394</v>
      </c>
      <c r="R1121" s="11" t="s">
        <v>2030</v>
      </c>
      <c r="S1121" s="22">
        <v>100</v>
      </c>
    </row>
    <row r="1122" spans="1:19" ht="76.5" outlineLevel="1">
      <c r="A1122" s="5">
        <v>1107</v>
      </c>
      <c r="B1122" s="29" t="s">
        <v>710</v>
      </c>
      <c r="C1122" s="35" t="s">
        <v>597</v>
      </c>
      <c r="D1122" s="5" t="s">
        <v>519</v>
      </c>
      <c r="E1122" s="57" t="s">
        <v>520</v>
      </c>
      <c r="F1122" s="57" t="s">
        <v>521</v>
      </c>
      <c r="G1122" s="57" t="s">
        <v>522</v>
      </c>
      <c r="H1122" s="57" t="s">
        <v>523</v>
      </c>
      <c r="I1122" s="57" t="s">
        <v>1802</v>
      </c>
      <c r="J1122" s="57" t="s">
        <v>52</v>
      </c>
      <c r="K1122" s="57" t="s">
        <v>591</v>
      </c>
      <c r="L1122" s="11" t="s">
        <v>914</v>
      </c>
      <c r="M1122" s="22">
        <v>1</v>
      </c>
      <c r="N1122" s="46">
        <v>446429</v>
      </c>
      <c r="O1122" s="49">
        <f t="shared" si="23"/>
        <v>446429</v>
      </c>
      <c r="P1122" s="5" t="s">
        <v>391</v>
      </c>
      <c r="Q1122" s="5" t="s">
        <v>394</v>
      </c>
      <c r="R1122" s="11" t="s">
        <v>1021</v>
      </c>
      <c r="S1122" s="22">
        <v>100</v>
      </c>
    </row>
    <row r="1123" spans="1:19" ht="76.5" outlineLevel="1">
      <c r="A1123" s="5">
        <v>1108</v>
      </c>
      <c r="B1123" s="29" t="s">
        <v>710</v>
      </c>
      <c r="C1123" s="35" t="s">
        <v>597</v>
      </c>
      <c r="D1123" s="5" t="s">
        <v>519</v>
      </c>
      <c r="E1123" s="57" t="s">
        <v>520</v>
      </c>
      <c r="F1123" s="57" t="s">
        <v>521</v>
      </c>
      <c r="G1123" s="57" t="s">
        <v>522</v>
      </c>
      <c r="H1123" s="57" t="s">
        <v>523</v>
      </c>
      <c r="I1123" s="57" t="s">
        <v>1802</v>
      </c>
      <c r="J1123" s="57" t="s">
        <v>52</v>
      </c>
      <c r="K1123" s="57" t="s">
        <v>591</v>
      </c>
      <c r="L1123" s="11" t="s">
        <v>914</v>
      </c>
      <c r="M1123" s="22">
        <v>1</v>
      </c>
      <c r="N1123" s="46">
        <v>446429</v>
      </c>
      <c r="O1123" s="49">
        <f t="shared" si="23"/>
        <v>446429</v>
      </c>
      <c r="P1123" s="5" t="s">
        <v>698</v>
      </c>
      <c r="Q1123" s="5" t="s">
        <v>394</v>
      </c>
      <c r="R1123" s="11" t="s">
        <v>789</v>
      </c>
      <c r="S1123" s="22">
        <v>100</v>
      </c>
    </row>
    <row r="1124" spans="1:19" ht="76.5" outlineLevel="1">
      <c r="A1124" s="5">
        <v>1109</v>
      </c>
      <c r="B1124" s="29" t="s">
        <v>710</v>
      </c>
      <c r="C1124" s="35" t="s">
        <v>597</v>
      </c>
      <c r="D1124" s="5" t="s">
        <v>519</v>
      </c>
      <c r="E1124" s="57" t="s">
        <v>520</v>
      </c>
      <c r="F1124" s="57" t="s">
        <v>521</v>
      </c>
      <c r="G1124" s="57" t="s">
        <v>522</v>
      </c>
      <c r="H1124" s="57" t="s">
        <v>523</v>
      </c>
      <c r="I1124" s="57" t="s">
        <v>1802</v>
      </c>
      <c r="J1124" s="57" t="s">
        <v>52</v>
      </c>
      <c r="K1124" s="57" t="s">
        <v>591</v>
      </c>
      <c r="L1124" s="11" t="s">
        <v>914</v>
      </c>
      <c r="M1124" s="22">
        <v>1</v>
      </c>
      <c r="N1124" s="46">
        <v>446429</v>
      </c>
      <c r="O1124" s="49">
        <f t="shared" si="23"/>
        <v>446429</v>
      </c>
      <c r="P1124" s="5" t="s">
        <v>393</v>
      </c>
      <c r="Q1124" s="5" t="s">
        <v>394</v>
      </c>
      <c r="R1124" s="11" t="s">
        <v>2027</v>
      </c>
      <c r="S1124" s="22">
        <v>100</v>
      </c>
    </row>
    <row r="1125" spans="1:19" s="36" customFormat="1" ht="76.5" outlineLevel="1">
      <c r="A1125" s="5">
        <v>1110</v>
      </c>
      <c r="B1125" s="29" t="s">
        <v>710</v>
      </c>
      <c r="C1125" s="35" t="s">
        <v>597</v>
      </c>
      <c r="D1125" s="5" t="s">
        <v>519</v>
      </c>
      <c r="E1125" s="57" t="s">
        <v>520</v>
      </c>
      <c r="F1125" s="57" t="s">
        <v>521</v>
      </c>
      <c r="G1125" s="57" t="s">
        <v>522</v>
      </c>
      <c r="H1125" s="57" t="s">
        <v>523</v>
      </c>
      <c r="I1125" s="57" t="s">
        <v>1802</v>
      </c>
      <c r="J1125" s="57" t="s">
        <v>52</v>
      </c>
      <c r="K1125" s="57" t="s">
        <v>591</v>
      </c>
      <c r="L1125" s="11" t="s">
        <v>914</v>
      </c>
      <c r="M1125" s="22">
        <v>1</v>
      </c>
      <c r="N1125" s="46">
        <v>446429</v>
      </c>
      <c r="O1125" s="49">
        <f t="shared" si="23"/>
        <v>446429</v>
      </c>
      <c r="P1125" s="5" t="s">
        <v>393</v>
      </c>
      <c r="Q1125" s="5" t="s">
        <v>394</v>
      </c>
      <c r="R1125" s="11" t="s">
        <v>2022</v>
      </c>
      <c r="S1125" s="22">
        <v>100</v>
      </c>
    </row>
    <row r="1126" spans="1:19" s="13" customFormat="1" ht="76.5">
      <c r="A1126" s="5">
        <v>1111</v>
      </c>
      <c r="B1126" s="29" t="s">
        <v>710</v>
      </c>
      <c r="C1126" s="35" t="s">
        <v>597</v>
      </c>
      <c r="D1126" s="5" t="s">
        <v>519</v>
      </c>
      <c r="E1126" s="57" t="s">
        <v>520</v>
      </c>
      <c r="F1126" s="57" t="s">
        <v>521</v>
      </c>
      <c r="G1126" s="57" t="s">
        <v>522</v>
      </c>
      <c r="H1126" s="57" t="s">
        <v>523</v>
      </c>
      <c r="I1126" s="57" t="s">
        <v>1802</v>
      </c>
      <c r="J1126" s="57" t="s">
        <v>52</v>
      </c>
      <c r="K1126" s="57" t="s">
        <v>591</v>
      </c>
      <c r="L1126" s="11" t="s">
        <v>914</v>
      </c>
      <c r="M1126" s="22">
        <v>1</v>
      </c>
      <c r="N1126" s="46">
        <v>446429</v>
      </c>
      <c r="O1126" s="49">
        <f t="shared" si="23"/>
        <v>446429</v>
      </c>
      <c r="P1126" s="5" t="s">
        <v>515</v>
      </c>
      <c r="Q1126" s="5" t="s">
        <v>394</v>
      </c>
      <c r="R1126" s="11" t="s">
        <v>2023</v>
      </c>
      <c r="S1126" s="22">
        <v>100</v>
      </c>
    </row>
    <row r="1127" spans="1:19" ht="76.5" outlineLevel="1">
      <c r="A1127" s="5">
        <v>1112</v>
      </c>
      <c r="B1127" s="29" t="s">
        <v>710</v>
      </c>
      <c r="C1127" s="35" t="s">
        <v>597</v>
      </c>
      <c r="D1127" s="5" t="s">
        <v>519</v>
      </c>
      <c r="E1127" s="57" t="s">
        <v>520</v>
      </c>
      <c r="F1127" s="57" t="s">
        <v>521</v>
      </c>
      <c r="G1127" s="57" t="s">
        <v>522</v>
      </c>
      <c r="H1127" s="57" t="s">
        <v>523</v>
      </c>
      <c r="I1127" s="57" t="s">
        <v>1802</v>
      </c>
      <c r="J1127" s="57" t="s">
        <v>52</v>
      </c>
      <c r="K1127" s="57" t="s">
        <v>591</v>
      </c>
      <c r="L1127" s="11" t="s">
        <v>914</v>
      </c>
      <c r="M1127" s="22">
        <v>1</v>
      </c>
      <c r="N1127" s="46">
        <v>446429</v>
      </c>
      <c r="O1127" s="49">
        <f t="shared" si="23"/>
        <v>446429</v>
      </c>
      <c r="P1127" s="5" t="s">
        <v>515</v>
      </c>
      <c r="Q1127" s="5" t="s">
        <v>394</v>
      </c>
      <c r="R1127" s="11" t="s">
        <v>633</v>
      </c>
      <c r="S1127" s="22">
        <v>100</v>
      </c>
    </row>
    <row r="1128" spans="1:19" ht="76.5" outlineLevel="1">
      <c r="A1128" s="5">
        <v>1113</v>
      </c>
      <c r="B1128" s="29" t="s">
        <v>710</v>
      </c>
      <c r="C1128" s="35" t="s">
        <v>597</v>
      </c>
      <c r="D1128" s="5" t="s">
        <v>519</v>
      </c>
      <c r="E1128" s="57" t="s">
        <v>520</v>
      </c>
      <c r="F1128" s="57" t="s">
        <v>521</v>
      </c>
      <c r="G1128" s="57" t="s">
        <v>522</v>
      </c>
      <c r="H1128" s="57" t="s">
        <v>523</v>
      </c>
      <c r="I1128" s="57" t="s">
        <v>1802</v>
      </c>
      <c r="J1128" s="57" t="s">
        <v>52</v>
      </c>
      <c r="K1128" s="57" t="s">
        <v>591</v>
      </c>
      <c r="L1128" s="11" t="s">
        <v>914</v>
      </c>
      <c r="M1128" s="22">
        <v>1</v>
      </c>
      <c r="N1128" s="46">
        <v>446429</v>
      </c>
      <c r="O1128" s="49">
        <f t="shared" si="23"/>
        <v>446429</v>
      </c>
      <c r="P1128" s="5" t="s">
        <v>612</v>
      </c>
      <c r="Q1128" s="5" t="s">
        <v>394</v>
      </c>
      <c r="R1128" s="11">
        <v>311000000</v>
      </c>
      <c r="S1128" s="22">
        <v>100</v>
      </c>
    </row>
    <row r="1129" spans="1:19" s="36" customFormat="1" ht="76.5" outlineLevel="1">
      <c r="A1129" s="5">
        <v>1114</v>
      </c>
      <c r="B1129" s="29" t="s">
        <v>710</v>
      </c>
      <c r="C1129" s="35" t="s">
        <v>597</v>
      </c>
      <c r="D1129" s="5" t="s">
        <v>519</v>
      </c>
      <c r="E1129" s="57" t="s">
        <v>520</v>
      </c>
      <c r="F1129" s="57" t="s">
        <v>521</v>
      </c>
      <c r="G1129" s="57" t="s">
        <v>522</v>
      </c>
      <c r="H1129" s="57" t="s">
        <v>523</v>
      </c>
      <c r="I1129" s="57" t="s">
        <v>1802</v>
      </c>
      <c r="J1129" s="57" t="s">
        <v>52</v>
      </c>
      <c r="K1129" s="57" t="s">
        <v>591</v>
      </c>
      <c r="L1129" s="11" t="s">
        <v>914</v>
      </c>
      <c r="M1129" s="22">
        <v>1</v>
      </c>
      <c r="N1129" s="46">
        <v>446429</v>
      </c>
      <c r="O1129" s="49">
        <f t="shared" si="23"/>
        <v>446429</v>
      </c>
      <c r="P1129" s="5" t="s">
        <v>393</v>
      </c>
      <c r="Q1129" s="5" t="s">
        <v>394</v>
      </c>
      <c r="R1129" s="11" t="s">
        <v>2024</v>
      </c>
      <c r="S1129" s="22">
        <v>100</v>
      </c>
    </row>
    <row r="1130" spans="1:19" s="36" customFormat="1" ht="76.5" outlineLevel="1">
      <c r="A1130" s="5">
        <v>1115</v>
      </c>
      <c r="B1130" s="29" t="s">
        <v>710</v>
      </c>
      <c r="C1130" s="35" t="s">
        <v>597</v>
      </c>
      <c r="D1130" s="5" t="s">
        <v>519</v>
      </c>
      <c r="E1130" s="57" t="s">
        <v>520</v>
      </c>
      <c r="F1130" s="57" t="s">
        <v>521</v>
      </c>
      <c r="G1130" s="57" t="s">
        <v>522</v>
      </c>
      <c r="H1130" s="57" t="s">
        <v>523</v>
      </c>
      <c r="I1130" s="57" t="s">
        <v>1802</v>
      </c>
      <c r="J1130" s="57" t="s">
        <v>52</v>
      </c>
      <c r="K1130" s="57" t="s">
        <v>591</v>
      </c>
      <c r="L1130" s="11" t="s">
        <v>914</v>
      </c>
      <c r="M1130" s="22">
        <v>1</v>
      </c>
      <c r="N1130" s="46">
        <f>O1130/M1130</f>
        <v>346429</v>
      </c>
      <c r="O1130" s="49">
        <f>446429-100000</f>
        <v>346429</v>
      </c>
      <c r="P1130" s="5" t="s">
        <v>612</v>
      </c>
      <c r="Q1130" s="5" t="s">
        <v>394</v>
      </c>
      <c r="R1130" s="11">
        <v>351000000</v>
      </c>
      <c r="S1130" s="22">
        <v>100</v>
      </c>
    </row>
    <row r="1131" spans="1:19" ht="76.5" outlineLevel="1">
      <c r="A1131" s="5">
        <v>1116</v>
      </c>
      <c r="B1131" s="29" t="s">
        <v>710</v>
      </c>
      <c r="C1131" s="35" t="s">
        <v>597</v>
      </c>
      <c r="D1131" s="5" t="s">
        <v>519</v>
      </c>
      <c r="E1131" s="57" t="s">
        <v>520</v>
      </c>
      <c r="F1131" s="57" t="s">
        <v>521</v>
      </c>
      <c r="G1131" s="57" t="s">
        <v>522</v>
      </c>
      <c r="H1131" s="57" t="s">
        <v>523</v>
      </c>
      <c r="I1131" s="57" t="s">
        <v>1802</v>
      </c>
      <c r="J1131" s="57" t="s">
        <v>52</v>
      </c>
      <c r="K1131" s="57" t="s">
        <v>591</v>
      </c>
      <c r="L1131" s="11" t="s">
        <v>914</v>
      </c>
      <c r="M1131" s="22">
        <v>1</v>
      </c>
      <c r="N1131" s="46">
        <v>446429</v>
      </c>
      <c r="O1131" s="49">
        <f t="shared" si="23"/>
        <v>446429</v>
      </c>
      <c r="P1131" s="5" t="s">
        <v>515</v>
      </c>
      <c r="Q1131" s="5" t="s">
        <v>394</v>
      </c>
      <c r="R1131" s="11" t="s">
        <v>925</v>
      </c>
      <c r="S1131" s="22">
        <v>100</v>
      </c>
    </row>
    <row r="1132" spans="1:19" s="36" customFormat="1" ht="76.5" outlineLevel="1">
      <c r="A1132" s="5">
        <v>1117</v>
      </c>
      <c r="B1132" s="29" t="s">
        <v>710</v>
      </c>
      <c r="C1132" s="35" t="s">
        <v>597</v>
      </c>
      <c r="D1132" s="5" t="s">
        <v>519</v>
      </c>
      <c r="E1132" s="57" t="s">
        <v>520</v>
      </c>
      <c r="F1132" s="57" t="s">
        <v>521</v>
      </c>
      <c r="G1132" s="57" t="s">
        <v>522</v>
      </c>
      <c r="H1132" s="57" t="s">
        <v>523</v>
      </c>
      <c r="I1132" s="57" t="s">
        <v>1802</v>
      </c>
      <c r="J1132" s="57" t="s">
        <v>52</v>
      </c>
      <c r="K1132" s="57" t="s">
        <v>591</v>
      </c>
      <c r="L1132" s="11" t="s">
        <v>914</v>
      </c>
      <c r="M1132" s="22">
        <v>1</v>
      </c>
      <c r="N1132" s="46">
        <v>446429</v>
      </c>
      <c r="O1132" s="49">
        <f t="shared" si="23"/>
        <v>446429</v>
      </c>
      <c r="P1132" s="5" t="s">
        <v>501</v>
      </c>
      <c r="Q1132" s="5" t="s">
        <v>394</v>
      </c>
      <c r="R1132" s="11">
        <v>431000000</v>
      </c>
      <c r="S1132" s="22">
        <v>100</v>
      </c>
    </row>
    <row r="1133" spans="1:19" s="36" customFormat="1" ht="48.75" customHeight="1" outlineLevel="1">
      <c r="A1133" s="5">
        <v>1118</v>
      </c>
      <c r="B1133" s="29" t="s">
        <v>710</v>
      </c>
      <c r="C1133" s="35" t="s">
        <v>597</v>
      </c>
      <c r="D1133" s="5" t="s">
        <v>519</v>
      </c>
      <c r="E1133" s="57" t="s">
        <v>520</v>
      </c>
      <c r="F1133" s="57" t="s">
        <v>521</v>
      </c>
      <c r="G1133" s="57" t="s">
        <v>522</v>
      </c>
      <c r="H1133" s="57" t="s">
        <v>523</v>
      </c>
      <c r="I1133" s="57" t="s">
        <v>1802</v>
      </c>
      <c r="J1133" s="57" t="s">
        <v>52</v>
      </c>
      <c r="K1133" s="57" t="s">
        <v>591</v>
      </c>
      <c r="L1133" s="11" t="s">
        <v>914</v>
      </c>
      <c r="M1133" s="52">
        <v>1</v>
      </c>
      <c r="N1133" s="46">
        <v>446429</v>
      </c>
      <c r="O1133" s="49">
        <f t="shared" si="23"/>
        <v>446429</v>
      </c>
      <c r="P1133" s="5" t="s">
        <v>393</v>
      </c>
      <c r="Q1133" s="5" t="s">
        <v>394</v>
      </c>
      <c r="R1133" s="11" t="s">
        <v>715</v>
      </c>
      <c r="S1133" s="22">
        <v>100</v>
      </c>
    </row>
    <row r="1134" spans="1:19" s="32" customFormat="1" ht="64.5" customHeight="1">
      <c r="A1134" s="5">
        <v>1119</v>
      </c>
      <c r="B1134" s="29" t="s">
        <v>710</v>
      </c>
      <c r="C1134" s="35" t="s">
        <v>597</v>
      </c>
      <c r="D1134" s="5" t="s">
        <v>519</v>
      </c>
      <c r="E1134" s="57" t="s">
        <v>520</v>
      </c>
      <c r="F1134" s="57" t="s">
        <v>521</v>
      </c>
      <c r="G1134" s="57" t="s">
        <v>522</v>
      </c>
      <c r="H1134" s="57" t="s">
        <v>523</v>
      </c>
      <c r="I1134" s="57" t="s">
        <v>1802</v>
      </c>
      <c r="J1134" s="57" t="s">
        <v>52</v>
      </c>
      <c r="K1134" s="57" t="s">
        <v>591</v>
      </c>
      <c r="L1134" s="11" t="s">
        <v>914</v>
      </c>
      <c r="M1134" s="22">
        <v>1</v>
      </c>
      <c r="N1134" s="46">
        <v>446429</v>
      </c>
      <c r="O1134" s="49">
        <f t="shared" si="23"/>
        <v>446429</v>
      </c>
      <c r="P1134" s="5" t="s">
        <v>612</v>
      </c>
      <c r="Q1134" s="5" t="s">
        <v>394</v>
      </c>
      <c r="R1134" s="11">
        <v>551000000</v>
      </c>
      <c r="S1134" s="22">
        <v>100</v>
      </c>
    </row>
    <row r="1135" spans="1:19" s="36" customFormat="1" ht="76.5" outlineLevel="1">
      <c r="A1135" s="5">
        <v>1120</v>
      </c>
      <c r="B1135" s="29" t="s">
        <v>710</v>
      </c>
      <c r="C1135" s="35" t="s">
        <v>597</v>
      </c>
      <c r="D1135" s="5" t="s">
        <v>519</v>
      </c>
      <c r="E1135" s="57" t="s">
        <v>520</v>
      </c>
      <c r="F1135" s="57" t="s">
        <v>521</v>
      </c>
      <c r="G1135" s="57" t="s">
        <v>522</v>
      </c>
      <c r="H1135" s="57" t="s">
        <v>523</v>
      </c>
      <c r="I1135" s="57" t="s">
        <v>1802</v>
      </c>
      <c r="J1135" s="57" t="s">
        <v>52</v>
      </c>
      <c r="K1135" s="57" t="s">
        <v>591</v>
      </c>
      <c r="L1135" s="11" t="s">
        <v>914</v>
      </c>
      <c r="M1135" s="22">
        <v>1</v>
      </c>
      <c r="N1135" s="46">
        <v>446429</v>
      </c>
      <c r="O1135" s="49">
        <f t="shared" si="23"/>
        <v>446429</v>
      </c>
      <c r="P1135" s="5" t="s">
        <v>612</v>
      </c>
      <c r="Q1135" s="5" t="s">
        <v>394</v>
      </c>
      <c r="R1135" s="11">
        <v>591000000</v>
      </c>
      <c r="S1135" s="22">
        <v>100</v>
      </c>
    </row>
    <row r="1136" spans="1:19" s="36" customFormat="1" ht="76.5" outlineLevel="1">
      <c r="A1136" s="5">
        <v>1121</v>
      </c>
      <c r="B1136" s="29" t="s">
        <v>710</v>
      </c>
      <c r="C1136" s="35" t="s">
        <v>597</v>
      </c>
      <c r="D1136" s="5" t="s">
        <v>519</v>
      </c>
      <c r="E1136" s="57" t="s">
        <v>520</v>
      </c>
      <c r="F1136" s="57" t="s">
        <v>521</v>
      </c>
      <c r="G1136" s="57" t="s">
        <v>522</v>
      </c>
      <c r="H1136" s="57" t="s">
        <v>523</v>
      </c>
      <c r="I1136" s="57" t="s">
        <v>1802</v>
      </c>
      <c r="J1136" s="57" t="s">
        <v>52</v>
      </c>
      <c r="K1136" s="57" t="s">
        <v>591</v>
      </c>
      <c r="L1136" s="11" t="s">
        <v>914</v>
      </c>
      <c r="M1136" s="22">
        <v>1</v>
      </c>
      <c r="N1136" s="46">
        <v>446429</v>
      </c>
      <c r="O1136" s="49">
        <f t="shared" si="23"/>
        <v>446429</v>
      </c>
      <c r="P1136" s="5" t="s">
        <v>501</v>
      </c>
      <c r="Q1136" s="5" t="s">
        <v>394</v>
      </c>
      <c r="R1136" s="11" t="s">
        <v>2029</v>
      </c>
      <c r="S1136" s="22">
        <v>100</v>
      </c>
    </row>
    <row r="1137" spans="1:16367" ht="51" outlineLevel="1">
      <c r="A1137" s="5">
        <v>1122</v>
      </c>
      <c r="B1137" s="15" t="s">
        <v>710</v>
      </c>
      <c r="C1137" s="5" t="s">
        <v>597</v>
      </c>
      <c r="D1137" s="11" t="s">
        <v>540</v>
      </c>
      <c r="E1137" s="57" t="s">
        <v>2031</v>
      </c>
      <c r="F1137" s="57" t="s">
        <v>541</v>
      </c>
      <c r="G1137" s="57" t="s">
        <v>2031</v>
      </c>
      <c r="H1137" s="57" t="s">
        <v>541</v>
      </c>
      <c r="I1137" s="57" t="s">
        <v>2032</v>
      </c>
      <c r="J1137" s="57" t="s">
        <v>53</v>
      </c>
      <c r="K1137" s="57" t="s">
        <v>591</v>
      </c>
      <c r="L1137" s="11" t="s">
        <v>914</v>
      </c>
      <c r="M1137" s="22">
        <v>1</v>
      </c>
      <c r="N1137" s="46">
        <v>353571</v>
      </c>
      <c r="O1137" s="49">
        <f t="shared" si="23"/>
        <v>353571</v>
      </c>
      <c r="P1137" s="5" t="s">
        <v>393</v>
      </c>
      <c r="Q1137" s="5" t="s">
        <v>766</v>
      </c>
      <c r="R1137" s="11" t="s">
        <v>1021</v>
      </c>
      <c r="S1137" s="5">
        <v>0</v>
      </c>
    </row>
    <row r="1138" spans="1:16367" ht="51" outlineLevel="1">
      <c r="A1138" s="5">
        <v>1123</v>
      </c>
      <c r="B1138" s="15" t="s">
        <v>710</v>
      </c>
      <c r="C1138" s="5" t="s">
        <v>597</v>
      </c>
      <c r="D1138" s="11" t="s">
        <v>540</v>
      </c>
      <c r="E1138" s="57" t="s">
        <v>2031</v>
      </c>
      <c r="F1138" s="57" t="s">
        <v>541</v>
      </c>
      <c r="G1138" s="57" t="s">
        <v>2031</v>
      </c>
      <c r="H1138" s="57" t="s">
        <v>541</v>
      </c>
      <c r="I1138" s="57" t="s">
        <v>2355</v>
      </c>
      <c r="J1138" s="57" t="s">
        <v>53</v>
      </c>
      <c r="K1138" s="57" t="s">
        <v>1484</v>
      </c>
      <c r="L1138" s="11" t="s">
        <v>914</v>
      </c>
      <c r="M1138" s="22">
        <v>1</v>
      </c>
      <c r="N1138" s="46">
        <f>O1138/M1138</f>
        <v>3300000</v>
      </c>
      <c r="O1138" s="49">
        <v>3300000</v>
      </c>
      <c r="P1138" s="5" t="s">
        <v>393</v>
      </c>
      <c r="Q1138" s="5" t="s">
        <v>766</v>
      </c>
      <c r="R1138" s="11" t="s">
        <v>2027</v>
      </c>
      <c r="S1138" s="22">
        <v>30</v>
      </c>
    </row>
    <row r="1139" spans="1:16367" ht="51" outlineLevel="1">
      <c r="A1139" s="5">
        <v>1124</v>
      </c>
      <c r="B1139" s="15" t="s">
        <v>710</v>
      </c>
      <c r="C1139" s="5" t="s">
        <v>597</v>
      </c>
      <c r="D1139" s="11" t="s">
        <v>540</v>
      </c>
      <c r="E1139" s="57" t="s">
        <v>2031</v>
      </c>
      <c r="F1139" s="57" t="s">
        <v>541</v>
      </c>
      <c r="G1139" s="57" t="s">
        <v>2031</v>
      </c>
      <c r="H1139" s="57" t="s">
        <v>541</v>
      </c>
      <c r="I1139" s="57" t="s">
        <v>2032</v>
      </c>
      <c r="J1139" s="57" t="s">
        <v>53</v>
      </c>
      <c r="K1139" s="57" t="s">
        <v>591</v>
      </c>
      <c r="L1139" s="11" t="s">
        <v>914</v>
      </c>
      <c r="M1139" s="22">
        <v>1</v>
      </c>
      <c r="N1139" s="46">
        <f>O1139</f>
        <v>0</v>
      </c>
      <c r="O1139" s="49">
        <f>1446429-800000-169875-476554</f>
        <v>0</v>
      </c>
      <c r="P1139" s="5" t="s">
        <v>502</v>
      </c>
      <c r="Q1139" s="5" t="s">
        <v>766</v>
      </c>
      <c r="R1139" s="11" t="s">
        <v>2022</v>
      </c>
      <c r="S1139" s="22">
        <v>30</v>
      </c>
    </row>
    <row r="1140" spans="1:16367" ht="51" outlineLevel="1">
      <c r="A1140" s="5">
        <v>1125</v>
      </c>
      <c r="B1140" s="29" t="s">
        <v>710</v>
      </c>
      <c r="C1140" s="35" t="s">
        <v>597</v>
      </c>
      <c r="D1140" s="11" t="s">
        <v>540</v>
      </c>
      <c r="E1140" s="57" t="s">
        <v>2031</v>
      </c>
      <c r="F1140" s="57" t="s">
        <v>541</v>
      </c>
      <c r="G1140" s="57" t="s">
        <v>2031</v>
      </c>
      <c r="H1140" s="57" t="s">
        <v>541</v>
      </c>
      <c r="I1140" s="57" t="s">
        <v>2032</v>
      </c>
      <c r="J1140" s="57" t="s">
        <v>53</v>
      </c>
      <c r="K1140" s="57" t="s">
        <v>591</v>
      </c>
      <c r="L1140" s="11" t="s">
        <v>914</v>
      </c>
      <c r="M1140" s="22">
        <v>1</v>
      </c>
      <c r="N1140" s="46">
        <v>401250</v>
      </c>
      <c r="O1140" s="49">
        <f t="shared" ref="O1140:O1150" si="24">M1140*N1140</f>
        <v>401250</v>
      </c>
      <c r="P1140" s="5" t="s">
        <v>502</v>
      </c>
      <c r="Q1140" s="5" t="s">
        <v>766</v>
      </c>
      <c r="R1140" s="11" t="s">
        <v>2030</v>
      </c>
      <c r="S1140" s="22">
        <v>0</v>
      </c>
    </row>
    <row r="1141" spans="1:16367" ht="51" outlineLevel="1">
      <c r="A1141" s="5">
        <v>1126</v>
      </c>
      <c r="B1141" s="29" t="s">
        <v>710</v>
      </c>
      <c r="C1141" s="35" t="s">
        <v>597</v>
      </c>
      <c r="D1141" s="5" t="s">
        <v>702</v>
      </c>
      <c r="E1141" s="57" t="s">
        <v>777</v>
      </c>
      <c r="F1141" s="57" t="s">
        <v>703</v>
      </c>
      <c r="G1141" s="57" t="s">
        <v>777</v>
      </c>
      <c r="H1141" s="57" t="s">
        <v>703</v>
      </c>
      <c r="I1141" s="57" t="s">
        <v>2372</v>
      </c>
      <c r="J1141" s="57" t="s">
        <v>2373</v>
      </c>
      <c r="K1141" s="57" t="s">
        <v>591</v>
      </c>
      <c r="L1141" s="11" t="s">
        <v>914</v>
      </c>
      <c r="M1141" s="22">
        <v>1</v>
      </c>
      <c r="N1141" s="46">
        <f>O1141</f>
        <v>49899733.309999995</v>
      </c>
      <c r="O1141" s="49">
        <f>48000000-2153571.42+4053304.73</f>
        <v>49899733.309999995</v>
      </c>
      <c r="P1141" s="5" t="s">
        <v>515</v>
      </c>
      <c r="Q1141" s="5" t="s">
        <v>766</v>
      </c>
      <c r="R1141" s="11" t="s">
        <v>2022</v>
      </c>
      <c r="S1141" s="22">
        <v>0</v>
      </c>
    </row>
    <row r="1142" spans="1:16367" ht="51" outlineLevel="1">
      <c r="A1142" s="5">
        <v>1127</v>
      </c>
      <c r="B1142" s="29" t="s">
        <v>710</v>
      </c>
      <c r="C1142" s="35" t="s">
        <v>597</v>
      </c>
      <c r="D1142" s="5" t="s">
        <v>702</v>
      </c>
      <c r="E1142" s="57" t="s">
        <v>777</v>
      </c>
      <c r="F1142" s="57" t="s">
        <v>703</v>
      </c>
      <c r="G1142" s="57" t="s">
        <v>777</v>
      </c>
      <c r="H1142" s="57" t="s">
        <v>703</v>
      </c>
      <c r="I1142" s="57" t="s">
        <v>2372</v>
      </c>
      <c r="J1142" s="57" t="s">
        <v>2373</v>
      </c>
      <c r="K1142" s="57" t="s">
        <v>591</v>
      </c>
      <c r="L1142" s="11" t="s">
        <v>914</v>
      </c>
      <c r="M1142" s="22">
        <v>1</v>
      </c>
      <c r="N1142" s="46">
        <f>O1142/M1142</f>
        <v>10994581</v>
      </c>
      <c r="O1142" s="49">
        <f>19285714-1900000-550000-225360-887477-800000-550000-350000-759286-357142-73100-200000-180000-570000-580357-84000-224411</f>
        <v>10994581</v>
      </c>
      <c r="P1142" s="5" t="s">
        <v>393</v>
      </c>
      <c r="Q1142" s="5" t="s">
        <v>766</v>
      </c>
      <c r="R1142" s="11" t="s">
        <v>2024</v>
      </c>
      <c r="S1142" s="5">
        <v>0</v>
      </c>
    </row>
    <row r="1143" spans="1:16367" ht="51">
      <c r="A1143" s="5">
        <v>1128</v>
      </c>
      <c r="B1143" s="15" t="s">
        <v>710</v>
      </c>
      <c r="C1143" s="5" t="s">
        <v>597</v>
      </c>
      <c r="D1143" s="5" t="s">
        <v>702</v>
      </c>
      <c r="E1143" s="57" t="s">
        <v>777</v>
      </c>
      <c r="F1143" s="57" t="s">
        <v>703</v>
      </c>
      <c r="G1143" s="57" t="s">
        <v>777</v>
      </c>
      <c r="H1143" s="57" t="s">
        <v>703</v>
      </c>
      <c r="I1143" s="57" t="s">
        <v>2372</v>
      </c>
      <c r="J1143" s="57" t="s">
        <v>2373</v>
      </c>
      <c r="K1143" s="57" t="s">
        <v>591</v>
      </c>
      <c r="L1143" s="11" t="s">
        <v>914</v>
      </c>
      <c r="M1143" s="22">
        <v>1</v>
      </c>
      <c r="N1143" s="46">
        <f>O1143</f>
        <v>4371429</v>
      </c>
      <c r="O1143" s="49">
        <f>15205714-10834285</f>
        <v>4371429</v>
      </c>
      <c r="P1143" s="5" t="s">
        <v>393</v>
      </c>
      <c r="Q1143" s="5" t="s">
        <v>766</v>
      </c>
      <c r="R1143" s="11">
        <v>351000000</v>
      </c>
      <c r="S1143" s="22">
        <v>0</v>
      </c>
    </row>
    <row r="1144" spans="1:16367" ht="51">
      <c r="A1144" s="5">
        <v>1129</v>
      </c>
      <c r="B1144" s="29" t="s">
        <v>710</v>
      </c>
      <c r="C1144" s="35" t="s">
        <v>597</v>
      </c>
      <c r="D1144" s="5" t="s">
        <v>702</v>
      </c>
      <c r="E1144" s="57" t="s">
        <v>777</v>
      </c>
      <c r="F1144" s="57" t="s">
        <v>703</v>
      </c>
      <c r="G1144" s="57" t="s">
        <v>777</v>
      </c>
      <c r="H1144" s="57" t="s">
        <v>703</v>
      </c>
      <c r="I1144" s="57" t="s">
        <v>2372</v>
      </c>
      <c r="J1144" s="57" t="s">
        <v>2373</v>
      </c>
      <c r="K1144" s="57" t="s">
        <v>591</v>
      </c>
      <c r="L1144" s="11" t="s">
        <v>914</v>
      </c>
      <c r="M1144" s="22">
        <v>1</v>
      </c>
      <c r="N1144" s="46">
        <v>16781250</v>
      </c>
      <c r="O1144" s="49">
        <f t="shared" si="24"/>
        <v>16781250</v>
      </c>
      <c r="P1144" s="5" t="s">
        <v>393</v>
      </c>
      <c r="Q1144" s="5" t="s">
        <v>766</v>
      </c>
      <c r="R1144" s="11" t="s">
        <v>925</v>
      </c>
      <c r="S1144" s="22">
        <v>0</v>
      </c>
    </row>
    <row r="1145" spans="1:16367" ht="51">
      <c r="A1145" s="5">
        <v>1130</v>
      </c>
      <c r="B1145" s="29" t="s">
        <v>710</v>
      </c>
      <c r="C1145" s="35" t="s">
        <v>597</v>
      </c>
      <c r="D1145" s="5" t="s">
        <v>702</v>
      </c>
      <c r="E1145" s="57" t="s">
        <v>777</v>
      </c>
      <c r="F1145" s="57" t="s">
        <v>703</v>
      </c>
      <c r="G1145" s="57" t="s">
        <v>777</v>
      </c>
      <c r="H1145" s="57" t="s">
        <v>703</v>
      </c>
      <c r="I1145" s="57" t="s">
        <v>2372</v>
      </c>
      <c r="J1145" s="57" t="s">
        <v>2373</v>
      </c>
      <c r="K1145" s="57" t="s">
        <v>591</v>
      </c>
      <c r="L1145" s="11" t="s">
        <v>914</v>
      </c>
      <c r="M1145" s="22">
        <v>1</v>
      </c>
      <c r="N1145" s="46">
        <v>19325280</v>
      </c>
      <c r="O1145" s="49">
        <f t="shared" si="24"/>
        <v>19325280</v>
      </c>
      <c r="P1145" s="5" t="s">
        <v>393</v>
      </c>
      <c r="Q1145" s="5" t="s">
        <v>766</v>
      </c>
      <c r="R1145" s="11" t="s">
        <v>715</v>
      </c>
      <c r="S1145" s="22">
        <v>0</v>
      </c>
    </row>
    <row r="1146" spans="1:16367" ht="51">
      <c r="A1146" s="5">
        <v>1131</v>
      </c>
      <c r="B1146" s="29" t="s">
        <v>710</v>
      </c>
      <c r="C1146" s="35" t="s">
        <v>597</v>
      </c>
      <c r="D1146" s="5" t="s">
        <v>702</v>
      </c>
      <c r="E1146" s="57" t="s">
        <v>777</v>
      </c>
      <c r="F1146" s="57" t="s">
        <v>703</v>
      </c>
      <c r="G1146" s="57" t="s">
        <v>777</v>
      </c>
      <c r="H1146" s="57" t="s">
        <v>703</v>
      </c>
      <c r="I1146" s="57" t="s">
        <v>2372</v>
      </c>
      <c r="J1146" s="57" t="s">
        <v>2373</v>
      </c>
      <c r="K1146" s="57" t="s">
        <v>591</v>
      </c>
      <c r="L1146" s="11" t="s">
        <v>914</v>
      </c>
      <c r="M1146" s="22">
        <v>1</v>
      </c>
      <c r="N1146" s="46">
        <f>O1146/M1146</f>
        <v>19289160</v>
      </c>
      <c r="O1146" s="49">
        <f>16781250+2507910</f>
        <v>19289160</v>
      </c>
      <c r="P1146" s="5" t="s">
        <v>393</v>
      </c>
      <c r="Q1146" s="5" t="s">
        <v>766</v>
      </c>
      <c r="R1146" s="11">
        <v>591000000</v>
      </c>
      <c r="S1146" s="5">
        <v>0</v>
      </c>
    </row>
    <row r="1147" spans="1:16367" ht="51" outlineLevel="1">
      <c r="A1147" s="5">
        <v>1132</v>
      </c>
      <c r="B1147" s="29" t="s">
        <v>710</v>
      </c>
      <c r="C1147" s="35" t="s">
        <v>597</v>
      </c>
      <c r="D1147" s="5" t="s">
        <v>702</v>
      </c>
      <c r="E1147" s="57" t="s">
        <v>777</v>
      </c>
      <c r="F1147" s="57" t="s">
        <v>703</v>
      </c>
      <c r="G1147" s="57" t="s">
        <v>777</v>
      </c>
      <c r="H1147" s="57" t="s">
        <v>703</v>
      </c>
      <c r="I1147" s="57" t="s">
        <v>2372</v>
      </c>
      <c r="J1147" s="57" t="s">
        <v>2373</v>
      </c>
      <c r="K1147" s="57" t="s">
        <v>591</v>
      </c>
      <c r="L1147" s="11" t="s">
        <v>914</v>
      </c>
      <c r="M1147" s="22">
        <v>1</v>
      </c>
      <c r="N1147" s="46">
        <f>O1147/M1147</f>
        <v>5508660</v>
      </c>
      <c r="O1147" s="49">
        <f>5957143-448483</f>
        <v>5508660</v>
      </c>
      <c r="P1147" s="5" t="s">
        <v>393</v>
      </c>
      <c r="Q1147" s="5" t="s">
        <v>766</v>
      </c>
      <c r="R1147" s="11" t="s">
        <v>694</v>
      </c>
      <c r="S1147" s="22">
        <v>0</v>
      </c>
    </row>
    <row r="1148" spans="1:16367" ht="51" outlineLevel="1">
      <c r="A1148" s="5">
        <v>1133</v>
      </c>
      <c r="B1148" s="29" t="s">
        <v>710</v>
      </c>
      <c r="C1148" s="35" t="s">
        <v>597</v>
      </c>
      <c r="D1148" s="5" t="s">
        <v>702</v>
      </c>
      <c r="E1148" s="57" t="s">
        <v>777</v>
      </c>
      <c r="F1148" s="57" t="s">
        <v>703</v>
      </c>
      <c r="G1148" s="57" t="s">
        <v>777</v>
      </c>
      <c r="H1148" s="57" t="s">
        <v>703</v>
      </c>
      <c r="I1148" s="57" t="s">
        <v>2372</v>
      </c>
      <c r="J1148" s="57" t="s">
        <v>2373</v>
      </c>
      <c r="K1148" s="57" t="s">
        <v>591</v>
      </c>
      <c r="L1148" s="11" t="s">
        <v>914</v>
      </c>
      <c r="M1148" s="22">
        <v>1</v>
      </c>
      <c r="N1148" s="46">
        <f>O1148/M1148</f>
        <v>0</v>
      </c>
      <c r="O1148" s="49">
        <f>548571-548571</f>
        <v>0</v>
      </c>
      <c r="P1148" s="5" t="s">
        <v>393</v>
      </c>
      <c r="Q1148" s="5" t="s">
        <v>766</v>
      </c>
      <c r="R1148" s="11">
        <v>351810000</v>
      </c>
      <c r="S1148" s="22">
        <v>0</v>
      </c>
    </row>
    <row r="1149" spans="1:16367" ht="51" outlineLevel="1">
      <c r="A1149" s="5">
        <v>1134</v>
      </c>
      <c r="B1149" s="29" t="s">
        <v>710</v>
      </c>
      <c r="C1149" s="35" t="s">
        <v>597</v>
      </c>
      <c r="D1149" s="5" t="s">
        <v>702</v>
      </c>
      <c r="E1149" s="57" t="s">
        <v>777</v>
      </c>
      <c r="F1149" s="57" t="s">
        <v>703</v>
      </c>
      <c r="G1149" s="57" t="s">
        <v>777</v>
      </c>
      <c r="H1149" s="57" t="s">
        <v>703</v>
      </c>
      <c r="I1149" s="57" t="s">
        <v>2372</v>
      </c>
      <c r="J1149" s="57" t="s">
        <v>2373</v>
      </c>
      <c r="K1149" s="57" t="s">
        <v>591</v>
      </c>
      <c r="L1149" s="11" t="s">
        <v>914</v>
      </c>
      <c r="M1149" s="22">
        <v>1</v>
      </c>
      <c r="N1149" s="46">
        <v>428571</v>
      </c>
      <c r="O1149" s="49">
        <f t="shared" si="24"/>
        <v>428571</v>
      </c>
      <c r="P1149" s="5" t="s">
        <v>393</v>
      </c>
      <c r="Q1149" s="5" t="s">
        <v>766</v>
      </c>
      <c r="R1149" s="11" t="s">
        <v>2025</v>
      </c>
      <c r="S1149" s="22">
        <v>0</v>
      </c>
    </row>
    <row r="1150" spans="1:16367" ht="51" outlineLevel="1">
      <c r="A1150" s="5">
        <v>1135</v>
      </c>
      <c r="B1150" s="29" t="s">
        <v>710</v>
      </c>
      <c r="C1150" s="35" t="s">
        <v>597</v>
      </c>
      <c r="D1150" s="5" t="s">
        <v>702</v>
      </c>
      <c r="E1150" s="57" t="s">
        <v>777</v>
      </c>
      <c r="F1150" s="57" t="s">
        <v>703</v>
      </c>
      <c r="G1150" s="57" t="s">
        <v>777</v>
      </c>
      <c r="H1150" s="57" t="s">
        <v>703</v>
      </c>
      <c r="I1150" s="57" t="s">
        <v>2372</v>
      </c>
      <c r="J1150" s="57" t="s">
        <v>2373</v>
      </c>
      <c r="K1150" s="57" t="s">
        <v>591</v>
      </c>
      <c r="L1150" s="11" t="s">
        <v>914</v>
      </c>
      <c r="M1150" s="22">
        <v>1</v>
      </c>
      <c r="N1150" s="46">
        <v>2464286</v>
      </c>
      <c r="O1150" s="49">
        <f t="shared" si="24"/>
        <v>2464286</v>
      </c>
      <c r="P1150" s="5" t="s">
        <v>393</v>
      </c>
      <c r="Q1150" s="5" t="s">
        <v>766</v>
      </c>
      <c r="R1150" s="11" t="s">
        <v>778</v>
      </c>
      <c r="S1150" s="22">
        <v>0</v>
      </c>
    </row>
    <row r="1151" spans="1:16367" ht="51" outlineLevel="1">
      <c r="A1151" s="5">
        <v>1136</v>
      </c>
      <c r="B1151" s="15" t="s">
        <v>710</v>
      </c>
      <c r="C1151" s="5" t="s">
        <v>597</v>
      </c>
      <c r="D1151" s="117" t="s">
        <v>613</v>
      </c>
      <c r="E1151" s="57" t="s">
        <v>1803</v>
      </c>
      <c r="F1151" s="57" t="s">
        <v>614</v>
      </c>
      <c r="G1151" s="57" t="s">
        <v>1804</v>
      </c>
      <c r="H1151" s="57" t="s">
        <v>615</v>
      </c>
      <c r="I1151" s="57" t="s">
        <v>1805</v>
      </c>
      <c r="J1151" s="57" t="s">
        <v>1355</v>
      </c>
      <c r="K1151" s="57" t="s">
        <v>1485</v>
      </c>
      <c r="L1151" s="11" t="s">
        <v>914</v>
      </c>
      <c r="M1151" s="22">
        <v>1</v>
      </c>
      <c r="N1151" s="46">
        <f>O1151/M1151</f>
        <v>11257144</v>
      </c>
      <c r="O1151" s="49">
        <f>12857144-1600000</f>
        <v>11257144</v>
      </c>
      <c r="P1151" s="5" t="s">
        <v>393</v>
      </c>
      <c r="Q1151" s="5" t="s">
        <v>766</v>
      </c>
      <c r="R1151" s="11" t="s">
        <v>1175</v>
      </c>
      <c r="S1151" s="22">
        <v>0</v>
      </c>
    </row>
    <row r="1152" spans="1:16367" ht="51">
      <c r="A1152" s="5">
        <v>1137</v>
      </c>
      <c r="B1152" s="15" t="s">
        <v>710</v>
      </c>
      <c r="C1152" s="5" t="s">
        <v>597</v>
      </c>
      <c r="D1152" s="31" t="s">
        <v>974</v>
      </c>
      <c r="E1152" s="57" t="s">
        <v>1166</v>
      </c>
      <c r="F1152" s="57" t="s">
        <v>56</v>
      </c>
      <c r="G1152" s="57" t="s">
        <v>1167</v>
      </c>
      <c r="H1152" s="57" t="s">
        <v>975</v>
      </c>
      <c r="I1152" s="57" t="s">
        <v>1166</v>
      </c>
      <c r="J1152" s="57" t="s">
        <v>56</v>
      </c>
      <c r="K1152" s="57" t="s">
        <v>591</v>
      </c>
      <c r="L1152" s="11" t="s">
        <v>914</v>
      </c>
      <c r="M1152" s="22">
        <v>1</v>
      </c>
      <c r="N1152" s="46">
        <v>1339286</v>
      </c>
      <c r="O1152" s="49">
        <f t="shared" ref="O1152:O1215" si="25">M1152*N1152</f>
        <v>1339286</v>
      </c>
      <c r="P1152" s="5" t="s">
        <v>699</v>
      </c>
      <c r="Q1152" s="5" t="s">
        <v>3616</v>
      </c>
      <c r="R1152" s="11" t="s">
        <v>1175</v>
      </c>
      <c r="S1152" s="5">
        <v>50</v>
      </c>
      <c r="T1152" s="13"/>
      <c r="U1152" s="13"/>
      <c r="V1152" s="13"/>
      <c r="W1152" s="13"/>
      <c r="X1152" s="13"/>
      <c r="Y1152" s="13"/>
      <c r="Z1152" s="13"/>
      <c r="AA1152" s="13"/>
      <c r="AB1152" s="13"/>
      <c r="AC1152" s="13"/>
      <c r="AD1152" s="13"/>
      <c r="AE1152" s="13"/>
      <c r="AF1152" s="13"/>
      <c r="AG1152" s="13"/>
      <c r="AH1152" s="13"/>
      <c r="AI1152" s="13"/>
      <c r="AJ1152" s="13"/>
      <c r="AK1152" s="13"/>
      <c r="AL1152" s="13"/>
      <c r="AM1152" s="13"/>
      <c r="AN1152" s="13"/>
      <c r="AO1152" s="13"/>
      <c r="AP1152" s="13"/>
      <c r="AQ1152" s="13"/>
      <c r="AR1152" s="13"/>
      <c r="AS1152" s="13"/>
      <c r="AT1152" s="13"/>
      <c r="AU1152" s="13"/>
      <c r="AV1152" s="13"/>
      <c r="AW1152" s="13"/>
      <c r="AX1152" s="13"/>
      <c r="AY1152" s="13"/>
      <c r="AZ1152" s="13"/>
      <c r="BA1152" s="13"/>
      <c r="BB1152" s="13"/>
      <c r="BC1152" s="13"/>
      <c r="BD1152" s="13"/>
      <c r="BE1152" s="13"/>
      <c r="BF1152" s="13"/>
      <c r="BG1152" s="13"/>
      <c r="BH1152" s="13"/>
      <c r="BI1152" s="13"/>
      <c r="BJ1152" s="13"/>
      <c r="BK1152" s="13"/>
      <c r="BL1152" s="13"/>
      <c r="BM1152" s="13"/>
      <c r="BN1152" s="13"/>
      <c r="BO1152" s="13"/>
      <c r="BP1152" s="13"/>
      <c r="BQ1152" s="13"/>
      <c r="BR1152" s="13"/>
      <c r="BS1152" s="13"/>
      <c r="BT1152" s="13"/>
      <c r="BU1152" s="13"/>
      <c r="BV1152" s="13"/>
      <c r="BW1152" s="13"/>
      <c r="BX1152" s="13"/>
      <c r="BY1152" s="13"/>
      <c r="BZ1152" s="13"/>
      <c r="CA1152" s="13"/>
      <c r="CB1152" s="13"/>
      <c r="CC1152" s="13"/>
      <c r="CD1152" s="13"/>
      <c r="CE1152" s="13"/>
      <c r="CF1152" s="13"/>
      <c r="CG1152" s="13"/>
      <c r="CH1152" s="13"/>
      <c r="CI1152" s="13"/>
      <c r="CJ1152" s="13"/>
      <c r="CK1152" s="13"/>
      <c r="CL1152" s="13"/>
      <c r="CM1152" s="13"/>
      <c r="CN1152" s="13"/>
      <c r="CO1152" s="13"/>
      <c r="CP1152" s="13"/>
      <c r="CQ1152" s="13"/>
      <c r="CR1152" s="13"/>
      <c r="CS1152" s="13"/>
      <c r="CT1152" s="13"/>
      <c r="CU1152" s="13"/>
      <c r="CV1152" s="13"/>
      <c r="CW1152" s="13"/>
      <c r="CX1152" s="13"/>
      <c r="CY1152" s="13"/>
      <c r="CZ1152" s="13"/>
      <c r="DA1152" s="13"/>
      <c r="DB1152" s="13"/>
      <c r="DC1152" s="13"/>
      <c r="DD1152" s="13"/>
      <c r="DE1152" s="13"/>
      <c r="DF1152" s="13"/>
      <c r="DG1152" s="13"/>
      <c r="DH1152" s="13"/>
      <c r="DI1152" s="13"/>
      <c r="DJ1152" s="13"/>
      <c r="DK1152" s="13"/>
      <c r="DL1152" s="13"/>
      <c r="DM1152" s="13"/>
      <c r="DN1152" s="13"/>
      <c r="DO1152" s="13"/>
      <c r="DP1152" s="13"/>
      <c r="DQ1152" s="13"/>
      <c r="DR1152" s="13"/>
      <c r="DS1152" s="13"/>
      <c r="DT1152" s="13"/>
      <c r="DU1152" s="13"/>
      <c r="DV1152" s="13"/>
      <c r="DW1152" s="13"/>
      <c r="DX1152" s="13"/>
      <c r="DY1152" s="13"/>
      <c r="DZ1152" s="13"/>
      <c r="EA1152" s="13"/>
      <c r="EB1152" s="13"/>
      <c r="EC1152" s="13"/>
      <c r="ED1152" s="13"/>
      <c r="EE1152" s="13"/>
      <c r="EF1152" s="13"/>
      <c r="EG1152" s="13"/>
      <c r="EH1152" s="13"/>
      <c r="EI1152" s="13"/>
      <c r="EJ1152" s="13"/>
      <c r="EK1152" s="13"/>
      <c r="EL1152" s="13"/>
      <c r="EM1152" s="13"/>
      <c r="EN1152" s="13"/>
      <c r="EO1152" s="13"/>
      <c r="EP1152" s="13"/>
      <c r="EQ1152" s="13"/>
      <c r="ER1152" s="13"/>
      <c r="ES1152" s="13"/>
      <c r="ET1152" s="13"/>
      <c r="EU1152" s="13"/>
      <c r="EV1152" s="13"/>
      <c r="EW1152" s="13"/>
      <c r="EX1152" s="13"/>
      <c r="EY1152" s="13"/>
      <c r="EZ1152" s="13"/>
      <c r="FA1152" s="13"/>
      <c r="FB1152" s="13"/>
      <c r="FC1152" s="13"/>
      <c r="FD1152" s="13"/>
      <c r="FE1152" s="13"/>
      <c r="FF1152" s="13"/>
      <c r="FG1152" s="13"/>
      <c r="FH1152" s="13"/>
      <c r="FI1152" s="13"/>
      <c r="FJ1152" s="13"/>
      <c r="FK1152" s="13"/>
      <c r="FL1152" s="13"/>
      <c r="FM1152" s="13"/>
      <c r="FN1152" s="13"/>
      <c r="FO1152" s="13"/>
      <c r="FP1152" s="13"/>
      <c r="FQ1152" s="13"/>
      <c r="FR1152" s="13"/>
      <c r="FS1152" s="13"/>
      <c r="FT1152" s="13"/>
      <c r="FU1152" s="13"/>
      <c r="FV1152" s="13"/>
      <c r="FW1152" s="13"/>
      <c r="FX1152" s="13"/>
      <c r="FY1152" s="13"/>
      <c r="FZ1152" s="13"/>
      <c r="GA1152" s="13"/>
      <c r="GB1152" s="13"/>
      <c r="GC1152" s="13"/>
      <c r="GD1152" s="13"/>
      <c r="GE1152" s="13"/>
      <c r="GF1152" s="13"/>
      <c r="GG1152" s="13"/>
      <c r="GH1152" s="13"/>
      <c r="GI1152" s="13"/>
      <c r="GJ1152" s="13"/>
      <c r="GK1152" s="13"/>
      <c r="GL1152" s="13"/>
      <c r="GM1152" s="13"/>
      <c r="GN1152" s="13"/>
      <c r="GO1152" s="13"/>
      <c r="GP1152" s="13"/>
      <c r="GQ1152" s="13"/>
      <c r="GR1152" s="13"/>
      <c r="GS1152" s="13"/>
      <c r="GT1152" s="13"/>
      <c r="GU1152" s="13"/>
      <c r="GV1152" s="13"/>
      <c r="GW1152" s="13"/>
      <c r="GX1152" s="13"/>
      <c r="GY1152" s="13"/>
      <c r="GZ1152" s="13"/>
      <c r="HA1152" s="13"/>
      <c r="HB1152" s="13"/>
      <c r="HC1152" s="13"/>
      <c r="HD1152" s="13"/>
      <c r="HE1152" s="13"/>
      <c r="HF1152" s="13"/>
      <c r="HG1152" s="13"/>
      <c r="HH1152" s="13"/>
      <c r="HI1152" s="13"/>
      <c r="HJ1152" s="13"/>
      <c r="HK1152" s="13"/>
      <c r="HL1152" s="13"/>
      <c r="HM1152" s="13"/>
      <c r="HN1152" s="13"/>
      <c r="HO1152" s="13"/>
      <c r="HP1152" s="13"/>
      <c r="HQ1152" s="13"/>
      <c r="HR1152" s="13"/>
      <c r="HS1152" s="13"/>
      <c r="HT1152" s="13"/>
      <c r="HU1152" s="13"/>
      <c r="HV1152" s="13"/>
      <c r="HW1152" s="13"/>
      <c r="HX1152" s="13"/>
      <c r="HY1152" s="13"/>
      <c r="HZ1152" s="13"/>
      <c r="IA1152" s="13"/>
      <c r="IB1152" s="13"/>
      <c r="IC1152" s="13"/>
      <c r="ID1152" s="13"/>
      <c r="IE1152" s="13"/>
      <c r="IF1152" s="13"/>
      <c r="IG1152" s="13"/>
      <c r="IH1152" s="13"/>
      <c r="II1152" s="13"/>
      <c r="IJ1152" s="13"/>
      <c r="IK1152" s="13"/>
      <c r="IL1152" s="13"/>
      <c r="IM1152" s="13"/>
      <c r="IN1152" s="13"/>
      <c r="IO1152" s="13"/>
      <c r="IP1152" s="13"/>
      <c r="IQ1152" s="13"/>
      <c r="IR1152" s="13"/>
      <c r="IS1152" s="13"/>
      <c r="IT1152" s="13"/>
      <c r="IU1152" s="13"/>
      <c r="IV1152" s="13"/>
      <c r="IW1152" s="13"/>
      <c r="IX1152" s="13"/>
      <c r="IY1152" s="13"/>
      <c r="IZ1152" s="13"/>
      <c r="JA1152" s="13"/>
      <c r="JB1152" s="13"/>
      <c r="JC1152" s="13"/>
      <c r="JD1152" s="13"/>
      <c r="JE1152" s="13"/>
      <c r="JF1152" s="13"/>
      <c r="JG1152" s="13"/>
      <c r="JH1152" s="13"/>
      <c r="JI1152" s="13"/>
      <c r="JJ1152" s="13"/>
      <c r="JK1152" s="13"/>
      <c r="JL1152" s="13"/>
      <c r="JM1152" s="13"/>
      <c r="JN1152" s="13"/>
      <c r="JO1152" s="13"/>
      <c r="JP1152" s="13"/>
      <c r="JQ1152" s="13"/>
      <c r="JR1152" s="13"/>
      <c r="JS1152" s="13"/>
      <c r="JT1152" s="13"/>
      <c r="JU1152" s="13"/>
      <c r="JV1152" s="13"/>
      <c r="JW1152" s="13"/>
      <c r="JX1152" s="13"/>
      <c r="JY1152" s="13"/>
      <c r="JZ1152" s="13"/>
      <c r="KA1152" s="13"/>
      <c r="KB1152" s="13"/>
      <c r="KC1152" s="13"/>
      <c r="KD1152" s="13"/>
      <c r="KE1152" s="13"/>
      <c r="KF1152" s="13"/>
      <c r="KG1152" s="13"/>
      <c r="KH1152" s="13"/>
      <c r="KI1152" s="13"/>
      <c r="KJ1152" s="13"/>
      <c r="KK1152" s="13"/>
      <c r="KL1152" s="13"/>
      <c r="KM1152" s="13"/>
      <c r="KN1152" s="13"/>
      <c r="KO1152" s="13"/>
      <c r="KP1152" s="13"/>
      <c r="KQ1152" s="13"/>
      <c r="KR1152" s="13"/>
      <c r="KS1152" s="13"/>
      <c r="KT1152" s="13"/>
      <c r="KU1152" s="13"/>
      <c r="KV1152" s="13"/>
      <c r="KW1152" s="13"/>
      <c r="KX1152" s="13"/>
      <c r="KY1152" s="13"/>
      <c r="KZ1152" s="13"/>
      <c r="LA1152" s="13"/>
      <c r="LB1152" s="13"/>
      <c r="LC1152" s="13"/>
      <c r="LD1152" s="13"/>
      <c r="LE1152" s="13"/>
      <c r="LF1152" s="13"/>
      <c r="LG1152" s="13"/>
      <c r="LH1152" s="13"/>
      <c r="LI1152" s="13"/>
      <c r="LJ1152" s="13"/>
      <c r="LK1152" s="13"/>
      <c r="LL1152" s="13"/>
      <c r="LM1152" s="13"/>
      <c r="LN1152" s="13"/>
      <c r="LO1152" s="13"/>
      <c r="LP1152" s="13"/>
      <c r="LQ1152" s="13"/>
      <c r="LR1152" s="13"/>
      <c r="LS1152" s="13"/>
      <c r="LT1152" s="13"/>
      <c r="LU1152" s="13"/>
      <c r="LV1152" s="13"/>
      <c r="LW1152" s="13"/>
      <c r="LX1152" s="13"/>
      <c r="LY1152" s="13"/>
      <c r="LZ1152" s="13"/>
      <c r="MA1152" s="13"/>
      <c r="MB1152" s="13"/>
      <c r="MC1152" s="13"/>
      <c r="MD1152" s="13"/>
      <c r="ME1152" s="13"/>
      <c r="MF1152" s="13"/>
      <c r="MG1152" s="13"/>
      <c r="MH1152" s="13"/>
      <c r="MI1152" s="13"/>
      <c r="MJ1152" s="13"/>
      <c r="MK1152" s="13"/>
      <c r="ML1152" s="13"/>
      <c r="MM1152" s="13"/>
      <c r="MN1152" s="13"/>
      <c r="MO1152" s="13"/>
      <c r="MP1152" s="13"/>
      <c r="MQ1152" s="13"/>
      <c r="MR1152" s="13"/>
      <c r="MS1152" s="13"/>
      <c r="MT1152" s="13"/>
      <c r="MU1152" s="13"/>
      <c r="MV1152" s="13"/>
      <c r="MW1152" s="13"/>
      <c r="MX1152" s="13"/>
      <c r="MY1152" s="13"/>
      <c r="MZ1152" s="13"/>
      <c r="NA1152" s="13"/>
      <c r="NB1152" s="13"/>
      <c r="NC1152" s="13"/>
      <c r="ND1152" s="13"/>
      <c r="NE1152" s="13"/>
      <c r="NF1152" s="13"/>
      <c r="NG1152" s="13"/>
      <c r="NH1152" s="13"/>
      <c r="NI1152" s="13"/>
      <c r="NJ1152" s="13"/>
      <c r="NK1152" s="13"/>
      <c r="NL1152" s="13"/>
      <c r="NM1152" s="13"/>
      <c r="NN1152" s="13"/>
      <c r="NO1152" s="13"/>
      <c r="NP1152" s="13"/>
      <c r="NQ1152" s="13"/>
      <c r="NR1152" s="13"/>
      <c r="NS1152" s="13"/>
      <c r="NT1152" s="13"/>
      <c r="NU1152" s="13"/>
      <c r="NV1152" s="13"/>
      <c r="NW1152" s="13"/>
      <c r="NX1152" s="13"/>
      <c r="NY1152" s="13"/>
      <c r="NZ1152" s="13"/>
      <c r="OA1152" s="13"/>
      <c r="OB1152" s="13"/>
      <c r="OC1152" s="13"/>
      <c r="OD1152" s="13"/>
      <c r="OE1152" s="13"/>
      <c r="OF1152" s="13"/>
      <c r="OG1152" s="13"/>
      <c r="OH1152" s="13"/>
      <c r="OI1152" s="13"/>
      <c r="OJ1152" s="13"/>
      <c r="OK1152" s="13"/>
      <c r="OL1152" s="13"/>
      <c r="OM1152" s="13"/>
      <c r="ON1152" s="13"/>
      <c r="OO1152" s="13"/>
      <c r="OP1152" s="13"/>
      <c r="OQ1152" s="13"/>
      <c r="OR1152" s="13"/>
      <c r="OS1152" s="13"/>
      <c r="OT1152" s="13"/>
      <c r="OU1152" s="13"/>
      <c r="OV1152" s="13"/>
      <c r="OW1152" s="13"/>
      <c r="OX1152" s="13"/>
      <c r="OY1152" s="13"/>
      <c r="OZ1152" s="13"/>
      <c r="PA1152" s="13"/>
      <c r="PB1152" s="13"/>
      <c r="PC1152" s="13"/>
      <c r="PD1152" s="13"/>
      <c r="PE1152" s="13"/>
      <c r="PF1152" s="13"/>
      <c r="PG1152" s="13"/>
      <c r="PH1152" s="13"/>
      <c r="PI1152" s="13"/>
      <c r="PJ1152" s="13"/>
      <c r="PK1152" s="13"/>
      <c r="PL1152" s="13"/>
      <c r="PM1152" s="13"/>
      <c r="PN1152" s="13"/>
      <c r="PO1152" s="13"/>
      <c r="PP1152" s="13"/>
      <c r="PQ1152" s="13"/>
      <c r="PR1152" s="13"/>
      <c r="PS1152" s="13"/>
      <c r="PT1152" s="13"/>
      <c r="PU1152" s="13"/>
      <c r="PV1152" s="13"/>
      <c r="PW1152" s="13"/>
      <c r="PX1152" s="13"/>
      <c r="PY1152" s="13"/>
      <c r="PZ1152" s="13"/>
      <c r="QA1152" s="13"/>
      <c r="QB1152" s="13"/>
      <c r="QC1152" s="13"/>
      <c r="QD1152" s="13"/>
      <c r="QE1152" s="13"/>
      <c r="QF1152" s="13"/>
      <c r="QG1152" s="13"/>
      <c r="QH1152" s="13"/>
      <c r="QI1152" s="13"/>
      <c r="QJ1152" s="13"/>
      <c r="QK1152" s="13"/>
      <c r="QL1152" s="13"/>
      <c r="QM1152" s="13"/>
      <c r="QN1152" s="13"/>
      <c r="QO1152" s="13"/>
      <c r="QP1152" s="13"/>
      <c r="QQ1152" s="13"/>
      <c r="QR1152" s="13"/>
      <c r="QS1152" s="13"/>
      <c r="QT1152" s="13"/>
      <c r="QU1152" s="13"/>
      <c r="QV1152" s="13"/>
      <c r="QW1152" s="13"/>
      <c r="QX1152" s="13"/>
      <c r="QY1152" s="13"/>
      <c r="QZ1152" s="13"/>
      <c r="RA1152" s="13"/>
      <c r="RB1152" s="13"/>
      <c r="RC1152" s="13"/>
      <c r="RD1152" s="13"/>
      <c r="RE1152" s="13"/>
      <c r="RF1152" s="13"/>
      <c r="RG1152" s="13"/>
      <c r="RH1152" s="13"/>
      <c r="RI1152" s="13"/>
      <c r="RJ1152" s="13"/>
      <c r="RK1152" s="13"/>
      <c r="RL1152" s="13"/>
      <c r="RM1152" s="13"/>
      <c r="RN1152" s="13"/>
      <c r="RO1152" s="13"/>
      <c r="RP1152" s="13"/>
      <c r="RQ1152" s="13"/>
      <c r="RR1152" s="13"/>
      <c r="RS1152" s="13"/>
      <c r="RT1152" s="13"/>
      <c r="RU1152" s="13"/>
      <c r="RV1152" s="13"/>
      <c r="RW1152" s="13"/>
      <c r="RX1152" s="13"/>
      <c r="RY1152" s="13"/>
      <c r="RZ1152" s="13"/>
      <c r="SA1152" s="13"/>
      <c r="SB1152" s="13"/>
      <c r="SC1152" s="13"/>
      <c r="SD1152" s="13"/>
      <c r="SE1152" s="13"/>
      <c r="SF1152" s="13"/>
      <c r="SG1152" s="13"/>
      <c r="SH1152" s="13"/>
      <c r="SI1152" s="13"/>
      <c r="SJ1152" s="13"/>
      <c r="SK1152" s="13"/>
      <c r="SL1152" s="13"/>
      <c r="SM1152" s="13"/>
      <c r="SN1152" s="13"/>
      <c r="SO1152" s="13"/>
      <c r="SP1152" s="13"/>
      <c r="SQ1152" s="13"/>
      <c r="SR1152" s="13"/>
      <c r="SS1152" s="13"/>
      <c r="ST1152" s="13"/>
      <c r="SU1152" s="13"/>
      <c r="SV1152" s="13"/>
      <c r="SW1152" s="13"/>
      <c r="SX1152" s="13"/>
      <c r="SY1152" s="13"/>
      <c r="SZ1152" s="13"/>
      <c r="TA1152" s="13"/>
      <c r="TB1152" s="13"/>
      <c r="TC1152" s="13"/>
      <c r="TD1152" s="13"/>
      <c r="TE1152" s="13"/>
      <c r="TF1152" s="13"/>
      <c r="TG1152" s="13"/>
      <c r="TH1152" s="13"/>
      <c r="TI1152" s="13"/>
      <c r="TJ1152" s="13"/>
      <c r="TK1152" s="13"/>
      <c r="TL1152" s="13"/>
      <c r="TM1152" s="13"/>
      <c r="TN1152" s="13"/>
      <c r="TO1152" s="13"/>
      <c r="TP1152" s="13"/>
      <c r="TQ1152" s="13"/>
      <c r="TR1152" s="13"/>
      <c r="TS1152" s="13"/>
      <c r="TT1152" s="13"/>
      <c r="TU1152" s="13"/>
      <c r="TV1152" s="13"/>
      <c r="TW1152" s="13"/>
      <c r="TX1152" s="13"/>
      <c r="TY1152" s="13"/>
      <c r="TZ1152" s="13"/>
      <c r="UA1152" s="13"/>
      <c r="UB1152" s="13"/>
      <c r="UC1152" s="13"/>
      <c r="UD1152" s="13"/>
      <c r="UE1152" s="13"/>
      <c r="UF1152" s="13"/>
      <c r="UG1152" s="13"/>
      <c r="UH1152" s="13"/>
      <c r="UI1152" s="13"/>
      <c r="UJ1152" s="13"/>
      <c r="UK1152" s="13"/>
      <c r="UL1152" s="13"/>
      <c r="UM1152" s="13"/>
      <c r="UN1152" s="13"/>
      <c r="UO1152" s="13"/>
      <c r="UP1152" s="13"/>
      <c r="UQ1152" s="13"/>
      <c r="UR1152" s="13"/>
      <c r="US1152" s="13"/>
      <c r="UT1152" s="13"/>
      <c r="UU1152" s="13"/>
      <c r="UV1152" s="13"/>
      <c r="UW1152" s="13"/>
      <c r="UX1152" s="13"/>
      <c r="UY1152" s="13"/>
      <c r="UZ1152" s="13"/>
      <c r="VA1152" s="13"/>
      <c r="VB1152" s="13"/>
      <c r="VC1152" s="13"/>
      <c r="VD1152" s="13"/>
      <c r="VE1152" s="13"/>
      <c r="VF1152" s="13"/>
      <c r="VG1152" s="13"/>
      <c r="VH1152" s="13"/>
      <c r="VI1152" s="13"/>
      <c r="VJ1152" s="13"/>
      <c r="VK1152" s="13"/>
      <c r="VL1152" s="13"/>
      <c r="VM1152" s="13"/>
      <c r="VN1152" s="13"/>
      <c r="VO1152" s="13"/>
      <c r="VP1152" s="13"/>
      <c r="VQ1152" s="13"/>
      <c r="VR1152" s="13"/>
      <c r="VS1152" s="13"/>
      <c r="VT1152" s="13"/>
      <c r="VU1152" s="13"/>
      <c r="VV1152" s="13"/>
      <c r="VW1152" s="13"/>
      <c r="VX1152" s="13"/>
      <c r="VY1152" s="13"/>
      <c r="VZ1152" s="13"/>
      <c r="WA1152" s="13"/>
      <c r="WB1152" s="13"/>
      <c r="WC1152" s="13"/>
      <c r="WD1152" s="13"/>
      <c r="WE1152" s="13"/>
      <c r="WF1152" s="13"/>
      <c r="WG1152" s="13"/>
      <c r="WH1152" s="13"/>
      <c r="WI1152" s="13"/>
      <c r="WJ1152" s="13"/>
      <c r="WK1152" s="13"/>
      <c r="WL1152" s="13"/>
      <c r="WM1152" s="13"/>
      <c r="WN1152" s="13"/>
      <c r="WO1152" s="13"/>
      <c r="WP1152" s="13"/>
      <c r="WQ1152" s="13"/>
      <c r="WR1152" s="13"/>
      <c r="WS1152" s="13"/>
      <c r="WT1152" s="13"/>
      <c r="WU1152" s="13"/>
      <c r="WV1152" s="13"/>
      <c r="WW1152" s="13"/>
      <c r="WX1152" s="13"/>
      <c r="WY1152" s="13"/>
      <c r="WZ1152" s="13"/>
      <c r="XA1152" s="13"/>
      <c r="XB1152" s="13"/>
      <c r="XC1152" s="13"/>
      <c r="XD1152" s="13"/>
      <c r="XE1152" s="13"/>
      <c r="XF1152" s="13"/>
      <c r="XG1152" s="13"/>
      <c r="XH1152" s="13"/>
      <c r="XI1152" s="13"/>
      <c r="XJ1152" s="13"/>
      <c r="XK1152" s="13"/>
      <c r="XL1152" s="13"/>
      <c r="XM1152" s="13"/>
      <c r="XN1152" s="13"/>
      <c r="XO1152" s="13"/>
      <c r="XP1152" s="13"/>
      <c r="XQ1152" s="13"/>
      <c r="XR1152" s="13"/>
      <c r="XS1152" s="13"/>
      <c r="XT1152" s="13"/>
      <c r="XU1152" s="13"/>
      <c r="XV1152" s="13"/>
      <c r="XW1152" s="13"/>
      <c r="XX1152" s="13"/>
      <c r="XY1152" s="13"/>
      <c r="XZ1152" s="13"/>
      <c r="YA1152" s="13"/>
      <c r="YB1152" s="13"/>
      <c r="YC1152" s="13"/>
      <c r="YD1152" s="13"/>
      <c r="YE1152" s="13"/>
      <c r="YF1152" s="13"/>
      <c r="YG1152" s="13"/>
      <c r="YH1152" s="13"/>
      <c r="YI1152" s="13"/>
      <c r="YJ1152" s="13"/>
      <c r="YK1152" s="13"/>
      <c r="YL1152" s="13"/>
      <c r="YM1152" s="13"/>
      <c r="YN1152" s="13"/>
      <c r="YO1152" s="13"/>
      <c r="YP1152" s="13"/>
      <c r="YQ1152" s="13"/>
      <c r="YR1152" s="13"/>
      <c r="YS1152" s="13"/>
      <c r="YT1152" s="13"/>
      <c r="YU1152" s="13"/>
      <c r="YV1152" s="13"/>
      <c r="YW1152" s="13"/>
      <c r="YX1152" s="13"/>
      <c r="YY1152" s="13"/>
      <c r="YZ1152" s="13"/>
      <c r="ZA1152" s="13"/>
      <c r="ZB1152" s="13"/>
      <c r="ZC1152" s="13"/>
      <c r="ZD1152" s="13"/>
      <c r="ZE1152" s="13"/>
      <c r="ZF1152" s="13"/>
      <c r="ZG1152" s="13"/>
      <c r="ZH1152" s="13"/>
      <c r="ZI1152" s="13"/>
      <c r="ZJ1152" s="13"/>
      <c r="ZK1152" s="13"/>
      <c r="ZL1152" s="13"/>
      <c r="ZM1152" s="13"/>
      <c r="ZN1152" s="13"/>
      <c r="ZO1152" s="13"/>
      <c r="ZP1152" s="13"/>
      <c r="ZQ1152" s="13"/>
      <c r="ZR1152" s="13"/>
      <c r="ZS1152" s="13"/>
      <c r="ZT1152" s="13"/>
      <c r="ZU1152" s="13"/>
      <c r="ZV1152" s="13"/>
      <c r="ZW1152" s="13"/>
      <c r="ZX1152" s="13"/>
      <c r="ZY1152" s="13"/>
      <c r="ZZ1152" s="13"/>
      <c r="AAA1152" s="13"/>
      <c r="AAB1152" s="13"/>
      <c r="AAC1152" s="13"/>
      <c r="AAD1152" s="13"/>
      <c r="AAE1152" s="13"/>
      <c r="AAF1152" s="13"/>
      <c r="AAG1152" s="13"/>
      <c r="AAH1152" s="13"/>
      <c r="AAI1152" s="13"/>
      <c r="AAJ1152" s="13"/>
      <c r="AAK1152" s="13"/>
      <c r="AAL1152" s="13"/>
      <c r="AAM1152" s="13"/>
      <c r="AAN1152" s="13"/>
      <c r="AAO1152" s="13"/>
      <c r="AAP1152" s="13"/>
      <c r="AAQ1152" s="13"/>
      <c r="AAR1152" s="13"/>
      <c r="AAS1152" s="13"/>
      <c r="AAT1152" s="13"/>
      <c r="AAU1152" s="13"/>
      <c r="AAV1152" s="13"/>
      <c r="AAW1152" s="13"/>
      <c r="AAX1152" s="13"/>
      <c r="AAY1152" s="13"/>
      <c r="AAZ1152" s="13"/>
      <c r="ABA1152" s="13"/>
      <c r="ABB1152" s="13"/>
      <c r="ABC1152" s="13"/>
      <c r="ABD1152" s="13"/>
      <c r="ABE1152" s="13"/>
      <c r="ABF1152" s="13"/>
      <c r="ABG1152" s="13"/>
      <c r="ABH1152" s="13"/>
      <c r="ABI1152" s="13"/>
      <c r="ABJ1152" s="13"/>
      <c r="ABK1152" s="13"/>
      <c r="ABL1152" s="13"/>
      <c r="ABM1152" s="13"/>
      <c r="ABN1152" s="13"/>
      <c r="ABO1152" s="13"/>
      <c r="ABP1152" s="13"/>
      <c r="ABQ1152" s="13"/>
      <c r="ABR1152" s="13"/>
      <c r="ABS1152" s="13"/>
      <c r="ABT1152" s="13"/>
      <c r="ABU1152" s="13"/>
      <c r="ABV1152" s="13"/>
      <c r="ABW1152" s="13"/>
      <c r="ABX1152" s="13"/>
      <c r="ABY1152" s="13"/>
      <c r="ABZ1152" s="13"/>
      <c r="ACA1152" s="13"/>
      <c r="ACB1152" s="13"/>
      <c r="ACC1152" s="13"/>
      <c r="ACD1152" s="13"/>
      <c r="ACE1152" s="13"/>
      <c r="ACF1152" s="13"/>
      <c r="ACG1152" s="13"/>
      <c r="ACH1152" s="13"/>
      <c r="ACI1152" s="13"/>
      <c r="ACJ1152" s="13"/>
      <c r="ACK1152" s="13"/>
      <c r="ACL1152" s="13"/>
      <c r="ACM1152" s="13"/>
      <c r="ACN1152" s="13"/>
      <c r="ACO1152" s="13"/>
      <c r="ACP1152" s="13"/>
      <c r="ACQ1152" s="13"/>
      <c r="ACR1152" s="13"/>
      <c r="ACS1152" s="13"/>
      <c r="ACT1152" s="13"/>
      <c r="ACU1152" s="13"/>
      <c r="ACV1152" s="13"/>
      <c r="ACW1152" s="13"/>
      <c r="ACX1152" s="13"/>
      <c r="ACY1152" s="13"/>
      <c r="ACZ1152" s="13"/>
      <c r="ADA1152" s="13"/>
      <c r="ADB1152" s="13"/>
      <c r="ADC1152" s="13"/>
      <c r="ADD1152" s="13"/>
      <c r="ADE1152" s="13"/>
      <c r="ADF1152" s="13"/>
      <c r="ADG1152" s="13"/>
      <c r="ADH1152" s="13"/>
      <c r="ADI1152" s="13"/>
      <c r="ADJ1152" s="13"/>
      <c r="ADK1152" s="13"/>
      <c r="ADL1152" s="13"/>
      <c r="ADM1152" s="13"/>
      <c r="ADN1152" s="13"/>
      <c r="ADO1152" s="13"/>
      <c r="ADP1152" s="13"/>
      <c r="ADQ1152" s="13"/>
      <c r="ADR1152" s="13"/>
      <c r="ADS1152" s="13"/>
      <c r="ADT1152" s="13"/>
      <c r="ADU1152" s="13"/>
      <c r="ADV1152" s="13"/>
      <c r="ADW1152" s="13"/>
      <c r="ADX1152" s="13"/>
      <c r="ADY1152" s="13"/>
      <c r="ADZ1152" s="13"/>
      <c r="AEA1152" s="13"/>
      <c r="AEB1152" s="13"/>
      <c r="AEC1152" s="13"/>
      <c r="AED1152" s="13"/>
      <c r="AEE1152" s="13"/>
      <c r="AEF1152" s="13"/>
      <c r="AEG1152" s="13"/>
      <c r="AEH1152" s="13"/>
      <c r="AEI1152" s="13"/>
      <c r="AEJ1152" s="13"/>
      <c r="AEK1152" s="13"/>
      <c r="AEL1152" s="13"/>
      <c r="AEM1152" s="13"/>
      <c r="AEN1152" s="13"/>
      <c r="AEO1152" s="13"/>
      <c r="AEP1152" s="13"/>
      <c r="AEQ1152" s="13"/>
      <c r="AER1152" s="13"/>
      <c r="AES1152" s="13"/>
      <c r="AET1152" s="13"/>
      <c r="AEU1152" s="13"/>
      <c r="AEV1152" s="13"/>
      <c r="AEW1152" s="13"/>
      <c r="AEX1152" s="13"/>
      <c r="AEY1152" s="13"/>
      <c r="AEZ1152" s="13"/>
      <c r="AFA1152" s="13"/>
      <c r="AFB1152" s="13"/>
      <c r="AFC1152" s="13"/>
      <c r="AFD1152" s="13"/>
      <c r="AFE1152" s="13"/>
      <c r="AFF1152" s="13"/>
      <c r="AFG1152" s="13"/>
      <c r="AFH1152" s="13"/>
      <c r="AFI1152" s="13"/>
      <c r="AFJ1152" s="13"/>
      <c r="AFK1152" s="13"/>
      <c r="AFL1152" s="13"/>
      <c r="AFM1152" s="13"/>
      <c r="AFN1152" s="13"/>
      <c r="AFO1152" s="13"/>
      <c r="AFP1152" s="13"/>
      <c r="AFQ1152" s="13"/>
      <c r="AFR1152" s="13"/>
      <c r="AFS1152" s="13"/>
      <c r="AFT1152" s="13"/>
      <c r="AFU1152" s="13"/>
      <c r="AFV1152" s="13"/>
      <c r="AFW1152" s="13"/>
      <c r="AFX1152" s="13"/>
      <c r="AFY1152" s="13"/>
      <c r="AFZ1152" s="13"/>
      <c r="AGA1152" s="13"/>
      <c r="AGB1152" s="13"/>
      <c r="AGC1152" s="13"/>
      <c r="AGD1152" s="13"/>
      <c r="AGE1152" s="13"/>
      <c r="AGF1152" s="13"/>
      <c r="AGG1152" s="13"/>
      <c r="AGH1152" s="13"/>
      <c r="AGI1152" s="13"/>
      <c r="AGJ1152" s="13"/>
      <c r="AGK1152" s="13"/>
      <c r="AGL1152" s="13"/>
      <c r="AGM1152" s="13"/>
      <c r="AGN1152" s="13"/>
      <c r="AGO1152" s="13"/>
      <c r="AGP1152" s="13"/>
      <c r="AGQ1152" s="13"/>
      <c r="AGR1152" s="13"/>
      <c r="AGS1152" s="13"/>
      <c r="AGT1152" s="13"/>
      <c r="AGU1152" s="13"/>
      <c r="AGV1152" s="13"/>
      <c r="AGW1152" s="13"/>
      <c r="AGX1152" s="13"/>
      <c r="AGY1152" s="13"/>
      <c r="AGZ1152" s="13"/>
      <c r="AHA1152" s="13"/>
      <c r="AHB1152" s="13"/>
      <c r="AHC1152" s="13"/>
      <c r="AHD1152" s="13"/>
      <c r="AHE1152" s="13"/>
      <c r="AHF1152" s="13"/>
      <c r="AHG1152" s="13"/>
      <c r="AHH1152" s="13"/>
      <c r="AHI1152" s="13"/>
      <c r="AHJ1152" s="13"/>
      <c r="AHK1152" s="13"/>
      <c r="AHL1152" s="13"/>
      <c r="AHM1152" s="13"/>
      <c r="AHN1152" s="13"/>
      <c r="AHO1152" s="13"/>
      <c r="AHP1152" s="13"/>
      <c r="AHQ1152" s="13"/>
      <c r="AHR1152" s="13"/>
      <c r="AHS1152" s="13"/>
      <c r="AHT1152" s="13"/>
      <c r="AHU1152" s="13"/>
      <c r="AHV1152" s="13"/>
      <c r="AHW1152" s="13"/>
      <c r="AHX1152" s="13"/>
      <c r="AHY1152" s="13"/>
      <c r="AHZ1152" s="13"/>
      <c r="AIA1152" s="13"/>
      <c r="AIB1152" s="13"/>
      <c r="AIC1152" s="13"/>
      <c r="AID1152" s="13"/>
      <c r="AIE1152" s="13"/>
      <c r="AIF1152" s="13"/>
      <c r="AIG1152" s="13"/>
      <c r="AIH1152" s="13"/>
      <c r="AII1152" s="13"/>
      <c r="AIJ1152" s="13"/>
      <c r="AIK1152" s="13"/>
      <c r="AIL1152" s="13"/>
      <c r="AIM1152" s="13"/>
      <c r="AIN1152" s="13"/>
      <c r="AIO1152" s="13"/>
      <c r="AIP1152" s="13"/>
      <c r="AIQ1152" s="13"/>
      <c r="AIR1152" s="13"/>
      <c r="AIS1152" s="13"/>
      <c r="AIT1152" s="13"/>
      <c r="AIU1152" s="13"/>
      <c r="AIV1152" s="13"/>
      <c r="AIW1152" s="13"/>
      <c r="AIX1152" s="13"/>
      <c r="AIY1152" s="13"/>
      <c r="AIZ1152" s="13"/>
      <c r="AJA1152" s="13"/>
      <c r="AJB1152" s="13"/>
      <c r="AJC1152" s="13"/>
      <c r="AJD1152" s="13"/>
      <c r="AJE1152" s="13"/>
      <c r="AJF1152" s="13"/>
      <c r="AJG1152" s="13"/>
      <c r="AJH1152" s="13"/>
      <c r="AJI1152" s="13"/>
      <c r="AJJ1152" s="13"/>
      <c r="AJK1152" s="13"/>
      <c r="AJL1152" s="13"/>
      <c r="AJM1152" s="13"/>
      <c r="AJN1152" s="13"/>
      <c r="AJO1152" s="13"/>
      <c r="AJP1152" s="13"/>
      <c r="AJQ1152" s="13"/>
      <c r="AJR1152" s="13"/>
      <c r="AJS1152" s="13"/>
      <c r="AJT1152" s="13"/>
      <c r="AJU1152" s="13"/>
      <c r="AJV1152" s="13"/>
      <c r="AJW1152" s="13"/>
      <c r="AJX1152" s="13"/>
      <c r="AJY1152" s="13"/>
      <c r="AJZ1152" s="13"/>
      <c r="AKA1152" s="13"/>
      <c r="AKB1152" s="13"/>
      <c r="AKC1152" s="13"/>
      <c r="AKD1152" s="13"/>
      <c r="AKE1152" s="13"/>
      <c r="AKF1152" s="13"/>
      <c r="AKG1152" s="13"/>
      <c r="AKH1152" s="13"/>
      <c r="AKI1152" s="13"/>
      <c r="AKJ1152" s="13"/>
      <c r="AKK1152" s="13"/>
      <c r="AKL1152" s="13"/>
      <c r="AKM1152" s="13"/>
      <c r="AKN1152" s="13"/>
      <c r="AKO1152" s="13"/>
      <c r="AKP1152" s="13"/>
      <c r="AKQ1152" s="13"/>
      <c r="AKR1152" s="13"/>
      <c r="AKS1152" s="13"/>
      <c r="AKT1152" s="13"/>
      <c r="AKU1152" s="13"/>
      <c r="AKV1152" s="13"/>
      <c r="AKW1152" s="13"/>
      <c r="AKX1152" s="13"/>
      <c r="AKY1152" s="13"/>
      <c r="AKZ1152" s="13"/>
      <c r="ALA1152" s="13"/>
      <c r="ALB1152" s="13"/>
      <c r="ALC1152" s="13"/>
      <c r="ALD1152" s="13"/>
      <c r="ALE1152" s="13"/>
      <c r="ALF1152" s="13"/>
      <c r="ALG1152" s="13"/>
      <c r="ALH1152" s="13"/>
      <c r="ALI1152" s="13"/>
      <c r="ALJ1152" s="13"/>
      <c r="ALK1152" s="13"/>
      <c r="ALL1152" s="13"/>
      <c r="ALM1152" s="13"/>
      <c r="ALN1152" s="13"/>
      <c r="ALO1152" s="13"/>
      <c r="ALP1152" s="13"/>
      <c r="ALQ1152" s="13"/>
      <c r="ALR1152" s="13"/>
      <c r="ALS1152" s="13"/>
      <c r="ALT1152" s="13"/>
      <c r="ALU1152" s="13"/>
      <c r="ALV1152" s="13"/>
      <c r="ALW1152" s="13"/>
      <c r="ALX1152" s="13"/>
      <c r="ALY1152" s="13"/>
      <c r="ALZ1152" s="13"/>
      <c r="AMA1152" s="13"/>
      <c r="AMB1152" s="13"/>
      <c r="AMC1152" s="13"/>
      <c r="AMD1152" s="13"/>
      <c r="AME1152" s="13"/>
      <c r="AMF1152" s="13"/>
      <c r="AMG1152" s="13"/>
      <c r="AMH1152" s="13"/>
      <c r="AMI1152" s="13"/>
      <c r="AMJ1152" s="13"/>
      <c r="AMK1152" s="13"/>
      <c r="AML1152" s="13"/>
      <c r="AMM1152" s="13"/>
      <c r="AMN1152" s="13"/>
      <c r="AMO1152" s="13"/>
      <c r="AMP1152" s="13"/>
      <c r="AMQ1152" s="13"/>
      <c r="AMR1152" s="13"/>
      <c r="AMS1152" s="13"/>
      <c r="AMT1152" s="13"/>
      <c r="AMU1152" s="13"/>
      <c r="AMV1152" s="13"/>
      <c r="AMW1152" s="13"/>
      <c r="AMX1152" s="13"/>
      <c r="AMY1152" s="13"/>
      <c r="AMZ1152" s="13"/>
      <c r="ANA1152" s="13"/>
      <c r="ANB1152" s="13"/>
      <c r="ANC1152" s="13"/>
      <c r="AND1152" s="13"/>
      <c r="ANE1152" s="13"/>
      <c r="ANF1152" s="13"/>
      <c r="ANG1152" s="13"/>
      <c r="ANH1152" s="13"/>
      <c r="ANI1152" s="13"/>
      <c r="ANJ1152" s="13"/>
      <c r="ANK1152" s="13"/>
      <c r="ANL1152" s="13"/>
      <c r="ANM1152" s="13"/>
      <c r="ANN1152" s="13"/>
      <c r="ANO1152" s="13"/>
      <c r="ANP1152" s="13"/>
      <c r="ANQ1152" s="13"/>
      <c r="ANR1152" s="13"/>
      <c r="ANS1152" s="13"/>
      <c r="ANT1152" s="13"/>
      <c r="ANU1152" s="13"/>
      <c r="ANV1152" s="13"/>
      <c r="ANW1152" s="13"/>
      <c r="ANX1152" s="13"/>
      <c r="ANY1152" s="13"/>
      <c r="ANZ1152" s="13"/>
      <c r="AOA1152" s="13"/>
      <c r="AOB1152" s="13"/>
      <c r="AOC1152" s="13"/>
      <c r="AOD1152" s="13"/>
      <c r="AOE1152" s="13"/>
      <c r="AOF1152" s="13"/>
      <c r="AOG1152" s="13"/>
      <c r="AOH1152" s="13"/>
      <c r="AOI1152" s="13"/>
      <c r="AOJ1152" s="13"/>
      <c r="AOK1152" s="13"/>
      <c r="AOL1152" s="13"/>
      <c r="AOM1152" s="13"/>
      <c r="AON1152" s="13"/>
      <c r="AOO1152" s="13"/>
      <c r="AOP1152" s="13"/>
      <c r="AOQ1152" s="13"/>
      <c r="AOR1152" s="13"/>
      <c r="AOS1152" s="13"/>
      <c r="AOT1152" s="13"/>
      <c r="AOU1152" s="13"/>
      <c r="AOV1152" s="13"/>
      <c r="AOW1152" s="13"/>
      <c r="AOX1152" s="13"/>
      <c r="AOY1152" s="13"/>
      <c r="AOZ1152" s="13"/>
      <c r="APA1152" s="13"/>
      <c r="APB1152" s="13"/>
      <c r="APC1152" s="13"/>
      <c r="APD1152" s="13"/>
      <c r="APE1152" s="13"/>
      <c r="APF1152" s="13"/>
      <c r="APG1152" s="13"/>
      <c r="APH1152" s="13"/>
      <c r="API1152" s="13"/>
      <c r="APJ1152" s="13"/>
      <c r="APK1152" s="13"/>
      <c r="APL1152" s="13"/>
      <c r="APM1152" s="13"/>
      <c r="APN1152" s="13"/>
      <c r="APO1152" s="13"/>
      <c r="APP1152" s="13"/>
      <c r="APQ1152" s="13"/>
      <c r="APR1152" s="13"/>
      <c r="APS1152" s="13"/>
      <c r="APT1152" s="13"/>
      <c r="APU1152" s="13"/>
      <c r="APV1152" s="13"/>
      <c r="APW1152" s="13"/>
      <c r="APX1152" s="13"/>
      <c r="APY1152" s="13"/>
      <c r="APZ1152" s="13"/>
      <c r="AQA1152" s="13"/>
      <c r="AQB1152" s="13"/>
      <c r="AQC1152" s="13"/>
      <c r="AQD1152" s="13"/>
      <c r="AQE1152" s="13"/>
      <c r="AQF1152" s="13"/>
      <c r="AQG1152" s="13"/>
      <c r="AQH1152" s="13"/>
      <c r="AQI1152" s="13"/>
      <c r="AQJ1152" s="13"/>
      <c r="AQK1152" s="13"/>
      <c r="AQL1152" s="13"/>
      <c r="AQM1152" s="13"/>
      <c r="AQN1152" s="13"/>
      <c r="AQO1152" s="13"/>
      <c r="AQP1152" s="13"/>
      <c r="AQQ1152" s="13"/>
      <c r="AQR1152" s="13"/>
      <c r="AQS1152" s="13"/>
      <c r="AQT1152" s="13"/>
      <c r="AQU1152" s="13"/>
      <c r="AQV1152" s="13"/>
      <c r="AQW1152" s="13"/>
      <c r="AQX1152" s="13"/>
      <c r="AQY1152" s="13"/>
      <c r="AQZ1152" s="13"/>
      <c r="ARA1152" s="13"/>
      <c r="ARB1152" s="13"/>
      <c r="ARC1152" s="13"/>
      <c r="ARD1152" s="13"/>
      <c r="ARE1152" s="13"/>
      <c r="ARF1152" s="13"/>
      <c r="ARG1152" s="13"/>
      <c r="ARH1152" s="13"/>
      <c r="ARI1152" s="13"/>
      <c r="ARJ1152" s="13"/>
      <c r="ARK1152" s="13"/>
      <c r="ARL1152" s="13"/>
      <c r="ARM1152" s="13"/>
      <c r="ARN1152" s="13"/>
      <c r="ARO1152" s="13"/>
      <c r="ARP1152" s="13"/>
      <c r="ARQ1152" s="13"/>
      <c r="ARR1152" s="13"/>
      <c r="ARS1152" s="13"/>
      <c r="ART1152" s="13"/>
      <c r="ARU1152" s="13"/>
      <c r="ARV1152" s="13"/>
      <c r="ARW1152" s="13"/>
      <c r="ARX1152" s="13"/>
      <c r="ARY1152" s="13"/>
      <c r="ARZ1152" s="13"/>
      <c r="ASA1152" s="13"/>
      <c r="ASB1152" s="13"/>
      <c r="ASC1152" s="13"/>
      <c r="ASD1152" s="13"/>
      <c r="ASE1152" s="13"/>
      <c r="ASF1152" s="13"/>
      <c r="ASG1152" s="13"/>
      <c r="ASH1152" s="13"/>
      <c r="ASI1152" s="13"/>
      <c r="ASJ1152" s="13"/>
      <c r="ASK1152" s="13"/>
      <c r="ASL1152" s="13"/>
      <c r="ASM1152" s="13"/>
      <c r="ASN1152" s="13"/>
      <c r="ASO1152" s="13"/>
      <c r="ASP1152" s="13"/>
      <c r="ASQ1152" s="13"/>
      <c r="ASR1152" s="13"/>
      <c r="ASS1152" s="13"/>
      <c r="AST1152" s="13"/>
      <c r="ASU1152" s="13"/>
      <c r="ASV1152" s="13"/>
      <c r="ASW1152" s="13"/>
      <c r="ASX1152" s="13"/>
      <c r="ASY1152" s="13"/>
      <c r="ASZ1152" s="13"/>
      <c r="ATA1152" s="13"/>
      <c r="ATB1152" s="13"/>
      <c r="ATC1152" s="13"/>
      <c r="ATD1152" s="13"/>
      <c r="ATE1152" s="13"/>
      <c r="ATF1152" s="13"/>
      <c r="ATG1152" s="13"/>
      <c r="ATH1152" s="13"/>
      <c r="ATI1152" s="13"/>
      <c r="ATJ1152" s="13"/>
      <c r="ATK1152" s="13"/>
      <c r="ATL1152" s="13"/>
      <c r="ATM1152" s="13"/>
      <c r="ATN1152" s="13"/>
      <c r="ATO1152" s="13"/>
      <c r="ATP1152" s="13"/>
      <c r="ATQ1152" s="13"/>
      <c r="ATR1152" s="13"/>
      <c r="ATS1152" s="13"/>
      <c r="ATT1152" s="13"/>
      <c r="ATU1152" s="13"/>
      <c r="ATV1152" s="13"/>
      <c r="ATW1152" s="13"/>
      <c r="ATX1152" s="13"/>
      <c r="ATY1152" s="13"/>
      <c r="ATZ1152" s="13"/>
      <c r="AUA1152" s="13"/>
      <c r="AUB1152" s="13"/>
      <c r="AUC1152" s="13"/>
      <c r="AUD1152" s="13"/>
      <c r="AUE1152" s="13"/>
      <c r="AUF1152" s="13"/>
      <c r="AUG1152" s="13"/>
      <c r="AUH1152" s="13"/>
      <c r="AUI1152" s="13"/>
      <c r="AUJ1152" s="13"/>
      <c r="AUK1152" s="13"/>
      <c r="AUL1152" s="13"/>
      <c r="AUM1152" s="13"/>
      <c r="AUN1152" s="13"/>
      <c r="AUO1152" s="13"/>
      <c r="AUP1152" s="13"/>
      <c r="AUQ1152" s="13"/>
      <c r="AUR1152" s="13"/>
      <c r="AUS1152" s="13"/>
      <c r="AUT1152" s="13"/>
      <c r="AUU1152" s="13"/>
      <c r="AUV1152" s="13"/>
      <c r="AUW1152" s="13"/>
      <c r="AUX1152" s="13"/>
      <c r="AUY1152" s="13"/>
      <c r="AUZ1152" s="13"/>
      <c r="AVA1152" s="13"/>
      <c r="AVB1152" s="13"/>
      <c r="AVC1152" s="13"/>
      <c r="AVD1152" s="13"/>
      <c r="AVE1152" s="13"/>
      <c r="AVF1152" s="13"/>
      <c r="AVG1152" s="13"/>
      <c r="AVH1152" s="13"/>
      <c r="AVI1152" s="13"/>
      <c r="AVJ1152" s="13"/>
      <c r="AVK1152" s="13"/>
      <c r="AVL1152" s="13"/>
      <c r="AVM1152" s="13"/>
      <c r="AVN1152" s="13"/>
      <c r="AVO1152" s="13"/>
      <c r="AVP1152" s="13"/>
      <c r="AVQ1152" s="13"/>
      <c r="AVR1152" s="13"/>
      <c r="AVS1152" s="13"/>
      <c r="AVT1152" s="13"/>
      <c r="AVU1152" s="13"/>
      <c r="AVV1152" s="13"/>
      <c r="AVW1152" s="13"/>
      <c r="AVX1152" s="13"/>
      <c r="AVY1152" s="13"/>
      <c r="AVZ1152" s="13"/>
      <c r="AWA1152" s="13"/>
      <c r="AWB1152" s="13"/>
      <c r="AWC1152" s="13"/>
      <c r="AWD1152" s="13"/>
      <c r="AWE1152" s="13"/>
      <c r="AWF1152" s="13"/>
      <c r="AWG1152" s="13"/>
      <c r="AWH1152" s="13"/>
      <c r="AWI1152" s="13"/>
      <c r="AWJ1152" s="13"/>
      <c r="AWK1152" s="13"/>
      <c r="AWL1152" s="13"/>
      <c r="AWM1152" s="13"/>
      <c r="AWN1152" s="13"/>
      <c r="AWO1152" s="13"/>
      <c r="AWP1152" s="13"/>
      <c r="AWQ1152" s="13"/>
      <c r="AWR1152" s="13"/>
      <c r="AWS1152" s="13"/>
      <c r="AWT1152" s="13"/>
      <c r="AWU1152" s="13"/>
      <c r="AWV1152" s="13"/>
      <c r="AWW1152" s="13"/>
      <c r="AWX1152" s="13"/>
      <c r="AWY1152" s="13"/>
      <c r="AWZ1152" s="13"/>
      <c r="AXA1152" s="13"/>
      <c r="AXB1152" s="13"/>
      <c r="AXC1152" s="13"/>
      <c r="AXD1152" s="13"/>
      <c r="AXE1152" s="13"/>
      <c r="AXF1152" s="13"/>
      <c r="AXG1152" s="13"/>
      <c r="AXH1152" s="13"/>
      <c r="AXI1152" s="13"/>
      <c r="AXJ1152" s="13"/>
      <c r="AXK1152" s="13"/>
      <c r="AXL1152" s="13"/>
      <c r="AXM1152" s="13"/>
      <c r="AXN1152" s="13"/>
      <c r="AXO1152" s="13"/>
      <c r="AXP1152" s="13"/>
      <c r="AXQ1152" s="13"/>
      <c r="AXR1152" s="13"/>
      <c r="AXS1152" s="13"/>
      <c r="AXT1152" s="13"/>
      <c r="AXU1152" s="13"/>
      <c r="AXV1152" s="13"/>
      <c r="AXW1152" s="13"/>
      <c r="AXX1152" s="13"/>
      <c r="AXY1152" s="13"/>
      <c r="AXZ1152" s="13"/>
      <c r="AYA1152" s="13"/>
      <c r="AYB1152" s="13"/>
      <c r="AYC1152" s="13"/>
      <c r="AYD1152" s="13"/>
      <c r="AYE1152" s="13"/>
      <c r="AYF1152" s="13"/>
      <c r="AYG1152" s="13"/>
      <c r="AYH1152" s="13"/>
      <c r="AYI1152" s="13"/>
      <c r="AYJ1152" s="13"/>
      <c r="AYK1152" s="13"/>
      <c r="AYL1152" s="13"/>
      <c r="AYM1152" s="13"/>
      <c r="AYN1152" s="13"/>
      <c r="AYO1152" s="13"/>
      <c r="AYP1152" s="13"/>
      <c r="AYQ1152" s="13"/>
      <c r="AYR1152" s="13"/>
      <c r="AYS1152" s="13"/>
      <c r="AYT1152" s="13"/>
      <c r="AYU1152" s="13"/>
      <c r="AYV1152" s="13"/>
      <c r="AYW1152" s="13"/>
      <c r="AYX1152" s="13"/>
      <c r="AYY1152" s="13"/>
      <c r="AYZ1152" s="13"/>
      <c r="AZA1152" s="13"/>
      <c r="AZB1152" s="13"/>
      <c r="AZC1152" s="13"/>
      <c r="AZD1152" s="13"/>
      <c r="AZE1152" s="13"/>
      <c r="AZF1152" s="13"/>
      <c r="AZG1152" s="13"/>
      <c r="AZH1152" s="13"/>
      <c r="AZI1152" s="13"/>
      <c r="AZJ1152" s="13"/>
      <c r="AZK1152" s="13"/>
      <c r="AZL1152" s="13"/>
      <c r="AZM1152" s="13"/>
      <c r="AZN1152" s="13"/>
      <c r="AZO1152" s="13"/>
      <c r="AZP1152" s="13"/>
      <c r="AZQ1152" s="13"/>
      <c r="AZR1152" s="13"/>
      <c r="AZS1152" s="13"/>
      <c r="AZT1152" s="13"/>
      <c r="AZU1152" s="13"/>
      <c r="AZV1152" s="13"/>
      <c r="AZW1152" s="13"/>
      <c r="AZX1152" s="13"/>
      <c r="AZY1152" s="13"/>
      <c r="AZZ1152" s="13"/>
      <c r="BAA1152" s="13"/>
      <c r="BAB1152" s="13"/>
      <c r="BAC1152" s="13"/>
      <c r="BAD1152" s="13"/>
      <c r="BAE1152" s="13"/>
      <c r="BAF1152" s="13"/>
      <c r="BAG1152" s="13"/>
      <c r="BAH1152" s="13"/>
      <c r="BAI1152" s="13"/>
      <c r="BAJ1152" s="13"/>
      <c r="BAK1152" s="13"/>
      <c r="BAL1152" s="13"/>
      <c r="BAM1152" s="13"/>
      <c r="BAN1152" s="13"/>
      <c r="BAO1152" s="13"/>
      <c r="BAP1152" s="13"/>
      <c r="BAQ1152" s="13"/>
      <c r="BAR1152" s="13"/>
      <c r="BAS1152" s="13"/>
      <c r="BAT1152" s="13"/>
      <c r="BAU1152" s="13"/>
      <c r="BAV1152" s="13"/>
      <c r="BAW1152" s="13"/>
      <c r="BAX1152" s="13"/>
      <c r="BAY1152" s="13"/>
      <c r="BAZ1152" s="13"/>
      <c r="BBA1152" s="13"/>
      <c r="BBB1152" s="13"/>
      <c r="BBC1152" s="13"/>
      <c r="BBD1152" s="13"/>
      <c r="BBE1152" s="13"/>
      <c r="BBF1152" s="13"/>
      <c r="BBG1152" s="13"/>
      <c r="BBH1152" s="13"/>
      <c r="BBI1152" s="13"/>
      <c r="BBJ1152" s="13"/>
      <c r="BBK1152" s="13"/>
      <c r="BBL1152" s="13"/>
      <c r="BBM1152" s="13"/>
      <c r="BBN1152" s="13"/>
      <c r="BBO1152" s="13"/>
      <c r="BBP1152" s="13"/>
      <c r="BBQ1152" s="13"/>
      <c r="BBR1152" s="13"/>
      <c r="BBS1152" s="13"/>
      <c r="BBT1152" s="13"/>
      <c r="BBU1152" s="13"/>
      <c r="BBV1152" s="13"/>
      <c r="BBW1152" s="13"/>
      <c r="BBX1152" s="13"/>
      <c r="BBY1152" s="13"/>
      <c r="BBZ1152" s="13"/>
      <c r="BCA1152" s="13"/>
      <c r="BCB1152" s="13"/>
      <c r="BCC1152" s="13"/>
      <c r="BCD1152" s="13"/>
      <c r="BCE1152" s="13"/>
      <c r="BCF1152" s="13"/>
      <c r="BCG1152" s="13"/>
      <c r="BCH1152" s="13"/>
      <c r="BCI1152" s="13"/>
      <c r="BCJ1152" s="13"/>
      <c r="BCK1152" s="13"/>
      <c r="BCL1152" s="13"/>
      <c r="BCM1152" s="13"/>
      <c r="BCN1152" s="13"/>
      <c r="BCO1152" s="13"/>
      <c r="BCP1152" s="13"/>
      <c r="BCQ1152" s="13"/>
      <c r="BCR1152" s="13"/>
      <c r="BCS1152" s="13"/>
      <c r="BCT1152" s="13"/>
      <c r="BCU1152" s="13"/>
      <c r="BCV1152" s="13"/>
      <c r="BCW1152" s="13"/>
      <c r="BCX1152" s="13"/>
      <c r="BCY1152" s="13"/>
      <c r="BCZ1152" s="13"/>
      <c r="BDA1152" s="13"/>
      <c r="BDB1152" s="13"/>
      <c r="BDC1152" s="13"/>
      <c r="BDD1152" s="13"/>
      <c r="BDE1152" s="13"/>
      <c r="BDF1152" s="13"/>
      <c r="BDG1152" s="13"/>
      <c r="BDH1152" s="13"/>
      <c r="BDI1152" s="13"/>
      <c r="BDJ1152" s="13"/>
      <c r="BDK1152" s="13"/>
      <c r="BDL1152" s="13"/>
      <c r="BDM1152" s="13"/>
      <c r="BDN1152" s="13"/>
      <c r="BDO1152" s="13"/>
      <c r="BDP1152" s="13"/>
      <c r="BDQ1152" s="13"/>
      <c r="BDR1152" s="13"/>
      <c r="BDS1152" s="13"/>
      <c r="BDT1152" s="13"/>
      <c r="BDU1152" s="13"/>
      <c r="BDV1152" s="13"/>
      <c r="BDW1152" s="13"/>
      <c r="BDX1152" s="13"/>
      <c r="BDY1152" s="13"/>
      <c r="BDZ1152" s="13"/>
      <c r="BEA1152" s="13"/>
      <c r="BEB1152" s="13"/>
      <c r="BEC1152" s="13"/>
      <c r="BED1152" s="13"/>
      <c r="BEE1152" s="13"/>
      <c r="BEF1152" s="13"/>
      <c r="BEG1152" s="13"/>
      <c r="BEH1152" s="13"/>
      <c r="BEI1152" s="13"/>
      <c r="BEJ1152" s="13"/>
      <c r="BEK1152" s="13"/>
      <c r="BEL1152" s="13"/>
      <c r="BEM1152" s="13"/>
      <c r="BEN1152" s="13"/>
      <c r="BEO1152" s="13"/>
      <c r="BEP1152" s="13"/>
      <c r="BEQ1152" s="13"/>
      <c r="BER1152" s="13"/>
      <c r="BES1152" s="13"/>
      <c r="BET1152" s="13"/>
      <c r="BEU1152" s="13"/>
      <c r="BEV1152" s="13"/>
      <c r="BEW1152" s="13"/>
      <c r="BEX1152" s="13"/>
      <c r="BEY1152" s="13"/>
      <c r="BEZ1152" s="13"/>
      <c r="BFA1152" s="13"/>
      <c r="BFB1152" s="13"/>
      <c r="BFC1152" s="13"/>
      <c r="BFD1152" s="13"/>
      <c r="BFE1152" s="13"/>
      <c r="BFF1152" s="13"/>
      <c r="BFG1152" s="13"/>
      <c r="BFH1152" s="13"/>
      <c r="BFI1152" s="13"/>
      <c r="BFJ1152" s="13"/>
      <c r="BFK1152" s="13"/>
      <c r="BFL1152" s="13"/>
      <c r="BFM1152" s="13"/>
      <c r="BFN1152" s="13"/>
      <c r="BFO1152" s="13"/>
      <c r="BFP1152" s="13"/>
      <c r="BFQ1152" s="13"/>
      <c r="BFR1152" s="13"/>
      <c r="BFS1152" s="13"/>
      <c r="BFT1152" s="13"/>
      <c r="BFU1152" s="13"/>
      <c r="BFV1152" s="13"/>
      <c r="BFW1152" s="13"/>
      <c r="BFX1152" s="13"/>
      <c r="BFY1152" s="13"/>
      <c r="BFZ1152" s="13"/>
      <c r="BGA1152" s="13"/>
      <c r="BGB1152" s="13"/>
      <c r="BGC1152" s="13"/>
      <c r="BGD1152" s="13"/>
      <c r="BGE1152" s="13"/>
      <c r="BGF1152" s="13"/>
      <c r="BGG1152" s="13"/>
      <c r="BGH1152" s="13"/>
      <c r="BGI1152" s="13"/>
      <c r="BGJ1152" s="13"/>
      <c r="BGK1152" s="13"/>
      <c r="BGL1152" s="13"/>
      <c r="BGM1152" s="13"/>
      <c r="BGN1152" s="13"/>
      <c r="BGO1152" s="13"/>
      <c r="BGP1152" s="13"/>
      <c r="BGQ1152" s="13"/>
      <c r="BGR1152" s="13"/>
      <c r="BGS1152" s="13"/>
      <c r="BGT1152" s="13"/>
      <c r="BGU1152" s="13"/>
      <c r="BGV1152" s="13"/>
      <c r="BGW1152" s="13"/>
      <c r="BGX1152" s="13"/>
      <c r="BGY1152" s="13"/>
      <c r="BGZ1152" s="13"/>
      <c r="BHA1152" s="13"/>
      <c r="BHB1152" s="13"/>
      <c r="BHC1152" s="13"/>
      <c r="BHD1152" s="13"/>
      <c r="BHE1152" s="13"/>
      <c r="BHF1152" s="13"/>
      <c r="BHG1152" s="13"/>
      <c r="BHH1152" s="13"/>
      <c r="BHI1152" s="13"/>
      <c r="BHJ1152" s="13"/>
      <c r="BHK1152" s="13"/>
      <c r="BHL1152" s="13"/>
      <c r="BHM1152" s="13"/>
      <c r="BHN1152" s="13"/>
      <c r="BHO1152" s="13"/>
      <c r="BHP1152" s="13"/>
      <c r="BHQ1152" s="13"/>
      <c r="BHR1152" s="13"/>
      <c r="BHS1152" s="13"/>
      <c r="BHT1152" s="13"/>
      <c r="BHU1152" s="13"/>
      <c r="BHV1152" s="13"/>
      <c r="BHW1152" s="13"/>
      <c r="BHX1152" s="13"/>
      <c r="BHY1152" s="13"/>
      <c r="BHZ1152" s="13"/>
      <c r="BIA1152" s="13"/>
      <c r="BIB1152" s="13"/>
      <c r="BIC1152" s="13"/>
      <c r="BID1152" s="13"/>
      <c r="BIE1152" s="13"/>
      <c r="BIF1152" s="13"/>
      <c r="BIG1152" s="13"/>
      <c r="BIH1152" s="13"/>
      <c r="BII1152" s="13"/>
      <c r="BIJ1152" s="13"/>
      <c r="BIK1152" s="13"/>
      <c r="BIL1152" s="13"/>
      <c r="BIM1152" s="13"/>
      <c r="BIN1152" s="13"/>
      <c r="BIO1152" s="13"/>
      <c r="BIP1152" s="13"/>
      <c r="BIQ1152" s="13"/>
      <c r="BIR1152" s="13"/>
      <c r="BIS1152" s="13"/>
      <c r="BIT1152" s="13"/>
      <c r="BIU1152" s="13"/>
      <c r="BIV1152" s="13"/>
      <c r="BIW1152" s="13"/>
      <c r="BIX1152" s="13"/>
      <c r="BIY1152" s="13"/>
      <c r="BIZ1152" s="13"/>
      <c r="BJA1152" s="13"/>
      <c r="BJB1152" s="13"/>
      <c r="BJC1152" s="13"/>
      <c r="BJD1152" s="13"/>
      <c r="BJE1152" s="13"/>
      <c r="BJF1152" s="13"/>
      <c r="BJG1152" s="13"/>
      <c r="BJH1152" s="13"/>
      <c r="BJI1152" s="13"/>
      <c r="BJJ1152" s="13"/>
      <c r="BJK1152" s="13"/>
      <c r="BJL1152" s="13"/>
      <c r="BJM1152" s="13"/>
      <c r="BJN1152" s="13"/>
      <c r="BJO1152" s="13"/>
      <c r="BJP1152" s="13"/>
      <c r="BJQ1152" s="13"/>
      <c r="BJR1152" s="13"/>
      <c r="BJS1152" s="13"/>
      <c r="BJT1152" s="13"/>
      <c r="BJU1152" s="13"/>
      <c r="BJV1152" s="13"/>
      <c r="BJW1152" s="13"/>
      <c r="BJX1152" s="13"/>
      <c r="BJY1152" s="13"/>
      <c r="BJZ1152" s="13"/>
      <c r="BKA1152" s="13"/>
      <c r="BKB1152" s="13"/>
      <c r="BKC1152" s="13"/>
      <c r="BKD1152" s="13"/>
      <c r="BKE1152" s="13"/>
      <c r="BKF1152" s="13"/>
      <c r="BKG1152" s="13"/>
      <c r="BKH1152" s="13"/>
      <c r="BKI1152" s="13"/>
      <c r="BKJ1152" s="13"/>
      <c r="BKK1152" s="13"/>
      <c r="BKL1152" s="13"/>
      <c r="BKM1152" s="13"/>
      <c r="BKN1152" s="13"/>
      <c r="BKO1152" s="13"/>
      <c r="BKP1152" s="13"/>
      <c r="BKQ1152" s="13"/>
      <c r="BKR1152" s="13"/>
      <c r="BKS1152" s="13"/>
      <c r="BKT1152" s="13"/>
      <c r="BKU1152" s="13"/>
      <c r="BKV1152" s="13"/>
      <c r="BKW1152" s="13"/>
      <c r="BKX1152" s="13"/>
      <c r="BKY1152" s="13"/>
      <c r="BKZ1152" s="13"/>
      <c r="BLA1152" s="13"/>
      <c r="BLB1152" s="13"/>
      <c r="BLC1152" s="13"/>
      <c r="BLD1152" s="13"/>
      <c r="BLE1152" s="13"/>
      <c r="BLF1152" s="13"/>
      <c r="BLG1152" s="13"/>
      <c r="BLH1152" s="13"/>
      <c r="BLI1152" s="13"/>
      <c r="BLJ1152" s="13"/>
      <c r="BLK1152" s="13"/>
      <c r="BLL1152" s="13"/>
      <c r="BLM1152" s="13"/>
      <c r="BLN1152" s="13"/>
      <c r="BLO1152" s="13"/>
      <c r="BLP1152" s="13"/>
      <c r="BLQ1152" s="13"/>
      <c r="BLR1152" s="13"/>
      <c r="BLS1152" s="13"/>
      <c r="BLT1152" s="13"/>
      <c r="BLU1152" s="13"/>
      <c r="BLV1152" s="13"/>
      <c r="BLW1152" s="13"/>
      <c r="BLX1152" s="13"/>
      <c r="BLY1152" s="13"/>
      <c r="BLZ1152" s="13"/>
      <c r="BMA1152" s="13"/>
      <c r="BMB1152" s="13"/>
      <c r="BMC1152" s="13"/>
      <c r="BMD1152" s="13"/>
      <c r="BME1152" s="13"/>
      <c r="BMF1152" s="13"/>
      <c r="BMG1152" s="13"/>
      <c r="BMH1152" s="13"/>
      <c r="BMI1152" s="13"/>
      <c r="BMJ1152" s="13"/>
      <c r="BMK1152" s="13"/>
      <c r="BML1152" s="13"/>
      <c r="BMM1152" s="13"/>
      <c r="BMN1152" s="13"/>
      <c r="BMO1152" s="13"/>
      <c r="BMP1152" s="13"/>
      <c r="BMQ1152" s="13"/>
      <c r="BMR1152" s="13"/>
      <c r="BMS1152" s="13"/>
      <c r="BMT1152" s="13"/>
      <c r="BMU1152" s="13"/>
      <c r="BMV1152" s="13"/>
      <c r="BMW1152" s="13"/>
      <c r="BMX1152" s="13"/>
      <c r="BMY1152" s="13"/>
      <c r="BMZ1152" s="13"/>
      <c r="BNA1152" s="13"/>
      <c r="BNB1152" s="13"/>
      <c r="BNC1152" s="13"/>
      <c r="BND1152" s="13"/>
      <c r="BNE1152" s="13"/>
      <c r="BNF1152" s="13"/>
      <c r="BNG1152" s="13"/>
      <c r="BNH1152" s="13"/>
      <c r="BNI1152" s="13"/>
      <c r="BNJ1152" s="13"/>
      <c r="BNK1152" s="13"/>
      <c r="BNL1152" s="13"/>
      <c r="BNM1152" s="13"/>
      <c r="BNN1152" s="13"/>
      <c r="BNO1152" s="13"/>
      <c r="BNP1152" s="13"/>
      <c r="BNQ1152" s="13"/>
      <c r="BNR1152" s="13"/>
      <c r="BNS1152" s="13"/>
      <c r="BNT1152" s="13"/>
      <c r="BNU1152" s="13"/>
      <c r="BNV1152" s="13"/>
      <c r="BNW1152" s="13"/>
      <c r="BNX1152" s="13"/>
      <c r="BNY1152" s="13"/>
      <c r="BNZ1152" s="13"/>
      <c r="BOA1152" s="13"/>
      <c r="BOB1152" s="13"/>
      <c r="BOC1152" s="13"/>
      <c r="BOD1152" s="13"/>
      <c r="BOE1152" s="13"/>
      <c r="BOF1152" s="13"/>
      <c r="BOG1152" s="13"/>
      <c r="BOH1152" s="13"/>
      <c r="BOI1152" s="13"/>
      <c r="BOJ1152" s="13"/>
      <c r="BOK1152" s="13"/>
      <c r="BOL1152" s="13"/>
      <c r="BOM1152" s="13"/>
      <c r="BON1152" s="13"/>
      <c r="BOO1152" s="13"/>
      <c r="BOP1152" s="13"/>
      <c r="BOQ1152" s="13"/>
      <c r="BOR1152" s="13"/>
      <c r="BOS1152" s="13"/>
      <c r="BOT1152" s="13"/>
      <c r="BOU1152" s="13"/>
      <c r="BOV1152" s="13"/>
      <c r="BOW1152" s="13"/>
      <c r="BOX1152" s="13"/>
      <c r="BOY1152" s="13"/>
      <c r="BOZ1152" s="13"/>
      <c r="BPA1152" s="13"/>
      <c r="BPB1152" s="13"/>
      <c r="BPC1152" s="13"/>
      <c r="BPD1152" s="13"/>
      <c r="BPE1152" s="13"/>
      <c r="BPF1152" s="13"/>
      <c r="BPG1152" s="13"/>
      <c r="BPH1152" s="13"/>
      <c r="BPI1152" s="13"/>
      <c r="BPJ1152" s="13"/>
      <c r="BPK1152" s="13"/>
      <c r="BPL1152" s="13"/>
      <c r="BPM1152" s="13"/>
      <c r="BPN1152" s="13"/>
      <c r="BPO1152" s="13"/>
      <c r="BPP1152" s="13"/>
      <c r="BPQ1152" s="13"/>
      <c r="BPR1152" s="13"/>
      <c r="BPS1152" s="13"/>
      <c r="BPT1152" s="13"/>
      <c r="BPU1152" s="13"/>
      <c r="BPV1152" s="13"/>
      <c r="BPW1152" s="13"/>
      <c r="BPX1152" s="13"/>
      <c r="BPY1152" s="13"/>
      <c r="BPZ1152" s="13"/>
      <c r="BQA1152" s="13"/>
      <c r="BQB1152" s="13"/>
      <c r="BQC1152" s="13"/>
      <c r="BQD1152" s="13"/>
      <c r="BQE1152" s="13"/>
      <c r="BQF1152" s="13"/>
      <c r="BQG1152" s="13"/>
      <c r="BQH1152" s="13"/>
      <c r="BQI1152" s="13"/>
      <c r="BQJ1152" s="13"/>
      <c r="BQK1152" s="13"/>
      <c r="BQL1152" s="13"/>
      <c r="BQM1152" s="13"/>
      <c r="BQN1152" s="13"/>
      <c r="BQO1152" s="13"/>
      <c r="BQP1152" s="13"/>
      <c r="BQQ1152" s="13"/>
      <c r="BQR1152" s="13"/>
      <c r="BQS1152" s="13"/>
      <c r="BQT1152" s="13"/>
      <c r="BQU1152" s="13"/>
      <c r="BQV1152" s="13"/>
      <c r="BQW1152" s="13"/>
      <c r="BQX1152" s="13"/>
      <c r="BQY1152" s="13"/>
      <c r="BQZ1152" s="13"/>
      <c r="BRA1152" s="13"/>
      <c r="BRB1152" s="13"/>
      <c r="BRC1152" s="13"/>
      <c r="BRD1152" s="13"/>
      <c r="BRE1152" s="13"/>
      <c r="BRF1152" s="13"/>
      <c r="BRG1152" s="13"/>
      <c r="BRH1152" s="13"/>
      <c r="BRI1152" s="13"/>
      <c r="BRJ1152" s="13"/>
      <c r="BRK1152" s="13"/>
      <c r="BRL1152" s="13"/>
      <c r="BRM1152" s="13"/>
      <c r="BRN1152" s="13"/>
      <c r="BRO1152" s="13"/>
      <c r="BRP1152" s="13"/>
      <c r="BRQ1152" s="13"/>
      <c r="BRR1152" s="13"/>
      <c r="BRS1152" s="13"/>
      <c r="BRT1152" s="13"/>
      <c r="BRU1152" s="13"/>
      <c r="BRV1152" s="13"/>
      <c r="BRW1152" s="13"/>
      <c r="BRX1152" s="13"/>
      <c r="BRY1152" s="13"/>
      <c r="BRZ1152" s="13"/>
      <c r="BSA1152" s="13"/>
      <c r="BSB1152" s="13"/>
      <c r="BSC1152" s="13"/>
      <c r="BSD1152" s="13"/>
      <c r="BSE1152" s="13"/>
      <c r="BSF1152" s="13"/>
      <c r="BSG1152" s="13"/>
      <c r="BSH1152" s="13"/>
      <c r="BSI1152" s="13"/>
      <c r="BSJ1152" s="13"/>
      <c r="BSK1152" s="13"/>
      <c r="BSL1152" s="13"/>
      <c r="BSM1152" s="13"/>
      <c r="BSN1152" s="13"/>
      <c r="BSO1152" s="13"/>
      <c r="BSP1152" s="13"/>
      <c r="BSQ1152" s="13"/>
      <c r="BSR1152" s="13"/>
      <c r="BSS1152" s="13"/>
      <c r="BST1152" s="13"/>
      <c r="BSU1152" s="13"/>
      <c r="BSV1152" s="13"/>
      <c r="BSW1152" s="13"/>
      <c r="BSX1152" s="13"/>
      <c r="BSY1152" s="13"/>
      <c r="BSZ1152" s="13"/>
      <c r="BTA1152" s="13"/>
      <c r="BTB1152" s="13"/>
      <c r="BTC1152" s="13"/>
      <c r="BTD1152" s="13"/>
      <c r="BTE1152" s="13"/>
      <c r="BTF1152" s="13"/>
      <c r="BTG1152" s="13"/>
      <c r="BTH1152" s="13"/>
      <c r="BTI1152" s="13"/>
      <c r="BTJ1152" s="13"/>
      <c r="BTK1152" s="13"/>
      <c r="BTL1152" s="13"/>
      <c r="BTM1152" s="13"/>
      <c r="BTN1152" s="13"/>
      <c r="BTO1152" s="13"/>
      <c r="BTP1152" s="13"/>
      <c r="BTQ1152" s="13"/>
      <c r="BTR1152" s="13"/>
      <c r="BTS1152" s="13"/>
      <c r="BTT1152" s="13"/>
      <c r="BTU1152" s="13"/>
      <c r="BTV1152" s="13"/>
      <c r="BTW1152" s="13"/>
      <c r="BTX1152" s="13"/>
      <c r="BTY1152" s="13"/>
      <c r="BTZ1152" s="13"/>
      <c r="BUA1152" s="13"/>
      <c r="BUB1152" s="13"/>
      <c r="BUC1152" s="13"/>
      <c r="BUD1152" s="13"/>
      <c r="BUE1152" s="13"/>
      <c r="BUF1152" s="13"/>
      <c r="BUG1152" s="13"/>
      <c r="BUH1152" s="13"/>
      <c r="BUI1152" s="13"/>
      <c r="BUJ1152" s="13"/>
      <c r="BUK1152" s="13"/>
      <c r="BUL1152" s="13"/>
      <c r="BUM1152" s="13"/>
      <c r="BUN1152" s="13"/>
      <c r="BUO1152" s="13"/>
      <c r="BUP1152" s="13"/>
      <c r="BUQ1152" s="13"/>
      <c r="BUR1152" s="13"/>
      <c r="BUS1152" s="13"/>
      <c r="BUT1152" s="13"/>
      <c r="BUU1152" s="13"/>
      <c r="BUV1152" s="13"/>
      <c r="BUW1152" s="13"/>
      <c r="BUX1152" s="13"/>
      <c r="BUY1152" s="13"/>
      <c r="BUZ1152" s="13"/>
      <c r="BVA1152" s="13"/>
      <c r="BVB1152" s="13"/>
      <c r="BVC1152" s="13"/>
      <c r="BVD1152" s="13"/>
      <c r="BVE1152" s="13"/>
      <c r="BVF1152" s="13"/>
      <c r="BVG1152" s="13"/>
      <c r="BVH1152" s="13"/>
      <c r="BVI1152" s="13"/>
      <c r="BVJ1152" s="13"/>
      <c r="BVK1152" s="13"/>
      <c r="BVL1152" s="13"/>
      <c r="BVM1152" s="13"/>
      <c r="BVN1152" s="13"/>
      <c r="BVO1152" s="13"/>
      <c r="BVP1152" s="13"/>
      <c r="BVQ1152" s="13"/>
      <c r="BVR1152" s="13"/>
      <c r="BVS1152" s="13"/>
      <c r="BVT1152" s="13"/>
      <c r="BVU1152" s="13"/>
      <c r="BVV1152" s="13"/>
      <c r="BVW1152" s="13"/>
      <c r="BVX1152" s="13"/>
      <c r="BVY1152" s="13"/>
      <c r="BVZ1152" s="13"/>
      <c r="BWA1152" s="13"/>
      <c r="BWB1152" s="13"/>
      <c r="BWC1152" s="13"/>
      <c r="BWD1152" s="13"/>
      <c r="BWE1152" s="13"/>
      <c r="BWF1152" s="13"/>
      <c r="BWG1152" s="13"/>
      <c r="BWH1152" s="13"/>
      <c r="BWI1152" s="13"/>
      <c r="BWJ1152" s="13"/>
      <c r="BWK1152" s="13"/>
      <c r="BWL1152" s="13"/>
      <c r="BWM1152" s="13"/>
      <c r="BWN1152" s="13"/>
      <c r="BWO1152" s="13"/>
      <c r="BWP1152" s="13"/>
      <c r="BWQ1152" s="13"/>
      <c r="BWR1152" s="13"/>
      <c r="BWS1152" s="13"/>
      <c r="BWT1152" s="13"/>
      <c r="BWU1152" s="13"/>
      <c r="BWV1152" s="13"/>
      <c r="BWW1152" s="13"/>
      <c r="BWX1152" s="13"/>
      <c r="BWY1152" s="13"/>
      <c r="BWZ1152" s="13"/>
      <c r="BXA1152" s="13"/>
      <c r="BXB1152" s="13"/>
      <c r="BXC1152" s="13"/>
      <c r="BXD1152" s="13"/>
      <c r="BXE1152" s="13"/>
      <c r="BXF1152" s="13"/>
      <c r="BXG1152" s="13"/>
      <c r="BXH1152" s="13"/>
      <c r="BXI1152" s="13"/>
      <c r="BXJ1152" s="13"/>
      <c r="BXK1152" s="13"/>
      <c r="BXL1152" s="13"/>
      <c r="BXM1152" s="13"/>
      <c r="BXN1152" s="13"/>
      <c r="BXO1152" s="13"/>
      <c r="BXP1152" s="13"/>
      <c r="BXQ1152" s="13"/>
      <c r="BXR1152" s="13"/>
      <c r="BXS1152" s="13"/>
      <c r="BXT1152" s="13"/>
      <c r="BXU1152" s="13"/>
      <c r="BXV1152" s="13"/>
      <c r="BXW1152" s="13"/>
      <c r="BXX1152" s="13"/>
      <c r="BXY1152" s="13"/>
      <c r="BXZ1152" s="13"/>
      <c r="BYA1152" s="13"/>
      <c r="BYB1152" s="13"/>
      <c r="BYC1152" s="13"/>
      <c r="BYD1152" s="13"/>
      <c r="BYE1152" s="13"/>
      <c r="BYF1152" s="13"/>
      <c r="BYG1152" s="13"/>
      <c r="BYH1152" s="13"/>
      <c r="BYI1152" s="13"/>
      <c r="BYJ1152" s="13"/>
      <c r="BYK1152" s="13"/>
      <c r="BYL1152" s="13"/>
      <c r="BYM1152" s="13"/>
      <c r="BYN1152" s="13"/>
      <c r="BYO1152" s="13"/>
      <c r="BYP1152" s="13"/>
      <c r="BYQ1152" s="13"/>
      <c r="BYR1152" s="13"/>
      <c r="BYS1152" s="13"/>
      <c r="BYT1152" s="13"/>
      <c r="BYU1152" s="13"/>
      <c r="BYV1152" s="13"/>
      <c r="BYW1152" s="13"/>
      <c r="BYX1152" s="13"/>
      <c r="BYY1152" s="13"/>
      <c r="BYZ1152" s="13"/>
      <c r="BZA1152" s="13"/>
      <c r="BZB1152" s="13"/>
      <c r="BZC1152" s="13"/>
      <c r="BZD1152" s="13"/>
      <c r="BZE1152" s="13"/>
      <c r="BZF1152" s="13"/>
      <c r="BZG1152" s="13"/>
      <c r="BZH1152" s="13"/>
      <c r="BZI1152" s="13"/>
      <c r="BZJ1152" s="13"/>
      <c r="BZK1152" s="13"/>
      <c r="BZL1152" s="13"/>
      <c r="BZM1152" s="13"/>
      <c r="BZN1152" s="13"/>
      <c r="BZO1152" s="13"/>
      <c r="BZP1152" s="13"/>
      <c r="BZQ1152" s="13"/>
      <c r="BZR1152" s="13"/>
      <c r="BZS1152" s="13"/>
      <c r="BZT1152" s="13"/>
      <c r="BZU1152" s="13"/>
      <c r="BZV1152" s="13"/>
      <c r="BZW1152" s="13"/>
      <c r="BZX1152" s="13"/>
      <c r="BZY1152" s="13"/>
      <c r="BZZ1152" s="13"/>
      <c r="CAA1152" s="13"/>
      <c r="CAB1152" s="13"/>
      <c r="CAC1152" s="13"/>
      <c r="CAD1152" s="13"/>
      <c r="CAE1152" s="13"/>
      <c r="CAF1152" s="13"/>
      <c r="CAG1152" s="13"/>
      <c r="CAH1152" s="13"/>
      <c r="CAI1152" s="13"/>
      <c r="CAJ1152" s="13"/>
      <c r="CAK1152" s="13"/>
      <c r="CAL1152" s="13"/>
      <c r="CAM1152" s="13"/>
      <c r="CAN1152" s="13"/>
      <c r="CAO1152" s="13"/>
      <c r="CAP1152" s="13"/>
      <c r="CAQ1152" s="13"/>
      <c r="CAR1152" s="13"/>
      <c r="CAS1152" s="13"/>
      <c r="CAT1152" s="13"/>
      <c r="CAU1152" s="13"/>
      <c r="CAV1152" s="13"/>
      <c r="CAW1152" s="13"/>
      <c r="CAX1152" s="13"/>
      <c r="CAY1152" s="13"/>
      <c r="CAZ1152" s="13"/>
      <c r="CBA1152" s="13"/>
      <c r="CBB1152" s="13"/>
      <c r="CBC1152" s="13"/>
      <c r="CBD1152" s="13"/>
      <c r="CBE1152" s="13"/>
      <c r="CBF1152" s="13"/>
      <c r="CBG1152" s="13"/>
      <c r="CBH1152" s="13"/>
      <c r="CBI1152" s="13"/>
      <c r="CBJ1152" s="13"/>
      <c r="CBK1152" s="13"/>
      <c r="CBL1152" s="13"/>
      <c r="CBM1152" s="13"/>
      <c r="CBN1152" s="13"/>
      <c r="CBO1152" s="13"/>
      <c r="CBP1152" s="13"/>
      <c r="CBQ1152" s="13"/>
      <c r="CBR1152" s="13"/>
      <c r="CBS1152" s="13"/>
      <c r="CBT1152" s="13"/>
      <c r="CBU1152" s="13"/>
      <c r="CBV1152" s="13"/>
      <c r="CBW1152" s="13"/>
      <c r="CBX1152" s="13"/>
      <c r="CBY1152" s="13"/>
      <c r="CBZ1152" s="13"/>
      <c r="CCA1152" s="13"/>
      <c r="CCB1152" s="13"/>
      <c r="CCC1152" s="13"/>
      <c r="CCD1152" s="13"/>
      <c r="CCE1152" s="13"/>
      <c r="CCF1152" s="13"/>
      <c r="CCG1152" s="13"/>
      <c r="CCH1152" s="13"/>
      <c r="CCI1152" s="13"/>
      <c r="CCJ1152" s="13"/>
      <c r="CCK1152" s="13"/>
      <c r="CCL1152" s="13"/>
      <c r="CCM1152" s="13"/>
      <c r="CCN1152" s="13"/>
      <c r="CCO1152" s="13"/>
      <c r="CCP1152" s="13"/>
      <c r="CCQ1152" s="13"/>
      <c r="CCR1152" s="13"/>
      <c r="CCS1152" s="13"/>
      <c r="CCT1152" s="13"/>
      <c r="CCU1152" s="13"/>
      <c r="CCV1152" s="13"/>
      <c r="CCW1152" s="13"/>
      <c r="CCX1152" s="13"/>
      <c r="CCY1152" s="13"/>
      <c r="CCZ1152" s="13"/>
      <c r="CDA1152" s="13"/>
      <c r="CDB1152" s="13"/>
      <c r="CDC1152" s="13"/>
      <c r="CDD1152" s="13"/>
      <c r="CDE1152" s="13"/>
      <c r="CDF1152" s="13"/>
      <c r="CDG1152" s="13"/>
      <c r="CDH1152" s="13"/>
      <c r="CDI1152" s="13"/>
      <c r="CDJ1152" s="13"/>
      <c r="CDK1152" s="13"/>
      <c r="CDL1152" s="13"/>
      <c r="CDM1152" s="13"/>
      <c r="CDN1152" s="13"/>
      <c r="CDO1152" s="13"/>
      <c r="CDP1152" s="13"/>
      <c r="CDQ1152" s="13"/>
      <c r="CDR1152" s="13"/>
      <c r="CDS1152" s="13"/>
      <c r="CDT1152" s="13"/>
      <c r="CDU1152" s="13"/>
      <c r="CDV1152" s="13"/>
      <c r="CDW1152" s="13"/>
      <c r="CDX1152" s="13"/>
      <c r="CDY1152" s="13"/>
      <c r="CDZ1152" s="13"/>
      <c r="CEA1152" s="13"/>
      <c r="CEB1152" s="13"/>
      <c r="CEC1152" s="13"/>
      <c r="CED1152" s="13"/>
      <c r="CEE1152" s="13"/>
      <c r="CEF1152" s="13"/>
      <c r="CEG1152" s="13"/>
      <c r="CEH1152" s="13"/>
      <c r="CEI1152" s="13"/>
      <c r="CEJ1152" s="13"/>
      <c r="CEK1152" s="13"/>
      <c r="CEL1152" s="13"/>
      <c r="CEM1152" s="13"/>
      <c r="CEN1152" s="13"/>
      <c r="CEO1152" s="13"/>
      <c r="CEP1152" s="13"/>
      <c r="CEQ1152" s="13"/>
      <c r="CER1152" s="13"/>
      <c r="CES1152" s="13"/>
      <c r="CET1152" s="13"/>
      <c r="CEU1152" s="13"/>
      <c r="CEV1152" s="13"/>
      <c r="CEW1152" s="13"/>
      <c r="CEX1152" s="13"/>
      <c r="CEY1152" s="13"/>
      <c r="CEZ1152" s="13"/>
      <c r="CFA1152" s="13"/>
      <c r="CFB1152" s="13"/>
      <c r="CFC1152" s="13"/>
      <c r="CFD1152" s="13"/>
      <c r="CFE1152" s="13"/>
      <c r="CFF1152" s="13"/>
      <c r="CFG1152" s="13"/>
      <c r="CFH1152" s="13"/>
      <c r="CFI1152" s="13"/>
      <c r="CFJ1152" s="13"/>
      <c r="CFK1152" s="13"/>
      <c r="CFL1152" s="13"/>
      <c r="CFM1152" s="13"/>
      <c r="CFN1152" s="13"/>
      <c r="CFO1152" s="13"/>
      <c r="CFP1152" s="13"/>
      <c r="CFQ1152" s="13"/>
      <c r="CFR1152" s="13"/>
      <c r="CFS1152" s="13"/>
      <c r="CFT1152" s="13"/>
      <c r="CFU1152" s="13"/>
      <c r="CFV1152" s="13"/>
      <c r="CFW1152" s="13"/>
      <c r="CFX1152" s="13"/>
      <c r="CFY1152" s="13"/>
      <c r="CFZ1152" s="13"/>
      <c r="CGA1152" s="13"/>
      <c r="CGB1152" s="13"/>
      <c r="CGC1152" s="13"/>
      <c r="CGD1152" s="13"/>
      <c r="CGE1152" s="13"/>
      <c r="CGF1152" s="13"/>
      <c r="CGG1152" s="13"/>
      <c r="CGH1152" s="13"/>
      <c r="CGI1152" s="13"/>
      <c r="CGJ1152" s="13"/>
      <c r="CGK1152" s="13"/>
      <c r="CGL1152" s="13"/>
      <c r="CGM1152" s="13"/>
      <c r="CGN1152" s="13"/>
      <c r="CGO1152" s="13"/>
      <c r="CGP1152" s="13"/>
      <c r="CGQ1152" s="13"/>
      <c r="CGR1152" s="13"/>
      <c r="CGS1152" s="13"/>
      <c r="CGT1152" s="13"/>
      <c r="CGU1152" s="13"/>
      <c r="CGV1152" s="13"/>
      <c r="CGW1152" s="13"/>
      <c r="CGX1152" s="13"/>
      <c r="CGY1152" s="13"/>
      <c r="CGZ1152" s="13"/>
      <c r="CHA1152" s="13"/>
      <c r="CHB1152" s="13"/>
      <c r="CHC1152" s="13"/>
      <c r="CHD1152" s="13"/>
      <c r="CHE1152" s="13"/>
      <c r="CHF1152" s="13"/>
      <c r="CHG1152" s="13"/>
      <c r="CHH1152" s="13"/>
      <c r="CHI1152" s="13"/>
      <c r="CHJ1152" s="13"/>
      <c r="CHK1152" s="13"/>
      <c r="CHL1152" s="13"/>
      <c r="CHM1152" s="13"/>
      <c r="CHN1152" s="13"/>
      <c r="CHO1152" s="13"/>
      <c r="CHP1152" s="13"/>
      <c r="CHQ1152" s="13"/>
      <c r="CHR1152" s="13"/>
      <c r="CHS1152" s="13"/>
      <c r="CHT1152" s="13"/>
      <c r="CHU1152" s="13"/>
      <c r="CHV1152" s="13"/>
      <c r="CHW1152" s="13"/>
      <c r="CHX1152" s="13"/>
      <c r="CHY1152" s="13"/>
      <c r="CHZ1152" s="13"/>
      <c r="CIA1152" s="13"/>
      <c r="CIB1152" s="13"/>
      <c r="CIC1152" s="13"/>
      <c r="CID1152" s="13"/>
      <c r="CIE1152" s="13"/>
      <c r="CIF1152" s="13"/>
      <c r="CIG1152" s="13"/>
      <c r="CIH1152" s="13"/>
      <c r="CII1152" s="13"/>
      <c r="CIJ1152" s="13"/>
      <c r="CIK1152" s="13"/>
      <c r="CIL1152" s="13"/>
      <c r="CIM1152" s="13"/>
      <c r="CIN1152" s="13"/>
      <c r="CIO1152" s="13"/>
      <c r="CIP1152" s="13"/>
      <c r="CIQ1152" s="13"/>
      <c r="CIR1152" s="13"/>
      <c r="CIS1152" s="13"/>
      <c r="CIT1152" s="13"/>
      <c r="CIU1152" s="13"/>
      <c r="CIV1152" s="13"/>
      <c r="CIW1152" s="13"/>
      <c r="CIX1152" s="13"/>
      <c r="CIY1152" s="13"/>
      <c r="CIZ1152" s="13"/>
      <c r="CJA1152" s="13"/>
      <c r="CJB1152" s="13"/>
      <c r="CJC1152" s="13"/>
      <c r="CJD1152" s="13"/>
      <c r="CJE1152" s="13"/>
      <c r="CJF1152" s="13"/>
      <c r="CJG1152" s="13"/>
      <c r="CJH1152" s="13"/>
      <c r="CJI1152" s="13"/>
      <c r="CJJ1152" s="13"/>
      <c r="CJK1152" s="13"/>
      <c r="CJL1152" s="13"/>
      <c r="CJM1152" s="13"/>
      <c r="CJN1152" s="13"/>
      <c r="CJO1152" s="13"/>
      <c r="CJP1152" s="13"/>
      <c r="CJQ1152" s="13"/>
      <c r="CJR1152" s="13"/>
      <c r="CJS1152" s="13"/>
      <c r="CJT1152" s="13"/>
      <c r="CJU1152" s="13"/>
      <c r="CJV1152" s="13"/>
      <c r="CJW1152" s="13"/>
      <c r="CJX1152" s="13"/>
      <c r="CJY1152" s="13"/>
      <c r="CJZ1152" s="13"/>
      <c r="CKA1152" s="13"/>
      <c r="CKB1152" s="13"/>
      <c r="CKC1152" s="13"/>
      <c r="CKD1152" s="13"/>
      <c r="CKE1152" s="13"/>
      <c r="CKF1152" s="13"/>
      <c r="CKG1152" s="13"/>
      <c r="CKH1152" s="13"/>
      <c r="CKI1152" s="13"/>
      <c r="CKJ1152" s="13"/>
      <c r="CKK1152" s="13"/>
      <c r="CKL1152" s="13"/>
      <c r="CKM1152" s="13"/>
      <c r="CKN1152" s="13"/>
      <c r="CKO1152" s="13"/>
      <c r="CKP1152" s="13"/>
      <c r="CKQ1152" s="13"/>
      <c r="CKR1152" s="13"/>
      <c r="CKS1152" s="13"/>
      <c r="CKT1152" s="13"/>
      <c r="CKU1152" s="13"/>
      <c r="CKV1152" s="13"/>
      <c r="CKW1152" s="13"/>
      <c r="CKX1152" s="13"/>
      <c r="CKY1152" s="13"/>
      <c r="CKZ1152" s="13"/>
      <c r="CLA1152" s="13"/>
      <c r="CLB1152" s="13"/>
      <c r="CLC1152" s="13"/>
      <c r="CLD1152" s="13"/>
      <c r="CLE1152" s="13"/>
      <c r="CLF1152" s="13"/>
      <c r="CLG1152" s="13"/>
      <c r="CLH1152" s="13"/>
      <c r="CLI1152" s="13"/>
      <c r="CLJ1152" s="13"/>
      <c r="CLK1152" s="13"/>
      <c r="CLL1152" s="13"/>
      <c r="CLM1152" s="13"/>
      <c r="CLN1152" s="13"/>
      <c r="CLO1152" s="13"/>
      <c r="CLP1152" s="13"/>
      <c r="CLQ1152" s="13"/>
      <c r="CLR1152" s="13"/>
      <c r="CLS1152" s="13"/>
      <c r="CLT1152" s="13"/>
      <c r="CLU1152" s="13"/>
      <c r="CLV1152" s="13"/>
      <c r="CLW1152" s="13"/>
      <c r="CLX1152" s="13"/>
      <c r="CLY1152" s="13"/>
      <c r="CLZ1152" s="13"/>
      <c r="CMA1152" s="13"/>
      <c r="CMB1152" s="13"/>
      <c r="CMC1152" s="13"/>
      <c r="CMD1152" s="13"/>
      <c r="CME1152" s="13"/>
      <c r="CMF1152" s="13"/>
      <c r="CMG1152" s="13"/>
      <c r="CMH1152" s="13"/>
      <c r="CMI1152" s="13"/>
      <c r="CMJ1152" s="13"/>
      <c r="CMK1152" s="13"/>
      <c r="CML1152" s="13"/>
      <c r="CMM1152" s="13"/>
      <c r="CMN1152" s="13"/>
      <c r="CMO1152" s="13"/>
      <c r="CMP1152" s="13"/>
      <c r="CMQ1152" s="13"/>
      <c r="CMR1152" s="13"/>
      <c r="CMS1152" s="13"/>
      <c r="CMT1152" s="13"/>
      <c r="CMU1152" s="13"/>
      <c r="CMV1152" s="13"/>
      <c r="CMW1152" s="13"/>
      <c r="CMX1152" s="13"/>
      <c r="CMY1152" s="13"/>
      <c r="CMZ1152" s="13"/>
      <c r="CNA1152" s="13"/>
      <c r="CNB1152" s="13"/>
      <c r="CNC1152" s="13"/>
      <c r="CND1152" s="13"/>
      <c r="CNE1152" s="13"/>
      <c r="CNF1152" s="13"/>
      <c r="CNG1152" s="13"/>
      <c r="CNH1152" s="13"/>
      <c r="CNI1152" s="13"/>
      <c r="CNJ1152" s="13"/>
      <c r="CNK1152" s="13"/>
      <c r="CNL1152" s="13"/>
      <c r="CNM1152" s="13"/>
      <c r="CNN1152" s="13"/>
      <c r="CNO1152" s="13"/>
      <c r="CNP1152" s="13"/>
      <c r="CNQ1152" s="13"/>
      <c r="CNR1152" s="13"/>
      <c r="CNS1152" s="13"/>
      <c r="CNT1152" s="13"/>
      <c r="CNU1152" s="13"/>
      <c r="CNV1152" s="13"/>
      <c r="CNW1152" s="13"/>
      <c r="CNX1152" s="13"/>
      <c r="CNY1152" s="13"/>
      <c r="CNZ1152" s="13"/>
      <c r="COA1152" s="13"/>
      <c r="COB1152" s="13"/>
      <c r="COC1152" s="13"/>
      <c r="COD1152" s="13"/>
      <c r="COE1152" s="13"/>
      <c r="COF1152" s="13"/>
      <c r="COG1152" s="13"/>
      <c r="COH1152" s="13"/>
      <c r="COI1152" s="13"/>
      <c r="COJ1152" s="13"/>
      <c r="COK1152" s="13"/>
      <c r="COL1152" s="13"/>
      <c r="COM1152" s="13"/>
      <c r="CON1152" s="13"/>
      <c r="COO1152" s="13"/>
      <c r="COP1152" s="13"/>
      <c r="COQ1152" s="13"/>
      <c r="COR1152" s="13"/>
      <c r="COS1152" s="13"/>
      <c r="COT1152" s="13"/>
      <c r="COU1152" s="13"/>
      <c r="COV1152" s="13"/>
      <c r="COW1152" s="13"/>
      <c r="COX1152" s="13"/>
      <c r="COY1152" s="13"/>
      <c r="COZ1152" s="13"/>
      <c r="CPA1152" s="13"/>
      <c r="CPB1152" s="13"/>
      <c r="CPC1152" s="13"/>
      <c r="CPD1152" s="13"/>
      <c r="CPE1152" s="13"/>
      <c r="CPF1152" s="13"/>
      <c r="CPG1152" s="13"/>
      <c r="CPH1152" s="13"/>
      <c r="CPI1152" s="13"/>
      <c r="CPJ1152" s="13"/>
      <c r="CPK1152" s="13"/>
      <c r="CPL1152" s="13"/>
      <c r="CPM1152" s="13"/>
      <c r="CPN1152" s="13"/>
      <c r="CPO1152" s="13"/>
      <c r="CPP1152" s="13"/>
      <c r="CPQ1152" s="13"/>
      <c r="CPR1152" s="13"/>
      <c r="CPS1152" s="13"/>
      <c r="CPT1152" s="13"/>
      <c r="CPU1152" s="13"/>
      <c r="CPV1152" s="13"/>
      <c r="CPW1152" s="13"/>
      <c r="CPX1152" s="13"/>
      <c r="CPY1152" s="13"/>
      <c r="CPZ1152" s="13"/>
      <c r="CQA1152" s="13"/>
      <c r="CQB1152" s="13"/>
      <c r="CQC1152" s="13"/>
      <c r="CQD1152" s="13"/>
      <c r="CQE1152" s="13"/>
      <c r="CQF1152" s="13"/>
      <c r="CQG1152" s="13"/>
      <c r="CQH1152" s="13"/>
      <c r="CQI1152" s="13"/>
      <c r="CQJ1152" s="13"/>
      <c r="CQK1152" s="13"/>
      <c r="CQL1152" s="13"/>
      <c r="CQM1152" s="13"/>
      <c r="CQN1152" s="13"/>
      <c r="CQO1152" s="13"/>
      <c r="CQP1152" s="13"/>
      <c r="CQQ1152" s="13"/>
      <c r="CQR1152" s="13"/>
      <c r="CQS1152" s="13"/>
      <c r="CQT1152" s="13"/>
      <c r="CQU1152" s="13"/>
      <c r="CQV1152" s="13"/>
      <c r="CQW1152" s="13"/>
      <c r="CQX1152" s="13"/>
      <c r="CQY1152" s="13"/>
      <c r="CQZ1152" s="13"/>
      <c r="CRA1152" s="13"/>
      <c r="CRB1152" s="13"/>
      <c r="CRC1152" s="13"/>
      <c r="CRD1152" s="13"/>
      <c r="CRE1152" s="13"/>
      <c r="CRF1152" s="13"/>
      <c r="CRG1152" s="13"/>
      <c r="CRH1152" s="13"/>
      <c r="CRI1152" s="13"/>
      <c r="CRJ1152" s="13"/>
      <c r="CRK1152" s="13"/>
      <c r="CRL1152" s="13"/>
      <c r="CRM1152" s="13"/>
      <c r="CRN1152" s="13"/>
      <c r="CRO1152" s="13"/>
      <c r="CRP1152" s="13"/>
      <c r="CRQ1152" s="13"/>
      <c r="CRR1152" s="13"/>
      <c r="CRS1152" s="13"/>
      <c r="CRT1152" s="13"/>
      <c r="CRU1152" s="13"/>
      <c r="CRV1152" s="13"/>
      <c r="CRW1152" s="13"/>
      <c r="CRX1152" s="13"/>
      <c r="CRY1152" s="13"/>
      <c r="CRZ1152" s="13"/>
      <c r="CSA1152" s="13"/>
      <c r="CSB1152" s="13"/>
      <c r="CSC1152" s="13"/>
      <c r="CSD1152" s="13"/>
      <c r="CSE1152" s="13"/>
      <c r="CSF1152" s="13"/>
      <c r="CSG1152" s="13"/>
      <c r="CSH1152" s="13"/>
      <c r="CSI1152" s="13"/>
      <c r="CSJ1152" s="13"/>
      <c r="CSK1152" s="13"/>
      <c r="CSL1152" s="13"/>
      <c r="CSM1152" s="13"/>
      <c r="CSN1152" s="13"/>
      <c r="CSO1152" s="13"/>
      <c r="CSP1152" s="13"/>
      <c r="CSQ1152" s="13"/>
      <c r="CSR1152" s="13"/>
      <c r="CSS1152" s="13"/>
      <c r="CST1152" s="13"/>
      <c r="CSU1152" s="13"/>
      <c r="CSV1152" s="13"/>
      <c r="CSW1152" s="13"/>
      <c r="CSX1152" s="13"/>
      <c r="CSY1152" s="13"/>
      <c r="CSZ1152" s="13"/>
      <c r="CTA1152" s="13"/>
      <c r="CTB1152" s="13"/>
      <c r="CTC1152" s="13"/>
      <c r="CTD1152" s="13"/>
      <c r="CTE1152" s="13"/>
      <c r="CTF1152" s="13"/>
      <c r="CTG1152" s="13"/>
      <c r="CTH1152" s="13"/>
      <c r="CTI1152" s="13"/>
      <c r="CTJ1152" s="13"/>
      <c r="CTK1152" s="13"/>
      <c r="CTL1152" s="13"/>
      <c r="CTM1152" s="13"/>
      <c r="CTN1152" s="13"/>
      <c r="CTO1152" s="13"/>
      <c r="CTP1152" s="13"/>
      <c r="CTQ1152" s="13"/>
      <c r="CTR1152" s="13"/>
      <c r="CTS1152" s="13"/>
      <c r="CTT1152" s="13"/>
      <c r="CTU1152" s="13"/>
      <c r="CTV1152" s="13"/>
      <c r="CTW1152" s="13"/>
      <c r="CTX1152" s="13"/>
      <c r="CTY1152" s="13"/>
      <c r="CTZ1152" s="13"/>
      <c r="CUA1152" s="13"/>
      <c r="CUB1152" s="13"/>
      <c r="CUC1152" s="13"/>
      <c r="CUD1152" s="13"/>
      <c r="CUE1152" s="13"/>
      <c r="CUF1152" s="13"/>
      <c r="CUG1152" s="13"/>
      <c r="CUH1152" s="13"/>
      <c r="CUI1152" s="13"/>
      <c r="CUJ1152" s="13"/>
      <c r="CUK1152" s="13"/>
      <c r="CUL1152" s="13"/>
      <c r="CUM1152" s="13"/>
      <c r="CUN1152" s="13"/>
      <c r="CUO1152" s="13"/>
      <c r="CUP1152" s="13"/>
      <c r="CUQ1152" s="13"/>
      <c r="CUR1152" s="13"/>
      <c r="CUS1152" s="13"/>
      <c r="CUT1152" s="13"/>
      <c r="CUU1152" s="13"/>
      <c r="CUV1152" s="13"/>
      <c r="CUW1152" s="13"/>
      <c r="CUX1152" s="13"/>
      <c r="CUY1152" s="13"/>
      <c r="CUZ1152" s="13"/>
      <c r="CVA1152" s="13"/>
      <c r="CVB1152" s="13"/>
      <c r="CVC1152" s="13"/>
      <c r="CVD1152" s="13"/>
      <c r="CVE1152" s="13"/>
      <c r="CVF1152" s="13"/>
      <c r="CVG1152" s="13"/>
      <c r="CVH1152" s="13"/>
      <c r="CVI1152" s="13"/>
      <c r="CVJ1152" s="13"/>
      <c r="CVK1152" s="13"/>
      <c r="CVL1152" s="13"/>
      <c r="CVM1152" s="13"/>
      <c r="CVN1152" s="13"/>
      <c r="CVO1152" s="13"/>
      <c r="CVP1152" s="13"/>
      <c r="CVQ1152" s="13"/>
      <c r="CVR1152" s="13"/>
      <c r="CVS1152" s="13"/>
      <c r="CVT1152" s="13"/>
      <c r="CVU1152" s="13"/>
      <c r="CVV1152" s="13"/>
      <c r="CVW1152" s="13"/>
      <c r="CVX1152" s="13"/>
      <c r="CVY1152" s="13"/>
      <c r="CVZ1152" s="13"/>
      <c r="CWA1152" s="13"/>
      <c r="CWB1152" s="13"/>
      <c r="CWC1152" s="13"/>
      <c r="CWD1152" s="13"/>
      <c r="CWE1152" s="13"/>
      <c r="CWF1152" s="13"/>
      <c r="CWG1152" s="13"/>
      <c r="CWH1152" s="13"/>
      <c r="CWI1152" s="13"/>
      <c r="CWJ1152" s="13"/>
      <c r="CWK1152" s="13"/>
      <c r="CWL1152" s="13"/>
      <c r="CWM1152" s="13"/>
      <c r="CWN1152" s="13"/>
      <c r="CWO1152" s="13"/>
      <c r="CWP1152" s="13"/>
      <c r="CWQ1152" s="13"/>
      <c r="CWR1152" s="13"/>
      <c r="CWS1152" s="13"/>
      <c r="CWT1152" s="13"/>
      <c r="CWU1152" s="13"/>
      <c r="CWV1152" s="13"/>
      <c r="CWW1152" s="13"/>
      <c r="CWX1152" s="13"/>
      <c r="CWY1152" s="13"/>
      <c r="CWZ1152" s="13"/>
      <c r="CXA1152" s="13"/>
      <c r="CXB1152" s="13"/>
      <c r="CXC1152" s="13"/>
      <c r="CXD1152" s="13"/>
      <c r="CXE1152" s="13"/>
      <c r="CXF1152" s="13"/>
      <c r="CXG1152" s="13"/>
      <c r="CXH1152" s="13"/>
      <c r="CXI1152" s="13"/>
      <c r="CXJ1152" s="13"/>
      <c r="CXK1152" s="13"/>
      <c r="CXL1152" s="13"/>
      <c r="CXM1152" s="13"/>
      <c r="CXN1152" s="13"/>
      <c r="CXO1152" s="13"/>
      <c r="CXP1152" s="13"/>
      <c r="CXQ1152" s="13"/>
      <c r="CXR1152" s="13"/>
      <c r="CXS1152" s="13"/>
      <c r="CXT1152" s="13"/>
      <c r="CXU1152" s="13"/>
      <c r="CXV1152" s="13"/>
      <c r="CXW1152" s="13"/>
      <c r="CXX1152" s="13"/>
      <c r="CXY1152" s="13"/>
      <c r="CXZ1152" s="13"/>
      <c r="CYA1152" s="13"/>
      <c r="CYB1152" s="13"/>
      <c r="CYC1152" s="13"/>
      <c r="CYD1152" s="13"/>
      <c r="CYE1152" s="13"/>
      <c r="CYF1152" s="13"/>
      <c r="CYG1152" s="13"/>
      <c r="CYH1152" s="13"/>
      <c r="CYI1152" s="13"/>
      <c r="CYJ1152" s="13"/>
      <c r="CYK1152" s="13"/>
      <c r="CYL1152" s="13"/>
      <c r="CYM1152" s="13"/>
      <c r="CYN1152" s="13"/>
      <c r="CYO1152" s="13"/>
      <c r="CYP1152" s="13"/>
      <c r="CYQ1152" s="13"/>
      <c r="CYR1152" s="13"/>
      <c r="CYS1152" s="13"/>
      <c r="CYT1152" s="13"/>
      <c r="CYU1152" s="13"/>
      <c r="CYV1152" s="13"/>
      <c r="CYW1152" s="13"/>
      <c r="CYX1152" s="13"/>
      <c r="CYY1152" s="13"/>
      <c r="CYZ1152" s="13"/>
      <c r="CZA1152" s="13"/>
      <c r="CZB1152" s="13"/>
      <c r="CZC1152" s="13"/>
      <c r="CZD1152" s="13"/>
      <c r="CZE1152" s="13"/>
      <c r="CZF1152" s="13"/>
      <c r="CZG1152" s="13"/>
      <c r="CZH1152" s="13"/>
      <c r="CZI1152" s="13"/>
      <c r="CZJ1152" s="13"/>
      <c r="CZK1152" s="13"/>
      <c r="CZL1152" s="13"/>
      <c r="CZM1152" s="13"/>
      <c r="CZN1152" s="13"/>
      <c r="CZO1152" s="13"/>
      <c r="CZP1152" s="13"/>
      <c r="CZQ1152" s="13"/>
      <c r="CZR1152" s="13"/>
      <c r="CZS1152" s="13"/>
      <c r="CZT1152" s="13"/>
      <c r="CZU1152" s="13"/>
      <c r="CZV1152" s="13"/>
      <c r="CZW1152" s="13"/>
      <c r="CZX1152" s="13"/>
      <c r="CZY1152" s="13"/>
      <c r="CZZ1152" s="13"/>
      <c r="DAA1152" s="13"/>
      <c r="DAB1152" s="13"/>
      <c r="DAC1152" s="13"/>
      <c r="DAD1152" s="13"/>
      <c r="DAE1152" s="13"/>
      <c r="DAF1152" s="13"/>
      <c r="DAG1152" s="13"/>
      <c r="DAH1152" s="13"/>
      <c r="DAI1152" s="13"/>
      <c r="DAJ1152" s="13"/>
      <c r="DAK1152" s="13"/>
      <c r="DAL1152" s="13"/>
      <c r="DAM1152" s="13"/>
      <c r="DAN1152" s="13"/>
      <c r="DAO1152" s="13"/>
      <c r="DAP1152" s="13"/>
      <c r="DAQ1152" s="13"/>
      <c r="DAR1152" s="13"/>
      <c r="DAS1152" s="13"/>
      <c r="DAT1152" s="13"/>
      <c r="DAU1152" s="13"/>
      <c r="DAV1152" s="13"/>
      <c r="DAW1152" s="13"/>
      <c r="DAX1152" s="13"/>
      <c r="DAY1152" s="13"/>
      <c r="DAZ1152" s="13"/>
      <c r="DBA1152" s="13"/>
      <c r="DBB1152" s="13"/>
      <c r="DBC1152" s="13"/>
      <c r="DBD1152" s="13"/>
      <c r="DBE1152" s="13"/>
      <c r="DBF1152" s="13"/>
      <c r="DBG1152" s="13"/>
      <c r="DBH1152" s="13"/>
      <c r="DBI1152" s="13"/>
      <c r="DBJ1152" s="13"/>
      <c r="DBK1152" s="13"/>
      <c r="DBL1152" s="13"/>
      <c r="DBM1152" s="13"/>
      <c r="DBN1152" s="13"/>
      <c r="DBO1152" s="13"/>
      <c r="DBP1152" s="13"/>
      <c r="DBQ1152" s="13"/>
      <c r="DBR1152" s="13"/>
      <c r="DBS1152" s="13"/>
      <c r="DBT1152" s="13"/>
      <c r="DBU1152" s="13"/>
      <c r="DBV1152" s="13"/>
      <c r="DBW1152" s="13"/>
      <c r="DBX1152" s="13"/>
      <c r="DBY1152" s="13"/>
      <c r="DBZ1152" s="13"/>
      <c r="DCA1152" s="13"/>
      <c r="DCB1152" s="13"/>
      <c r="DCC1152" s="13"/>
      <c r="DCD1152" s="13"/>
      <c r="DCE1152" s="13"/>
      <c r="DCF1152" s="13"/>
      <c r="DCG1152" s="13"/>
      <c r="DCH1152" s="13"/>
      <c r="DCI1152" s="13"/>
      <c r="DCJ1152" s="13"/>
      <c r="DCK1152" s="13"/>
      <c r="DCL1152" s="13"/>
      <c r="DCM1152" s="13"/>
      <c r="DCN1152" s="13"/>
      <c r="DCO1152" s="13"/>
      <c r="DCP1152" s="13"/>
      <c r="DCQ1152" s="13"/>
      <c r="DCR1152" s="13"/>
      <c r="DCS1152" s="13"/>
      <c r="DCT1152" s="13"/>
      <c r="DCU1152" s="13"/>
      <c r="DCV1152" s="13"/>
      <c r="DCW1152" s="13"/>
      <c r="DCX1152" s="13"/>
      <c r="DCY1152" s="13"/>
      <c r="DCZ1152" s="13"/>
      <c r="DDA1152" s="13"/>
      <c r="DDB1152" s="13"/>
      <c r="DDC1152" s="13"/>
      <c r="DDD1152" s="13"/>
      <c r="DDE1152" s="13"/>
      <c r="DDF1152" s="13"/>
      <c r="DDG1152" s="13"/>
      <c r="DDH1152" s="13"/>
      <c r="DDI1152" s="13"/>
      <c r="DDJ1152" s="13"/>
      <c r="DDK1152" s="13"/>
      <c r="DDL1152" s="13"/>
      <c r="DDM1152" s="13"/>
      <c r="DDN1152" s="13"/>
      <c r="DDO1152" s="13"/>
      <c r="DDP1152" s="13"/>
      <c r="DDQ1152" s="13"/>
      <c r="DDR1152" s="13"/>
      <c r="DDS1152" s="13"/>
      <c r="DDT1152" s="13"/>
      <c r="DDU1152" s="13"/>
      <c r="DDV1152" s="13"/>
      <c r="DDW1152" s="13"/>
      <c r="DDX1152" s="13"/>
      <c r="DDY1152" s="13"/>
      <c r="DDZ1152" s="13"/>
      <c r="DEA1152" s="13"/>
      <c r="DEB1152" s="13"/>
      <c r="DEC1152" s="13"/>
      <c r="DED1152" s="13"/>
      <c r="DEE1152" s="13"/>
      <c r="DEF1152" s="13"/>
      <c r="DEG1152" s="13"/>
      <c r="DEH1152" s="13"/>
      <c r="DEI1152" s="13"/>
      <c r="DEJ1152" s="13"/>
      <c r="DEK1152" s="13"/>
      <c r="DEL1152" s="13"/>
      <c r="DEM1152" s="13"/>
      <c r="DEN1152" s="13"/>
      <c r="DEO1152" s="13"/>
      <c r="DEP1152" s="13"/>
      <c r="DEQ1152" s="13"/>
      <c r="DER1152" s="13"/>
      <c r="DES1152" s="13"/>
      <c r="DET1152" s="13"/>
      <c r="DEU1152" s="13"/>
      <c r="DEV1152" s="13"/>
      <c r="DEW1152" s="13"/>
      <c r="DEX1152" s="13"/>
      <c r="DEY1152" s="13"/>
      <c r="DEZ1152" s="13"/>
      <c r="DFA1152" s="13"/>
      <c r="DFB1152" s="13"/>
      <c r="DFC1152" s="13"/>
      <c r="DFD1152" s="13"/>
      <c r="DFE1152" s="13"/>
      <c r="DFF1152" s="13"/>
      <c r="DFG1152" s="13"/>
      <c r="DFH1152" s="13"/>
      <c r="DFI1152" s="13"/>
      <c r="DFJ1152" s="13"/>
      <c r="DFK1152" s="13"/>
      <c r="DFL1152" s="13"/>
      <c r="DFM1152" s="13"/>
      <c r="DFN1152" s="13"/>
      <c r="DFO1152" s="13"/>
      <c r="DFP1152" s="13"/>
      <c r="DFQ1152" s="13"/>
      <c r="DFR1152" s="13"/>
      <c r="DFS1152" s="13"/>
      <c r="DFT1152" s="13"/>
      <c r="DFU1152" s="13"/>
      <c r="DFV1152" s="13"/>
      <c r="DFW1152" s="13"/>
      <c r="DFX1152" s="13"/>
      <c r="DFY1152" s="13"/>
      <c r="DFZ1152" s="13"/>
      <c r="DGA1152" s="13"/>
      <c r="DGB1152" s="13"/>
      <c r="DGC1152" s="13"/>
      <c r="DGD1152" s="13"/>
      <c r="DGE1152" s="13"/>
      <c r="DGF1152" s="13"/>
      <c r="DGG1152" s="13"/>
      <c r="DGH1152" s="13"/>
      <c r="DGI1152" s="13"/>
      <c r="DGJ1152" s="13"/>
      <c r="DGK1152" s="13"/>
      <c r="DGL1152" s="13"/>
      <c r="DGM1152" s="13"/>
      <c r="DGN1152" s="13"/>
      <c r="DGO1152" s="13"/>
      <c r="DGP1152" s="13"/>
      <c r="DGQ1152" s="13"/>
      <c r="DGR1152" s="13"/>
      <c r="DGS1152" s="13"/>
      <c r="DGT1152" s="13"/>
      <c r="DGU1152" s="13"/>
      <c r="DGV1152" s="13"/>
      <c r="DGW1152" s="13"/>
      <c r="DGX1152" s="13"/>
      <c r="DGY1152" s="13"/>
      <c r="DGZ1152" s="13"/>
      <c r="DHA1152" s="13"/>
      <c r="DHB1152" s="13"/>
      <c r="DHC1152" s="13"/>
      <c r="DHD1152" s="13"/>
      <c r="DHE1152" s="13"/>
      <c r="DHF1152" s="13"/>
      <c r="DHG1152" s="13"/>
      <c r="DHH1152" s="13"/>
      <c r="DHI1152" s="13"/>
      <c r="DHJ1152" s="13"/>
      <c r="DHK1152" s="13"/>
      <c r="DHL1152" s="13"/>
      <c r="DHM1152" s="13"/>
      <c r="DHN1152" s="13"/>
      <c r="DHO1152" s="13"/>
      <c r="DHP1152" s="13"/>
      <c r="DHQ1152" s="13"/>
      <c r="DHR1152" s="13"/>
      <c r="DHS1152" s="13"/>
      <c r="DHT1152" s="13"/>
      <c r="DHU1152" s="13"/>
      <c r="DHV1152" s="13"/>
      <c r="DHW1152" s="13"/>
      <c r="DHX1152" s="13"/>
      <c r="DHY1152" s="13"/>
      <c r="DHZ1152" s="13"/>
      <c r="DIA1152" s="13"/>
      <c r="DIB1152" s="13"/>
      <c r="DIC1152" s="13"/>
      <c r="DID1152" s="13"/>
      <c r="DIE1152" s="13"/>
      <c r="DIF1152" s="13"/>
      <c r="DIG1152" s="13"/>
      <c r="DIH1152" s="13"/>
      <c r="DII1152" s="13"/>
      <c r="DIJ1152" s="13"/>
      <c r="DIK1152" s="13"/>
      <c r="DIL1152" s="13"/>
      <c r="DIM1152" s="13"/>
      <c r="DIN1152" s="13"/>
      <c r="DIO1152" s="13"/>
      <c r="DIP1152" s="13"/>
      <c r="DIQ1152" s="13"/>
      <c r="DIR1152" s="13"/>
      <c r="DIS1152" s="13"/>
      <c r="DIT1152" s="13"/>
      <c r="DIU1152" s="13"/>
      <c r="DIV1152" s="13"/>
      <c r="DIW1152" s="13"/>
      <c r="DIX1152" s="13"/>
      <c r="DIY1152" s="13"/>
      <c r="DIZ1152" s="13"/>
      <c r="DJA1152" s="13"/>
      <c r="DJB1152" s="13"/>
      <c r="DJC1152" s="13"/>
      <c r="DJD1152" s="13"/>
      <c r="DJE1152" s="13"/>
      <c r="DJF1152" s="13"/>
      <c r="DJG1152" s="13"/>
      <c r="DJH1152" s="13"/>
      <c r="DJI1152" s="13"/>
      <c r="DJJ1152" s="13"/>
      <c r="DJK1152" s="13"/>
      <c r="DJL1152" s="13"/>
      <c r="DJM1152" s="13"/>
      <c r="DJN1152" s="13"/>
      <c r="DJO1152" s="13"/>
      <c r="DJP1152" s="13"/>
      <c r="DJQ1152" s="13"/>
      <c r="DJR1152" s="13"/>
      <c r="DJS1152" s="13"/>
      <c r="DJT1152" s="13"/>
      <c r="DJU1152" s="13"/>
      <c r="DJV1152" s="13"/>
      <c r="DJW1152" s="13"/>
      <c r="DJX1152" s="13"/>
      <c r="DJY1152" s="13"/>
      <c r="DJZ1152" s="13"/>
      <c r="DKA1152" s="13"/>
      <c r="DKB1152" s="13"/>
      <c r="DKC1152" s="13"/>
      <c r="DKD1152" s="13"/>
      <c r="DKE1152" s="13"/>
      <c r="DKF1152" s="13"/>
      <c r="DKG1152" s="13"/>
      <c r="DKH1152" s="13"/>
      <c r="DKI1152" s="13"/>
      <c r="DKJ1152" s="13"/>
      <c r="DKK1152" s="13"/>
      <c r="DKL1152" s="13"/>
      <c r="DKM1152" s="13"/>
      <c r="DKN1152" s="13"/>
      <c r="DKO1152" s="13"/>
      <c r="DKP1152" s="13"/>
      <c r="DKQ1152" s="13"/>
      <c r="DKR1152" s="13"/>
      <c r="DKS1152" s="13"/>
      <c r="DKT1152" s="13"/>
      <c r="DKU1152" s="13"/>
      <c r="DKV1152" s="13"/>
      <c r="DKW1152" s="13"/>
      <c r="DKX1152" s="13"/>
      <c r="DKY1152" s="13"/>
      <c r="DKZ1152" s="13"/>
      <c r="DLA1152" s="13"/>
      <c r="DLB1152" s="13"/>
      <c r="DLC1152" s="13"/>
      <c r="DLD1152" s="13"/>
      <c r="DLE1152" s="13"/>
      <c r="DLF1152" s="13"/>
      <c r="DLG1152" s="13"/>
      <c r="DLH1152" s="13"/>
      <c r="DLI1152" s="13"/>
      <c r="DLJ1152" s="13"/>
      <c r="DLK1152" s="13"/>
      <c r="DLL1152" s="13"/>
      <c r="DLM1152" s="13"/>
      <c r="DLN1152" s="13"/>
      <c r="DLO1152" s="13"/>
      <c r="DLP1152" s="13"/>
      <c r="DLQ1152" s="13"/>
      <c r="DLR1152" s="13"/>
      <c r="DLS1152" s="13"/>
      <c r="DLT1152" s="13"/>
      <c r="DLU1152" s="13"/>
      <c r="DLV1152" s="13"/>
      <c r="DLW1152" s="13"/>
      <c r="DLX1152" s="13"/>
      <c r="DLY1152" s="13"/>
      <c r="DLZ1152" s="13"/>
      <c r="DMA1152" s="13"/>
      <c r="DMB1152" s="13"/>
      <c r="DMC1152" s="13"/>
      <c r="DMD1152" s="13"/>
      <c r="DME1152" s="13"/>
      <c r="DMF1152" s="13"/>
      <c r="DMG1152" s="13"/>
      <c r="DMH1152" s="13"/>
      <c r="DMI1152" s="13"/>
      <c r="DMJ1152" s="13"/>
      <c r="DMK1152" s="13"/>
      <c r="DML1152" s="13"/>
      <c r="DMM1152" s="13"/>
      <c r="DMN1152" s="13"/>
      <c r="DMO1152" s="13"/>
      <c r="DMP1152" s="13"/>
      <c r="DMQ1152" s="13"/>
      <c r="DMR1152" s="13"/>
      <c r="DMS1152" s="13"/>
      <c r="DMT1152" s="13"/>
      <c r="DMU1152" s="13"/>
      <c r="DMV1152" s="13"/>
      <c r="DMW1152" s="13"/>
      <c r="DMX1152" s="13"/>
      <c r="DMY1152" s="13"/>
      <c r="DMZ1152" s="13"/>
      <c r="DNA1152" s="13"/>
      <c r="DNB1152" s="13"/>
      <c r="DNC1152" s="13"/>
      <c r="DND1152" s="13"/>
      <c r="DNE1152" s="13"/>
      <c r="DNF1152" s="13"/>
      <c r="DNG1152" s="13"/>
      <c r="DNH1152" s="13"/>
      <c r="DNI1152" s="13"/>
      <c r="DNJ1152" s="13"/>
      <c r="DNK1152" s="13"/>
      <c r="DNL1152" s="13"/>
      <c r="DNM1152" s="13"/>
      <c r="DNN1152" s="13"/>
      <c r="DNO1152" s="13"/>
      <c r="DNP1152" s="13"/>
      <c r="DNQ1152" s="13"/>
      <c r="DNR1152" s="13"/>
      <c r="DNS1152" s="13"/>
      <c r="DNT1152" s="13"/>
      <c r="DNU1152" s="13"/>
      <c r="DNV1152" s="13"/>
      <c r="DNW1152" s="13"/>
      <c r="DNX1152" s="13"/>
      <c r="DNY1152" s="13"/>
      <c r="DNZ1152" s="13"/>
      <c r="DOA1152" s="13"/>
      <c r="DOB1152" s="13"/>
      <c r="DOC1152" s="13"/>
      <c r="DOD1152" s="13"/>
      <c r="DOE1152" s="13"/>
      <c r="DOF1152" s="13"/>
      <c r="DOG1152" s="13"/>
      <c r="DOH1152" s="13"/>
      <c r="DOI1152" s="13"/>
      <c r="DOJ1152" s="13"/>
      <c r="DOK1152" s="13"/>
      <c r="DOL1152" s="13"/>
      <c r="DOM1152" s="13"/>
      <c r="DON1152" s="13"/>
      <c r="DOO1152" s="13"/>
      <c r="DOP1152" s="13"/>
      <c r="DOQ1152" s="13"/>
      <c r="DOR1152" s="13"/>
      <c r="DOS1152" s="13"/>
      <c r="DOT1152" s="13"/>
      <c r="DOU1152" s="13"/>
      <c r="DOV1152" s="13"/>
      <c r="DOW1152" s="13"/>
      <c r="DOX1152" s="13"/>
      <c r="DOY1152" s="13"/>
      <c r="DOZ1152" s="13"/>
      <c r="DPA1152" s="13"/>
      <c r="DPB1152" s="13"/>
      <c r="DPC1152" s="13"/>
      <c r="DPD1152" s="13"/>
      <c r="DPE1152" s="13"/>
      <c r="DPF1152" s="13"/>
      <c r="DPG1152" s="13"/>
      <c r="DPH1152" s="13"/>
      <c r="DPI1152" s="13"/>
      <c r="DPJ1152" s="13"/>
      <c r="DPK1152" s="13"/>
      <c r="DPL1152" s="13"/>
      <c r="DPM1152" s="13"/>
      <c r="DPN1152" s="13"/>
      <c r="DPO1152" s="13"/>
      <c r="DPP1152" s="13"/>
      <c r="DPQ1152" s="13"/>
      <c r="DPR1152" s="13"/>
      <c r="DPS1152" s="13"/>
      <c r="DPT1152" s="13"/>
      <c r="DPU1152" s="13"/>
      <c r="DPV1152" s="13"/>
      <c r="DPW1152" s="13"/>
      <c r="DPX1152" s="13"/>
      <c r="DPY1152" s="13"/>
      <c r="DPZ1152" s="13"/>
      <c r="DQA1152" s="13"/>
      <c r="DQB1152" s="13"/>
      <c r="DQC1152" s="13"/>
      <c r="DQD1152" s="13"/>
      <c r="DQE1152" s="13"/>
      <c r="DQF1152" s="13"/>
      <c r="DQG1152" s="13"/>
      <c r="DQH1152" s="13"/>
      <c r="DQI1152" s="13"/>
      <c r="DQJ1152" s="13"/>
      <c r="DQK1152" s="13"/>
      <c r="DQL1152" s="13"/>
      <c r="DQM1152" s="13"/>
      <c r="DQN1152" s="13"/>
      <c r="DQO1152" s="13"/>
      <c r="DQP1152" s="13"/>
      <c r="DQQ1152" s="13"/>
      <c r="DQR1152" s="13"/>
      <c r="DQS1152" s="13"/>
      <c r="DQT1152" s="13"/>
      <c r="DQU1152" s="13"/>
      <c r="DQV1152" s="13"/>
      <c r="DQW1152" s="13"/>
      <c r="DQX1152" s="13"/>
      <c r="DQY1152" s="13"/>
      <c r="DQZ1152" s="13"/>
      <c r="DRA1152" s="13"/>
      <c r="DRB1152" s="13"/>
      <c r="DRC1152" s="13"/>
      <c r="DRD1152" s="13"/>
      <c r="DRE1152" s="13"/>
      <c r="DRF1152" s="13"/>
      <c r="DRG1152" s="13"/>
      <c r="DRH1152" s="13"/>
      <c r="DRI1152" s="13"/>
      <c r="DRJ1152" s="13"/>
      <c r="DRK1152" s="13"/>
      <c r="DRL1152" s="13"/>
      <c r="DRM1152" s="13"/>
      <c r="DRN1152" s="13"/>
      <c r="DRO1152" s="13"/>
      <c r="DRP1152" s="13"/>
      <c r="DRQ1152" s="13"/>
      <c r="DRR1152" s="13"/>
      <c r="DRS1152" s="13"/>
      <c r="DRT1152" s="13"/>
      <c r="DRU1152" s="13"/>
      <c r="DRV1152" s="13"/>
      <c r="DRW1152" s="13"/>
      <c r="DRX1152" s="13"/>
      <c r="DRY1152" s="13"/>
      <c r="DRZ1152" s="13"/>
      <c r="DSA1152" s="13"/>
      <c r="DSB1152" s="13"/>
      <c r="DSC1152" s="13"/>
      <c r="DSD1152" s="13"/>
      <c r="DSE1152" s="13"/>
      <c r="DSF1152" s="13"/>
      <c r="DSG1152" s="13"/>
      <c r="DSH1152" s="13"/>
      <c r="DSI1152" s="13"/>
      <c r="DSJ1152" s="13"/>
      <c r="DSK1152" s="13"/>
      <c r="DSL1152" s="13"/>
      <c r="DSM1152" s="13"/>
      <c r="DSN1152" s="13"/>
      <c r="DSO1152" s="13"/>
      <c r="DSP1152" s="13"/>
      <c r="DSQ1152" s="13"/>
      <c r="DSR1152" s="13"/>
      <c r="DSS1152" s="13"/>
      <c r="DST1152" s="13"/>
      <c r="DSU1152" s="13"/>
      <c r="DSV1152" s="13"/>
      <c r="DSW1152" s="13"/>
      <c r="DSX1152" s="13"/>
      <c r="DSY1152" s="13"/>
      <c r="DSZ1152" s="13"/>
      <c r="DTA1152" s="13"/>
      <c r="DTB1152" s="13"/>
      <c r="DTC1152" s="13"/>
      <c r="DTD1152" s="13"/>
      <c r="DTE1152" s="13"/>
      <c r="DTF1152" s="13"/>
      <c r="DTG1152" s="13"/>
      <c r="DTH1152" s="13"/>
      <c r="DTI1152" s="13"/>
      <c r="DTJ1152" s="13"/>
      <c r="DTK1152" s="13"/>
      <c r="DTL1152" s="13"/>
      <c r="DTM1152" s="13"/>
      <c r="DTN1152" s="13"/>
      <c r="DTO1152" s="13"/>
      <c r="DTP1152" s="13"/>
      <c r="DTQ1152" s="13"/>
      <c r="DTR1152" s="13"/>
      <c r="DTS1152" s="13"/>
      <c r="DTT1152" s="13"/>
      <c r="DTU1152" s="13"/>
      <c r="DTV1152" s="13"/>
      <c r="DTW1152" s="13"/>
      <c r="DTX1152" s="13"/>
      <c r="DTY1152" s="13"/>
      <c r="DTZ1152" s="13"/>
      <c r="DUA1152" s="13"/>
      <c r="DUB1152" s="13"/>
      <c r="DUC1152" s="13"/>
      <c r="DUD1152" s="13"/>
      <c r="DUE1152" s="13"/>
      <c r="DUF1152" s="13"/>
      <c r="DUG1152" s="13"/>
      <c r="DUH1152" s="13"/>
      <c r="DUI1152" s="13"/>
      <c r="DUJ1152" s="13"/>
      <c r="DUK1152" s="13"/>
      <c r="DUL1152" s="13"/>
      <c r="DUM1152" s="13"/>
      <c r="DUN1152" s="13"/>
      <c r="DUO1152" s="13"/>
      <c r="DUP1152" s="13"/>
      <c r="DUQ1152" s="13"/>
      <c r="DUR1152" s="13"/>
      <c r="DUS1152" s="13"/>
      <c r="DUT1152" s="13"/>
      <c r="DUU1152" s="13"/>
      <c r="DUV1152" s="13"/>
      <c r="DUW1152" s="13"/>
      <c r="DUX1152" s="13"/>
      <c r="DUY1152" s="13"/>
      <c r="DUZ1152" s="13"/>
      <c r="DVA1152" s="13"/>
      <c r="DVB1152" s="13"/>
      <c r="DVC1152" s="13"/>
      <c r="DVD1152" s="13"/>
      <c r="DVE1152" s="13"/>
      <c r="DVF1152" s="13"/>
      <c r="DVG1152" s="13"/>
      <c r="DVH1152" s="13"/>
      <c r="DVI1152" s="13"/>
      <c r="DVJ1152" s="13"/>
      <c r="DVK1152" s="13"/>
      <c r="DVL1152" s="13"/>
      <c r="DVM1152" s="13"/>
      <c r="DVN1152" s="13"/>
      <c r="DVO1152" s="13"/>
      <c r="DVP1152" s="13"/>
      <c r="DVQ1152" s="13"/>
      <c r="DVR1152" s="13"/>
      <c r="DVS1152" s="13"/>
      <c r="DVT1152" s="13"/>
      <c r="DVU1152" s="13"/>
      <c r="DVV1152" s="13"/>
      <c r="DVW1152" s="13"/>
      <c r="DVX1152" s="13"/>
      <c r="DVY1152" s="13"/>
      <c r="DVZ1152" s="13"/>
      <c r="DWA1152" s="13"/>
      <c r="DWB1152" s="13"/>
      <c r="DWC1152" s="13"/>
      <c r="DWD1152" s="13"/>
      <c r="DWE1152" s="13"/>
      <c r="DWF1152" s="13"/>
      <c r="DWG1152" s="13"/>
      <c r="DWH1152" s="13"/>
      <c r="DWI1152" s="13"/>
      <c r="DWJ1152" s="13"/>
      <c r="DWK1152" s="13"/>
      <c r="DWL1152" s="13"/>
      <c r="DWM1152" s="13"/>
      <c r="DWN1152" s="13"/>
      <c r="DWO1152" s="13"/>
      <c r="DWP1152" s="13"/>
      <c r="DWQ1152" s="13"/>
      <c r="DWR1152" s="13"/>
      <c r="DWS1152" s="13"/>
      <c r="DWT1152" s="13"/>
      <c r="DWU1152" s="13"/>
      <c r="DWV1152" s="13"/>
      <c r="DWW1152" s="13"/>
      <c r="DWX1152" s="13"/>
      <c r="DWY1152" s="13"/>
      <c r="DWZ1152" s="13"/>
      <c r="DXA1152" s="13"/>
      <c r="DXB1152" s="13"/>
      <c r="DXC1152" s="13"/>
      <c r="DXD1152" s="13"/>
      <c r="DXE1152" s="13"/>
      <c r="DXF1152" s="13"/>
      <c r="DXG1152" s="13"/>
      <c r="DXH1152" s="13"/>
      <c r="DXI1152" s="13"/>
      <c r="DXJ1152" s="13"/>
      <c r="DXK1152" s="13"/>
      <c r="DXL1152" s="13"/>
      <c r="DXM1152" s="13"/>
      <c r="DXN1152" s="13"/>
      <c r="DXO1152" s="13"/>
      <c r="DXP1152" s="13"/>
      <c r="DXQ1152" s="13"/>
      <c r="DXR1152" s="13"/>
      <c r="DXS1152" s="13"/>
      <c r="DXT1152" s="13"/>
      <c r="DXU1152" s="13"/>
      <c r="DXV1152" s="13"/>
      <c r="DXW1152" s="13"/>
      <c r="DXX1152" s="13"/>
      <c r="DXY1152" s="13"/>
      <c r="DXZ1152" s="13"/>
      <c r="DYA1152" s="13"/>
      <c r="DYB1152" s="13"/>
      <c r="DYC1152" s="13"/>
      <c r="DYD1152" s="13"/>
      <c r="DYE1152" s="13"/>
      <c r="DYF1152" s="13"/>
      <c r="DYG1152" s="13"/>
      <c r="DYH1152" s="13"/>
      <c r="DYI1152" s="13"/>
      <c r="DYJ1152" s="13"/>
      <c r="DYK1152" s="13"/>
      <c r="DYL1152" s="13"/>
      <c r="DYM1152" s="13"/>
      <c r="DYN1152" s="13"/>
      <c r="DYO1152" s="13"/>
      <c r="DYP1152" s="13"/>
      <c r="DYQ1152" s="13"/>
      <c r="DYR1152" s="13"/>
      <c r="DYS1152" s="13"/>
      <c r="DYT1152" s="13"/>
      <c r="DYU1152" s="13"/>
      <c r="DYV1152" s="13"/>
      <c r="DYW1152" s="13"/>
      <c r="DYX1152" s="13"/>
      <c r="DYY1152" s="13"/>
      <c r="DYZ1152" s="13"/>
      <c r="DZA1152" s="13"/>
      <c r="DZB1152" s="13"/>
      <c r="DZC1152" s="13"/>
      <c r="DZD1152" s="13"/>
      <c r="DZE1152" s="13"/>
      <c r="DZF1152" s="13"/>
      <c r="DZG1152" s="13"/>
      <c r="DZH1152" s="13"/>
      <c r="DZI1152" s="13"/>
      <c r="DZJ1152" s="13"/>
      <c r="DZK1152" s="13"/>
      <c r="DZL1152" s="13"/>
      <c r="DZM1152" s="13"/>
      <c r="DZN1152" s="13"/>
      <c r="DZO1152" s="13"/>
      <c r="DZP1152" s="13"/>
      <c r="DZQ1152" s="13"/>
      <c r="DZR1152" s="13"/>
      <c r="DZS1152" s="13"/>
      <c r="DZT1152" s="13"/>
      <c r="DZU1152" s="13"/>
      <c r="DZV1152" s="13"/>
      <c r="DZW1152" s="13"/>
      <c r="DZX1152" s="13"/>
      <c r="DZY1152" s="13"/>
      <c r="DZZ1152" s="13"/>
      <c r="EAA1152" s="13"/>
      <c r="EAB1152" s="13"/>
      <c r="EAC1152" s="13"/>
      <c r="EAD1152" s="13"/>
      <c r="EAE1152" s="13"/>
      <c r="EAF1152" s="13"/>
      <c r="EAG1152" s="13"/>
      <c r="EAH1152" s="13"/>
      <c r="EAI1152" s="13"/>
      <c r="EAJ1152" s="13"/>
      <c r="EAK1152" s="13"/>
      <c r="EAL1152" s="13"/>
      <c r="EAM1152" s="13"/>
      <c r="EAN1152" s="13"/>
      <c r="EAO1152" s="13"/>
      <c r="EAP1152" s="13"/>
      <c r="EAQ1152" s="13"/>
      <c r="EAR1152" s="13"/>
      <c r="EAS1152" s="13"/>
      <c r="EAT1152" s="13"/>
      <c r="EAU1152" s="13"/>
      <c r="EAV1152" s="13"/>
      <c r="EAW1152" s="13"/>
      <c r="EAX1152" s="13"/>
      <c r="EAY1152" s="13"/>
      <c r="EAZ1152" s="13"/>
      <c r="EBA1152" s="13"/>
      <c r="EBB1152" s="13"/>
      <c r="EBC1152" s="13"/>
      <c r="EBD1152" s="13"/>
      <c r="EBE1152" s="13"/>
      <c r="EBF1152" s="13"/>
      <c r="EBG1152" s="13"/>
      <c r="EBH1152" s="13"/>
      <c r="EBI1152" s="13"/>
      <c r="EBJ1152" s="13"/>
      <c r="EBK1152" s="13"/>
      <c r="EBL1152" s="13"/>
      <c r="EBM1152" s="13"/>
      <c r="EBN1152" s="13"/>
      <c r="EBO1152" s="13"/>
      <c r="EBP1152" s="13"/>
      <c r="EBQ1152" s="13"/>
      <c r="EBR1152" s="13"/>
      <c r="EBS1152" s="13"/>
      <c r="EBT1152" s="13"/>
      <c r="EBU1152" s="13"/>
      <c r="EBV1152" s="13"/>
      <c r="EBW1152" s="13"/>
      <c r="EBX1152" s="13"/>
      <c r="EBY1152" s="13"/>
      <c r="EBZ1152" s="13"/>
      <c r="ECA1152" s="13"/>
      <c r="ECB1152" s="13"/>
      <c r="ECC1152" s="13"/>
      <c r="ECD1152" s="13"/>
      <c r="ECE1152" s="13"/>
      <c r="ECF1152" s="13"/>
      <c r="ECG1152" s="13"/>
      <c r="ECH1152" s="13"/>
      <c r="ECI1152" s="13"/>
      <c r="ECJ1152" s="13"/>
      <c r="ECK1152" s="13"/>
      <c r="ECL1152" s="13"/>
      <c r="ECM1152" s="13"/>
      <c r="ECN1152" s="13"/>
      <c r="ECO1152" s="13"/>
      <c r="ECP1152" s="13"/>
      <c r="ECQ1152" s="13"/>
      <c r="ECR1152" s="13"/>
      <c r="ECS1152" s="13"/>
      <c r="ECT1152" s="13"/>
      <c r="ECU1152" s="13"/>
      <c r="ECV1152" s="13"/>
      <c r="ECW1152" s="13"/>
      <c r="ECX1152" s="13"/>
      <c r="ECY1152" s="13"/>
      <c r="ECZ1152" s="13"/>
      <c r="EDA1152" s="13"/>
      <c r="EDB1152" s="13"/>
      <c r="EDC1152" s="13"/>
      <c r="EDD1152" s="13"/>
      <c r="EDE1152" s="13"/>
      <c r="EDF1152" s="13"/>
      <c r="EDG1152" s="13"/>
      <c r="EDH1152" s="13"/>
      <c r="EDI1152" s="13"/>
      <c r="EDJ1152" s="13"/>
      <c r="EDK1152" s="13"/>
      <c r="EDL1152" s="13"/>
      <c r="EDM1152" s="13"/>
      <c r="EDN1152" s="13"/>
      <c r="EDO1152" s="13"/>
      <c r="EDP1152" s="13"/>
      <c r="EDQ1152" s="13"/>
      <c r="EDR1152" s="13"/>
      <c r="EDS1152" s="13"/>
      <c r="EDT1152" s="13"/>
      <c r="EDU1152" s="13"/>
      <c r="EDV1152" s="13"/>
      <c r="EDW1152" s="13"/>
      <c r="EDX1152" s="13"/>
      <c r="EDY1152" s="13"/>
      <c r="EDZ1152" s="13"/>
      <c r="EEA1152" s="13"/>
      <c r="EEB1152" s="13"/>
      <c r="EEC1152" s="13"/>
      <c r="EED1152" s="13"/>
      <c r="EEE1152" s="13"/>
      <c r="EEF1152" s="13"/>
      <c r="EEG1152" s="13"/>
      <c r="EEH1152" s="13"/>
      <c r="EEI1152" s="13"/>
      <c r="EEJ1152" s="13"/>
      <c r="EEK1152" s="13"/>
      <c r="EEL1152" s="13"/>
      <c r="EEM1152" s="13"/>
      <c r="EEN1152" s="13"/>
      <c r="EEO1152" s="13"/>
      <c r="EEP1152" s="13"/>
      <c r="EEQ1152" s="13"/>
      <c r="EER1152" s="13"/>
      <c r="EES1152" s="13"/>
      <c r="EET1152" s="13"/>
      <c r="EEU1152" s="13"/>
      <c r="EEV1152" s="13"/>
      <c r="EEW1152" s="13"/>
      <c r="EEX1152" s="13"/>
      <c r="EEY1152" s="13"/>
      <c r="EEZ1152" s="13"/>
      <c r="EFA1152" s="13"/>
      <c r="EFB1152" s="13"/>
      <c r="EFC1152" s="13"/>
      <c r="EFD1152" s="13"/>
      <c r="EFE1152" s="13"/>
      <c r="EFF1152" s="13"/>
      <c r="EFG1152" s="13"/>
      <c r="EFH1152" s="13"/>
      <c r="EFI1152" s="13"/>
      <c r="EFJ1152" s="13"/>
      <c r="EFK1152" s="13"/>
      <c r="EFL1152" s="13"/>
      <c r="EFM1152" s="13"/>
      <c r="EFN1152" s="13"/>
      <c r="EFO1152" s="13"/>
      <c r="EFP1152" s="13"/>
      <c r="EFQ1152" s="13"/>
      <c r="EFR1152" s="13"/>
      <c r="EFS1152" s="13"/>
      <c r="EFT1152" s="13"/>
      <c r="EFU1152" s="13"/>
      <c r="EFV1152" s="13"/>
      <c r="EFW1152" s="13"/>
      <c r="EFX1152" s="13"/>
      <c r="EFY1152" s="13"/>
      <c r="EFZ1152" s="13"/>
      <c r="EGA1152" s="13"/>
      <c r="EGB1152" s="13"/>
      <c r="EGC1152" s="13"/>
      <c r="EGD1152" s="13"/>
      <c r="EGE1152" s="13"/>
      <c r="EGF1152" s="13"/>
      <c r="EGG1152" s="13"/>
      <c r="EGH1152" s="13"/>
      <c r="EGI1152" s="13"/>
      <c r="EGJ1152" s="13"/>
      <c r="EGK1152" s="13"/>
      <c r="EGL1152" s="13"/>
      <c r="EGM1152" s="13"/>
      <c r="EGN1152" s="13"/>
      <c r="EGO1152" s="13"/>
      <c r="EGP1152" s="13"/>
      <c r="EGQ1152" s="13"/>
      <c r="EGR1152" s="13"/>
      <c r="EGS1152" s="13"/>
      <c r="EGT1152" s="13"/>
      <c r="EGU1152" s="13"/>
      <c r="EGV1152" s="13"/>
      <c r="EGW1152" s="13"/>
      <c r="EGX1152" s="13"/>
      <c r="EGY1152" s="13"/>
      <c r="EGZ1152" s="13"/>
      <c r="EHA1152" s="13"/>
      <c r="EHB1152" s="13"/>
      <c r="EHC1152" s="13"/>
      <c r="EHD1152" s="13"/>
      <c r="EHE1152" s="13"/>
      <c r="EHF1152" s="13"/>
      <c r="EHG1152" s="13"/>
      <c r="EHH1152" s="13"/>
      <c r="EHI1152" s="13"/>
      <c r="EHJ1152" s="13"/>
      <c r="EHK1152" s="13"/>
      <c r="EHL1152" s="13"/>
      <c r="EHM1152" s="13"/>
      <c r="EHN1152" s="13"/>
      <c r="EHO1152" s="13"/>
      <c r="EHP1152" s="13"/>
      <c r="EHQ1152" s="13"/>
      <c r="EHR1152" s="13"/>
      <c r="EHS1152" s="13"/>
      <c r="EHT1152" s="13"/>
      <c r="EHU1152" s="13"/>
      <c r="EHV1152" s="13"/>
      <c r="EHW1152" s="13"/>
      <c r="EHX1152" s="13"/>
      <c r="EHY1152" s="13"/>
      <c r="EHZ1152" s="13"/>
      <c r="EIA1152" s="13"/>
      <c r="EIB1152" s="13"/>
      <c r="EIC1152" s="13"/>
      <c r="EID1152" s="13"/>
      <c r="EIE1152" s="13"/>
      <c r="EIF1152" s="13"/>
      <c r="EIG1152" s="13"/>
      <c r="EIH1152" s="13"/>
      <c r="EII1152" s="13"/>
      <c r="EIJ1152" s="13"/>
      <c r="EIK1152" s="13"/>
      <c r="EIL1152" s="13"/>
      <c r="EIM1152" s="13"/>
      <c r="EIN1152" s="13"/>
      <c r="EIO1152" s="13"/>
      <c r="EIP1152" s="13"/>
      <c r="EIQ1152" s="13"/>
      <c r="EIR1152" s="13"/>
      <c r="EIS1152" s="13"/>
      <c r="EIT1152" s="13"/>
      <c r="EIU1152" s="13"/>
      <c r="EIV1152" s="13"/>
      <c r="EIW1152" s="13"/>
      <c r="EIX1152" s="13"/>
      <c r="EIY1152" s="13"/>
      <c r="EIZ1152" s="13"/>
      <c r="EJA1152" s="13"/>
      <c r="EJB1152" s="13"/>
      <c r="EJC1152" s="13"/>
      <c r="EJD1152" s="13"/>
      <c r="EJE1152" s="13"/>
      <c r="EJF1152" s="13"/>
      <c r="EJG1152" s="13"/>
      <c r="EJH1152" s="13"/>
      <c r="EJI1152" s="13"/>
      <c r="EJJ1152" s="13"/>
      <c r="EJK1152" s="13"/>
      <c r="EJL1152" s="13"/>
      <c r="EJM1152" s="13"/>
      <c r="EJN1152" s="13"/>
      <c r="EJO1152" s="13"/>
      <c r="EJP1152" s="13"/>
      <c r="EJQ1152" s="13"/>
      <c r="EJR1152" s="13"/>
      <c r="EJS1152" s="13"/>
      <c r="EJT1152" s="13"/>
      <c r="EJU1152" s="13"/>
      <c r="EJV1152" s="13"/>
      <c r="EJW1152" s="13"/>
      <c r="EJX1152" s="13"/>
      <c r="EJY1152" s="13"/>
      <c r="EJZ1152" s="13"/>
      <c r="EKA1152" s="13"/>
      <c r="EKB1152" s="13"/>
      <c r="EKC1152" s="13"/>
      <c r="EKD1152" s="13"/>
      <c r="EKE1152" s="13"/>
      <c r="EKF1152" s="13"/>
      <c r="EKG1152" s="13"/>
      <c r="EKH1152" s="13"/>
      <c r="EKI1152" s="13"/>
      <c r="EKJ1152" s="13"/>
      <c r="EKK1152" s="13"/>
      <c r="EKL1152" s="13"/>
      <c r="EKM1152" s="13"/>
      <c r="EKN1152" s="13"/>
      <c r="EKO1152" s="13"/>
      <c r="EKP1152" s="13"/>
      <c r="EKQ1152" s="13"/>
      <c r="EKR1152" s="13"/>
      <c r="EKS1152" s="13"/>
      <c r="EKT1152" s="13"/>
      <c r="EKU1152" s="13"/>
      <c r="EKV1152" s="13"/>
      <c r="EKW1152" s="13"/>
      <c r="EKX1152" s="13"/>
      <c r="EKY1152" s="13"/>
      <c r="EKZ1152" s="13"/>
      <c r="ELA1152" s="13"/>
      <c r="ELB1152" s="13"/>
      <c r="ELC1152" s="13"/>
      <c r="ELD1152" s="13"/>
      <c r="ELE1152" s="13"/>
      <c r="ELF1152" s="13"/>
      <c r="ELG1152" s="13"/>
      <c r="ELH1152" s="13"/>
      <c r="ELI1152" s="13"/>
      <c r="ELJ1152" s="13"/>
      <c r="ELK1152" s="13"/>
      <c r="ELL1152" s="13"/>
      <c r="ELM1152" s="13"/>
      <c r="ELN1152" s="13"/>
      <c r="ELO1152" s="13"/>
      <c r="ELP1152" s="13"/>
      <c r="ELQ1152" s="13"/>
      <c r="ELR1152" s="13"/>
      <c r="ELS1152" s="13"/>
      <c r="ELT1152" s="13"/>
      <c r="ELU1152" s="13"/>
      <c r="ELV1152" s="13"/>
      <c r="ELW1152" s="13"/>
      <c r="ELX1152" s="13"/>
      <c r="ELY1152" s="13"/>
      <c r="ELZ1152" s="13"/>
      <c r="EMA1152" s="13"/>
      <c r="EMB1152" s="13"/>
      <c r="EMC1152" s="13"/>
      <c r="EMD1152" s="13"/>
      <c r="EME1152" s="13"/>
      <c r="EMF1152" s="13"/>
      <c r="EMG1152" s="13"/>
      <c r="EMH1152" s="13"/>
      <c r="EMI1152" s="13"/>
      <c r="EMJ1152" s="13"/>
      <c r="EMK1152" s="13"/>
      <c r="EML1152" s="13"/>
      <c r="EMM1152" s="13"/>
      <c r="EMN1152" s="13"/>
      <c r="EMO1152" s="13"/>
      <c r="EMP1152" s="13"/>
      <c r="EMQ1152" s="13"/>
      <c r="EMR1152" s="13"/>
      <c r="EMS1152" s="13"/>
      <c r="EMT1152" s="13"/>
      <c r="EMU1152" s="13"/>
      <c r="EMV1152" s="13"/>
      <c r="EMW1152" s="13"/>
      <c r="EMX1152" s="13"/>
      <c r="EMY1152" s="13"/>
      <c r="EMZ1152" s="13"/>
      <c r="ENA1152" s="13"/>
      <c r="ENB1152" s="13"/>
      <c r="ENC1152" s="13"/>
      <c r="END1152" s="13"/>
      <c r="ENE1152" s="13"/>
      <c r="ENF1152" s="13"/>
      <c r="ENG1152" s="13"/>
      <c r="ENH1152" s="13"/>
      <c r="ENI1152" s="13"/>
      <c r="ENJ1152" s="13"/>
      <c r="ENK1152" s="13"/>
      <c r="ENL1152" s="13"/>
      <c r="ENM1152" s="13"/>
      <c r="ENN1152" s="13"/>
      <c r="ENO1152" s="13"/>
      <c r="ENP1152" s="13"/>
      <c r="ENQ1152" s="13"/>
      <c r="ENR1152" s="13"/>
      <c r="ENS1152" s="13"/>
      <c r="ENT1152" s="13"/>
      <c r="ENU1152" s="13"/>
      <c r="ENV1152" s="13"/>
      <c r="ENW1152" s="13"/>
      <c r="ENX1152" s="13"/>
      <c r="ENY1152" s="13"/>
      <c r="ENZ1152" s="13"/>
      <c r="EOA1152" s="13"/>
      <c r="EOB1152" s="13"/>
      <c r="EOC1152" s="13"/>
      <c r="EOD1152" s="13"/>
      <c r="EOE1152" s="13"/>
      <c r="EOF1152" s="13"/>
      <c r="EOG1152" s="13"/>
      <c r="EOH1152" s="13"/>
      <c r="EOI1152" s="13"/>
      <c r="EOJ1152" s="13"/>
      <c r="EOK1152" s="13"/>
      <c r="EOL1152" s="13"/>
      <c r="EOM1152" s="13"/>
      <c r="EON1152" s="13"/>
      <c r="EOO1152" s="13"/>
      <c r="EOP1152" s="13"/>
      <c r="EOQ1152" s="13"/>
      <c r="EOR1152" s="13"/>
      <c r="EOS1152" s="13"/>
      <c r="EOT1152" s="13"/>
      <c r="EOU1152" s="13"/>
      <c r="EOV1152" s="13"/>
      <c r="EOW1152" s="13"/>
      <c r="EOX1152" s="13"/>
      <c r="EOY1152" s="13"/>
      <c r="EOZ1152" s="13"/>
      <c r="EPA1152" s="13"/>
      <c r="EPB1152" s="13"/>
      <c r="EPC1152" s="13"/>
      <c r="EPD1152" s="13"/>
      <c r="EPE1152" s="13"/>
      <c r="EPF1152" s="13"/>
      <c r="EPG1152" s="13"/>
      <c r="EPH1152" s="13"/>
      <c r="EPI1152" s="13"/>
      <c r="EPJ1152" s="13"/>
      <c r="EPK1152" s="13"/>
      <c r="EPL1152" s="13"/>
      <c r="EPM1152" s="13"/>
      <c r="EPN1152" s="13"/>
      <c r="EPO1152" s="13"/>
      <c r="EPP1152" s="13"/>
      <c r="EPQ1152" s="13"/>
      <c r="EPR1152" s="13"/>
      <c r="EPS1152" s="13"/>
      <c r="EPT1152" s="13"/>
      <c r="EPU1152" s="13"/>
      <c r="EPV1152" s="13"/>
      <c r="EPW1152" s="13"/>
      <c r="EPX1152" s="13"/>
      <c r="EPY1152" s="13"/>
      <c r="EPZ1152" s="13"/>
      <c r="EQA1152" s="13"/>
      <c r="EQB1152" s="13"/>
      <c r="EQC1152" s="13"/>
      <c r="EQD1152" s="13"/>
      <c r="EQE1152" s="13"/>
      <c r="EQF1152" s="13"/>
      <c r="EQG1152" s="13"/>
      <c r="EQH1152" s="13"/>
      <c r="EQI1152" s="13"/>
      <c r="EQJ1152" s="13"/>
      <c r="EQK1152" s="13"/>
      <c r="EQL1152" s="13"/>
      <c r="EQM1152" s="13"/>
      <c r="EQN1152" s="13"/>
      <c r="EQO1152" s="13"/>
      <c r="EQP1152" s="13"/>
      <c r="EQQ1152" s="13"/>
      <c r="EQR1152" s="13"/>
      <c r="EQS1152" s="13"/>
      <c r="EQT1152" s="13"/>
      <c r="EQU1152" s="13"/>
      <c r="EQV1152" s="13"/>
      <c r="EQW1152" s="13"/>
      <c r="EQX1152" s="13"/>
      <c r="EQY1152" s="13"/>
      <c r="EQZ1152" s="13"/>
      <c r="ERA1152" s="13"/>
      <c r="ERB1152" s="13"/>
      <c r="ERC1152" s="13"/>
      <c r="ERD1152" s="13"/>
      <c r="ERE1152" s="13"/>
      <c r="ERF1152" s="13"/>
      <c r="ERG1152" s="13"/>
      <c r="ERH1152" s="13"/>
      <c r="ERI1152" s="13"/>
      <c r="ERJ1152" s="13"/>
      <c r="ERK1152" s="13"/>
      <c r="ERL1152" s="13"/>
      <c r="ERM1152" s="13"/>
      <c r="ERN1152" s="13"/>
      <c r="ERO1152" s="13"/>
      <c r="ERP1152" s="13"/>
      <c r="ERQ1152" s="13"/>
      <c r="ERR1152" s="13"/>
      <c r="ERS1152" s="13"/>
      <c r="ERT1152" s="13"/>
      <c r="ERU1152" s="13"/>
      <c r="ERV1152" s="13"/>
      <c r="ERW1152" s="13"/>
      <c r="ERX1152" s="13"/>
      <c r="ERY1152" s="13"/>
      <c r="ERZ1152" s="13"/>
      <c r="ESA1152" s="13"/>
      <c r="ESB1152" s="13"/>
      <c r="ESC1152" s="13"/>
      <c r="ESD1152" s="13"/>
      <c r="ESE1152" s="13"/>
      <c r="ESF1152" s="13"/>
      <c r="ESG1152" s="13"/>
      <c r="ESH1152" s="13"/>
      <c r="ESI1152" s="13"/>
      <c r="ESJ1152" s="13"/>
      <c r="ESK1152" s="13"/>
      <c r="ESL1152" s="13"/>
      <c r="ESM1152" s="13"/>
      <c r="ESN1152" s="13"/>
      <c r="ESO1152" s="13"/>
      <c r="ESP1152" s="13"/>
      <c r="ESQ1152" s="13"/>
      <c r="ESR1152" s="13"/>
      <c r="ESS1152" s="13"/>
      <c r="EST1152" s="13"/>
      <c r="ESU1152" s="13"/>
      <c r="ESV1152" s="13"/>
      <c r="ESW1152" s="13"/>
      <c r="ESX1152" s="13"/>
      <c r="ESY1152" s="13"/>
      <c r="ESZ1152" s="13"/>
      <c r="ETA1152" s="13"/>
      <c r="ETB1152" s="13"/>
      <c r="ETC1152" s="13"/>
      <c r="ETD1152" s="13"/>
      <c r="ETE1152" s="13"/>
      <c r="ETF1152" s="13"/>
      <c r="ETG1152" s="13"/>
      <c r="ETH1152" s="13"/>
      <c r="ETI1152" s="13"/>
      <c r="ETJ1152" s="13"/>
      <c r="ETK1152" s="13"/>
      <c r="ETL1152" s="13"/>
      <c r="ETM1152" s="13"/>
      <c r="ETN1152" s="13"/>
      <c r="ETO1152" s="13"/>
      <c r="ETP1152" s="13"/>
      <c r="ETQ1152" s="13"/>
      <c r="ETR1152" s="13"/>
      <c r="ETS1152" s="13"/>
      <c r="ETT1152" s="13"/>
      <c r="ETU1152" s="13"/>
      <c r="ETV1152" s="13"/>
      <c r="ETW1152" s="13"/>
      <c r="ETX1152" s="13"/>
      <c r="ETY1152" s="13"/>
      <c r="ETZ1152" s="13"/>
      <c r="EUA1152" s="13"/>
      <c r="EUB1152" s="13"/>
      <c r="EUC1152" s="13"/>
      <c r="EUD1152" s="13"/>
      <c r="EUE1152" s="13"/>
      <c r="EUF1152" s="13"/>
      <c r="EUG1152" s="13"/>
      <c r="EUH1152" s="13"/>
      <c r="EUI1152" s="13"/>
      <c r="EUJ1152" s="13"/>
      <c r="EUK1152" s="13"/>
      <c r="EUL1152" s="13"/>
      <c r="EUM1152" s="13"/>
      <c r="EUN1152" s="13"/>
      <c r="EUO1152" s="13"/>
      <c r="EUP1152" s="13"/>
      <c r="EUQ1152" s="13"/>
      <c r="EUR1152" s="13"/>
      <c r="EUS1152" s="13"/>
      <c r="EUT1152" s="13"/>
      <c r="EUU1152" s="13"/>
      <c r="EUV1152" s="13"/>
      <c r="EUW1152" s="13"/>
      <c r="EUX1152" s="13"/>
      <c r="EUY1152" s="13"/>
      <c r="EUZ1152" s="13"/>
      <c r="EVA1152" s="13"/>
      <c r="EVB1152" s="13"/>
      <c r="EVC1152" s="13"/>
      <c r="EVD1152" s="13"/>
      <c r="EVE1152" s="13"/>
      <c r="EVF1152" s="13"/>
      <c r="EVG1152" s="13"/>
      <c r="EVH1152" s="13"/>
      <c r="EVI1152" s="13"/>
      <c r="EVJ1152" s="13"/>
      <c r="EVK1152" s="13"/>
      <c r="EVL1152" s="13"/>
      <c r="EVM1152" s="13"/>
      <c r="EVN1152" s="13"/>
      <c r="EVO1152" s="13"/>
      <c r="EVP1152" s="13"/>
      <c r="EVQ1152" s="13"/>
      <c r="EVR1152" s="13"/>
      <c r="EVS1152" s="13"/>
      <c r="EVT1152" s="13"/>
      <c r="EVU1152" s="13"/>
      <c r="EVV1152" s="13"/>
      <c r="EVW1152" s="13"/>
      <c r="EVX1152" s="13"/>
      <c r="EVY1152" s="13"/>
      <c r="EVZ1152" s="13"/>
      <c r="EWA1152" s="13"/>
      <c r="EWB1152" s="13"/>
      <c r="EWC1152" s="13"/>
      <c r="EWD1152" s="13"/>
      <c r="EWE1152" s="13"/>
      <c r="EWF1152" s="13"/>
      <c r="EWG1152" s="13"/>
      <c r="EWH1152" s="13"/>
      <c r="EWI1152" s="13"/>
      <c r="EWJ1152" s="13"/>
      <c r="EWK1152" s="13"/>
      <c r="EWL1152" s="13"/>
      <c r="EWM1152" s="13"/>
      <c r="EWN1152" s="13"/>
      <c r="EWO1152" s="13"/>
      <c r="EWP1152" s="13"/>
      <c r="EWQ1152" s="13"/>
      <c r="EWR1152" s="13"/>
      <c r="EWS1152" s="13"/>
      <c r="EWT1152" s="13"/>
      <c r="EWU1152" s="13"/>
      <c r="EWV1152" s="13"/>
      <c r="EWW1152" s="13"/>
      <c r="EWX1152" s="13"/>
      <c r="EWY1152" s="13"/>
      <c r="EWZ1152" s="13"/>
      <c r="EXA1152" s="13"/>
      <c r="EXB1152" s="13"/>
      <c r="EXC1152" s="13"/>
      <c r="EXD1152" s="13"/>
      <c r="EXE1152" s="13"/>
      <c r="EXF1152" s="13"/>
      <c r="EXG1152" s="13"/>
      <c r="EXH1152" s="13"/>
      <c r="EXI1152" s="13"/>
      <c r="EXJ1152" s="13"/>
      <c r="EXK1152" s="13"/>
      <c r="EXL1152" s="13"/>
      <c r="EXM1152" s="13"/>
      <c r="EXN1152" s="13"/>
      <c r="EXO1152" s="13"/>
      <c r="EXP1152" s="13"/>
      <c r="EXQ1152" s="13"/>
      <c r="EXR1152" s="13"/>
      <c r="EXS1152" s="13"/>
      <c r="EXT1152" s="13"/>
      <c r="EXU1152" s="13"/>
      <c r="EXV1152" s="13"/>
      <c r="EXW1152" s="13"/>
      <c r="EXX1152" s="13"/>
      <c r="EXY1152" s="13"/>
      <c r="EXZ1152" s="13"/>
      <c r="EYA1152" s="13"/>
      <c r="EYB1152" s="13"/>
      <c r="EYC1152" s="13"/>
      <c r="EYD1152" s="13"/>
      <c r="EYE1152" s="13"/>
      <c r="EYF1152" s="13"/>
      <c r="EYG1152" s="13"/>
      <c r="EYH1152" s="13"/>
      <c r="EYI1152" s="13"/>
      <c r="EYJ1152" s="13"/>
      <c r="EYK1152" s="13"/>
      <c r="EYL1152" s="13"/>
      <c r="EYM1152" s="13"/>
      <c r="EYN1152" s="13"/>
      <c r="EYO1152" s="13"/>
      <c r="EYP1152" s="13"/>
      <c r="EYQ1152" s="13"/>
      <c r="EYR1152" s="13"/>
      <c r="EYS1152" s="13"/>
      <c r="EYT1152" s="13"/>
      <c r="EYU1152" s="13"/>
      <c r="EYV1152" s="13"/>
      <c r="EYW1152" s="13"/>
      <c r="EYX1152" s="13"/>
      <c r="EYY1152" s="13"/>
      <c r="EYZ1152" s="13"/>
      <c r="EZA1152" s="13"/>
      <c r="EZB1152" s="13"/>
      <c r="EZC1152" s="13"/>
      <c r="EZD1152" s="13"/>
      <c r="EZE1152" s="13"/>
      <c r="EZF1152" s="13"/>
      <c r="EZG1152" s="13"/>
      <c r="EZH1152" s="13"/>
      <c r="EZI1152" s="13"/>
      <c r="EZJ1152" s="13"/>
      <c r="EZK1152" s="13"/>
      <c r="EZL1152" s="13"/>
      <c r="EZM1152" s="13"/>
      <c r="EZN1152" s="13"/>
      <c r="EZO1152" s="13"/>
      <c r="EZP1152" s="13"/>
      <c r="EZQ1152" s="13"/>
      <c r="EZR1152" s="13"/>
      <c r="EZS1152" s="13"/>
      <c r="EZT1152" s="13"/>
      <c r="EZU1152" s="13"/>
      <c r="EZV1152" s="13"/>
      <c r="EZW1152" s="13"/>
      <c r="EZX1152" s="13"/>
      <c r="EZY1152" s="13"/>
      <c r="EZZ1152" s="13"/>
      <c r="FAA1152" s="13"/>
      <c r="FAB1152" s="13"/>
      <c r="FAC1152" s="13"/>
      <c r="FAD1152" s="13"/>
      <c r="FAE1152" s="13"/>
      <c r="FAF1152" s="13"/>
      <c r="FAG1152" s="13"/>
      <c r="FAH1152" s="13"/>
      <c r="FAI1152" s="13"/>
      <c r="FAJ1152" s="13"/>
      <c r="FAK1152" s="13"/>
      <c r="FAL1152" s="13"/>
      <c r="FAM1152" s="13"/>
      <c r="FAN1152" s="13"/>
      <c r="FAO1152" s="13"/>
      <c r="FAP1152" s="13"/>
      <c r="FAQ1152" s="13"/>
      <c r="FAR1152" s="13"/>
      <c r="FAS1152" s="13"/>
      <c r="FAT1152" s="13"/>
      <c r="FAU1152" s="13"/>
      <c r="FAV1152" s="13"/>
      <c r="FAW1152" s="13"/>
      <c r="FAX1152" s="13"/>
      <c r="FAY1152" s="13"/>
      <c r="FAZ1152" s="13"/>
      <c r="FBA1152" s="13"/>
      <c r="FBB1152" s="13"/>
      <c r="FBC1152" s="13"/>
      <c r="FBD1152" s="13"/>
      <c r="FBE1152" s="13"/>
      <c r="FBF1152" s="13"/>
      <c r="FBG1152" s="13"/>
      <c r="FBH1152" s="13"/>
      <c r="FBI1152" s="13"/>
      <c r="FBJ1152" s="13"/>
      <c r="FBK1152" s="13"/>
      <c r="FBL1152" s="13"/>
      <c r="FBM1152" s="13"/>
      <c r="FBN1152" s="13"/>
      <c r="FBO1152" s="13"/>
      <c r="FBP1152" s="13"/>
      <c r="FBQ1152" s="13"/>
      <c r="FBR1152" s="13"/>
      <c r="FBS1152" s="13"/>
      <c r="FBT1152" s="13"/>
      <c r="FBU1152" s="13"/>
      <c r="FBV1152" s="13"/>
      <c r="FBW1152" s="13"/>
      <c r="FBX1152" s="13"/>
      <c r="FBY1152" s="13"/>
      <c r="FBZ1152" s="13"/>
      <c r="FCA1152" s="13"/>
      <c r="FCB1152" s="13"/>
      <c r="FCC1152" s="13"/>
      <c r="FCD1152" s="13"/>
      <c r="FCE1152" s="13"/>
      <c r="FCF1152" s="13"/>
      <c r="FCG1152" s="13"/>
      <c r="FCH1152" s="13"/>
      <c r="FCI1152" s="13"/>
      <c r="FCJ1152" s="13"/>
      <c r="FCK1152" s="13"/>
      <c r="FCL1152" s="13"/>
      <c r="FCM1152" s="13"/>
      <c r="FCN1152" s="13"/>
      <c r="FCO1152" s="13"/>
      <c r="FCP1152" s="13"/>
      <c r="FCQ1152" s="13"/>
      <c r="FCR1152" s="13"/>
      <c r="FCS1152" s="13"/>
      <c r="FCT1152" s="13"/>
      <c r="FCU1152" s="13"/>
      <c r="FCV1152" s="13"/>
      <c r="FCW1152" s="13"/>
      <c r="FCX1152" s="13"/>
      <c r="FCY1152" s="13"/>
      <c r="FCZ1152" s="13"/>
      <c r="FDA1152" s="13"/>
      <c r="FDB1152" s="13"/>
      <c r="FDC1152" s="13"/>
      <c r="FDD1152" s="13"/>
      <c r="FDE1152" s="13"/>
      <c r="FDF1152" s="13"/>
      <c r="FDG1152" s="13"/>
      <c r="FDH1152" s="13"/>
      <c r="FDI1152" s="13"/>
      <c r="FDJ1152" s="13"/>
      <c r="FDK1152" s="13"/>
      <c r="FDL1152" s="13"/>
      <c r="FDM1152" s="13"/>
      <c r="FDN1152" s="13"/>
      <c r="FDO1152" s="13"/>
      <c r="FDP1152" s="13"/>
      <c r="FDQ1152" s="13"/>
      <c r="FDR1152" s="13"/>
      <c r="FDS1152" s="13"/>
      <c r="FDT1152" s="13"/>
      <c r="FDU1152" s="13"/>
      <c r="FDV1152" s="13"/>
      <c r="FDW1152" s="13"/>
      <c r="FDX1152" s="13"/>
      <c r="FDY1152" s="13"/>
      <c r="FDZ1152" s="13"/>
      <c r="FEA1152" s="13"/>
      <c r="FEB1152" s="13"/>
      <c r="FEC1152" s="13"/>
      <c r="FED1152" s="13"/>
      <c r="FEE1152" s="13"/>
      <c r="FEF1152" s="13"/>
      <c r="FEG1152" s="13"/>
      <c r="FEH1152" s="13"/>
      <c r="FEI1152" s="13"/>
      <c r="FEJ1152" s="13"/>
      <c r="FEK1152" s="13"/>
      <c r="FEL1152" s="13"/>
      <c r="FEM1152" s="13"/>
      <c r="FEN1152" s="13"/>
      <c r="FEO1152" s="13"/>
      <c r="FEP1152" s="13"/>
      <c r="FEQ1152" s="13"/>
      <c r="FER1152" s="13"/>
      <c r="FES1152" s="13"/>
      <c r="FET1152" s="13"/>
      <c r="FEU1152" s="13"/>
      <c r="FEV1152" s="13"/>
      <c r="FEW1152" s="13"/>
      <c r="FEX1152" s="13"/>
      <c r="FEY1152" s="13"/>
      <c r="FEZ1152" s="13"/>
      <c r="FFA1152" s="13"/>
      <c r="FFB1152" s="13"/>
      <c r="FFC1152" s="13"/>
      <c r="FFD1152" s="13"/>
      <c r="FFE1152" s="13"/>
      <c r="FFF1152" s="13"/>
      <c r="FFG1152" s="13"/>
      <c r="FFH1152" s="13"/>
      <c r="FFI1152" s="13"/>
      <c r="FFJ1152" s="13"/>
      <c r="FFK1152" s="13"/>
      <c r="FFL1152" s="13"/>
      <c r="FFM1152" s="13"/>
      <c r="FFN1152" s="13"/>
      <c r="FFO1152" s="13"/>
      <c r="FFP1152" s="13"/>
      <c r="FFQ1152" s="13"/>
      <c r="FFR1152" s="13"/>
      <c r="FFS1152" s="13"/>
      <c r="FFT1152" s="13"/>
      <c r="FFU1152" s="13"/>
      <c r="FFV1152" s="13"/>
      <c r="FFW1152" s="13"/>
      <c r="FFX1152" s="13"/>
      <c r="FFY1152" s="13"/>
      <c r="FFZ1152" s="13"/>
      <c r="FGA1152" s="13"/>
      <c r="FGB1152" s="13"/>
      <c r="FGC1152" s="13"/>
      <c r="FGD1152" s="13"/>
      <c r="FGE1152" s="13"/>
      <c r="FGF1152" s="13"/>
      <c r="FGG1152" s="13"/>
      <c r="FGH1152" s="13"/>
      <c r="FGI1152" s="13"/>
      <c r="FGJ1152" s="13"/>
      <c r="FGK1152" s="13"/>
      <c r="FGL1152" s="13"/>
      <c r="FGM1152" s="13"/>
      <c r="FGN1152" s="13"/>
      <c r="FGO1152" s="13"/>
      <c r="FGP1152" s="13"/>
      <c r="FGQ1152" s="13"/>
      <c r="FGR1152" s="13"/>
      <c r="FGS1152" s="13"/>
      <c r="FGT1152" s="13"/>
      <c r="FGU1152" s="13"/>
      <c r="FGV1152" s="13"/>
      <c r="FGW1152" s="13"/>
      <c r="FGX1152" s="13"/>
      <c r="FGY1152" s="13"/>
      <c r="FGZ1152" s="13"/>
      <c r="FHA1152" s="13"/>
      <c r="FHB1152" s="13"/>
      <c r="FHC1152" s="13"/>
      <c r="FHD1152" s="13"/>
      <c r="FHE1152" s="13"/>
      <c r="FHF1152" s="13"/>
      <c r="FHG1152" s="13"/>
      <c r="FHH1152" s="13"/>
      <c r="FHI1152" s="13"/>
      <c r="FHJ1152" s="13"/>
      <c r="FHK1152" s="13"/>
      <c r="FHL1152" s="13"/>
      <c r="FHM1152" s="13"/>
      <c r="FHN1152" s="13"/>
      <c r="FHO1152" s="13"/>
      <c r="FHP1152" s="13"/>
      <c r="FHQ1152" s="13"/>
      <c r="FHR1152" s="13"/>
      <c r="FHS1152" s="13"/>
      <c r="FHT1152" s="13"/>
      <c r="FHU1152" s="13"/>
      <c r="FHV1152" s="13"/>
      <c r="FHW1152" s="13"/>
      <c r="FHX1152" s="13"/>
      <c r="FHY1152" s="13"/>
      <c r="FHZ1152" s="13"/>
      <c r="FIA1152" s="13"/>
      <c r="FIB1152" s="13"/>
      <c r="FIC1152" s="13"/>
      <c r="FID1152" s="13"/>
      <c r="FIE1152" s="13"/>
      <c r="FIF1152" s="13"/>
      <c r="FIG1152" s="13"/>
      <c r="FIH1152" s="13"/>
      <c r="FII1152" s="13"/>
      <c r="FIJ1152" s="13"/>
      <c r="FIK1152" s="13"/>
      <c r="FIL1152" s="13"/>
      <c r="FIM1152" s="13"/>
      <c r="FIN1152" s="13"/>
      <c r="FIO1152" s="13"/>
      <c r="FIP1152" s="13"/>
      <c r="FIQ1152" s="13"/>
      <c r="FIR1152" s="13"/>
      <c r="FIS1152" s="13"/>
      <c r="FIT1152" s="13"/>
      <c r="FIU1152" s="13"/>
      <c r="FIV1152" s="13"/>
      <c r="FIW1152" s="13"/>
      <c r="FIX1152" s="13"/>
      <c r="FIY1152" s="13"/>
      <c r="FIZ1152" s="13"/>
      <c r="FJA1152" s="13"/>
      <c r="FJB1152" s="13"/>
      <c r="FJC1152" s="13"/>
      <c r="FJD1152" s="13"/>
      <c r="FJE1152" s="13"/>
      <c r="FJF1152" s="13"/>
      <c r="FJG1152" s="13"/>
      <c r="FJH1152" s="13"/>
      <c r="FJI1152" s="13"/>
      <c r="FJJ1152" s="13"/>
      <c r="FJK1152" s="13"/>
      <c r="FJL1152" s="13"/>
      <c r="FJM1152" s="13"/>
      <c r="FJN1152" s="13"/>
      <c r="FJO1152" s="13"/>
      <c r="FJP1152" s="13"/>
      <c r="FJQ1152" s="13"/>
      <c r="FJR1152" s="13"/>
      <c r="FJS1152" s="13"/>
      <c r="FJT1152" s="13"/>
      <c r="FJU1152" s="13"/>
      <c r="FJV1152" s="13"/>
      <c r="FJW1152" s="13"/>
      <c r="FJX1152" s="13"/>
      <c r="FJY1152" s="13"/>
      <c r="FJZ1152" s="13"/>
      <c r="FKA1152" s="13"/>
      <c r="FKB1152" s="13"/>
      <c r="FKC1152" s="13"/>
      <c r="FKD1152" s="13"/>
      <c r="FKE1152" s="13"/>
      <c r="FKF1152" s="13"/>
      <c r="FKG1152" s="13"/>
      <c r="FKH1152" s="13"/>
      <c r="FKI1152" s="13"/>
      <c r="FKJ1152" s="13"/>
      <c r="FKK1152" s="13"/>
      <c r="FKL1152" s="13"/>
      <c r="FKM1152" s="13"/>
      <c r="FKN1152" s="13"/>
      <c r="FKO1152" s="13"/>
      <c r="FKP1152" s="13"/>
      <c r="FKQ1152" s="13"/>
      <c r="FKR1152" s="13"/>
      <c r="FKS1152" s="13"/>
      <c r="FKT1152" s="13"/>
      <c r="FKU1152" s="13"/>
      <c r="FKV1152" s="13"/>
      <c r="FKW1152" s="13"/>
      <c r="FKX1152" s="13"/>
      <c r="FKY1152" s="13"/>
      <c r="FKZ1152" s="13"/>
      <c r="FLA1152" s="13"/>
      <c r="FLB1152" s="13"/>
      <c r="FLC1152" s="13"/>
      <c r="FLD1152" s="13"/>
      <c r="FLE1152" s="13"/>
      <c r="FLF1152" s="13"/>
      <c r="FLG1152" s="13"/>
      <c r="FLH1152" s="13"/>
      <c r="FLI1152" s="13"/>
      <c r="FLJ1152" s="13"/>
      <c r="FLK1152" s="13"/>
      <c r="FLL1152" s="13"/>
      <c r="FLM1152" s="13"/>
      <c r="FLN1152" s="13"/>
      <c r="FLO1152" s="13"/>
      <c r="FLP1152" s="13"/>
      <c r="FLQ1152" s="13"/>
      <c r="FLR1152" s="13"/>
      <c r="FLS1152" s="13"/>
      <c r="FLT1152" s="13"/>
      <c r="FLU1152" s="13"/>
      <c r="FLV1152" s="13"/>
      <c r="FLW1152" s="13"/>
      <c r="FLX1152" s="13"/>
      <c r="FLY1152" s="13"/>
      <c r="FLZ1152" s="13"/>
      <c r="FMA1152" s="13"/>
      <c r="FMB1152" s="13"/>
      <c r="FMC1152" s="13"/>
      <c r="FMD1152" s="13"/>
      <c r="FME1152" s="13"/>
      <c r="FMF1152" s="13"/>
      <c r="FMG1152" s="13"/>
      <c r="FMH1152" s="13"/>
      <c r="FMI1152" s="13"/>
      <c r="FMJ1152" s="13"/>
      <c r="FMK1152" s="13"/>
      <c r="FML1152" s="13"/>
      <c r="FMM1152" s="13"/>
      <c r="FMN1152" s="13"/>
      <c r="FMO1152" s="13"/>
      <c r="FMP1152" s="13"/>
      <c r="FMQ1152" s="13"/>
      <c r="FMR1152" s="13"/>
      <c r="FMS1152" s="13"/>
      <c r="FMT1152" s="13"/>
      <c r="FMU1152" s="13"/>
      <c r="FMV1152" s="13"/>
      <c r="FMW1152" s="13"/>
      <c r="FMX1152" s="13"/>
      <c r="FMY1152" s="13"/>
      <c r="FMZ1152" s="13"/>
      <c r="FNA1152" s="13"/>
      <c r="FNB1152" s="13"/>
      <c r="FNC1152" s="13"/>
      <c r="FND1152" s="13"/>
      <c r="FNE1152" s="13"/>
      <c r="FNF1152" s="13"/>
      <c r="FNG1152" s="13"/>
      <c r="FNH1152" s="13"/>
      <c r="FNI1152" s="13"/>
      <c r="FNJ1152" s="13"/>
      <c r="FNK1152" s="13"/>
      <c r="FNL1152" s="13"/>
      <c r="FNM1152" s="13"/>
      <c r="FNN1152" s="13"/>
      <c r="FNO1152" s="13"/>
      <c r="FNP1152" s="13"/>
      <c r="FNQ1152" s="13"/>
      <c r="FNR1152" s="13"/>
      <c r="FNS1152" s="13"/>
      <c r="FNT1152" s="13"/>
      <c r="FNU1152" s="13"/>
      <c r="FNV1152" s="13"/>
      <c r="FNW1152" s="13"/>
      <c r="FNX1152" s="13"/>
      <c r="FNY1152" s="13"/>
      <c r="FNZ1152" s="13"/>
      <c r="FOA1152" s="13"/>
      <c r="FOB1152" s="13"/>
      <c r="FOC1152" s="13"/>
      <c r="FOD1152" s="13"/>
      <c r="FOE1152" s="13"/>
      <c r="FOF1152" s="13"/>
      <c r="FOG1152" s="13"/>
      <c r="FOH1152" s="13"/>
      <c r="FOI1152" s="13"/>
      <c r="FOJ1152" s="13"/>
      <c r="FOK1152" s="13"/>
      <c r="FOL1152" s="13"/>
      <c r="FOM1152" s="13"/>
      <c r="FON1152" s="13"/>
      <c r="FOO1152" s="13"/>
      <c r="FOP1152" s="13"/>
      <c r="FOQ1152" s="13"/>
      <c r="FOR1152" s="13"/>
      <c r="FOS1152" s="13"/>
      <c r="FOT1152" s="13"/>
      <c r="FOU1152" s="13"/>
      <c r="FOV1152" s="13"/>
      <c r="FOW1152" s="13"/>
      <c r="FOX1152" s="13"/>
      <c r="FOY1152" s="13"/>
      <c r="FOZ1152" s="13"/>
      <c r="FPA1152" s="13"/>
      <c r="FPB1152" s="13"/>
      <c r="FPC1152" s="13"/>
      <c r="FPD1152" s="13"/>
      <c r="FPE1152" s="13"/>
      <c r="FPF1152" s="13"/>
      <c r="FPG1152" s="13"/>
      <c r="FPH1152" s="13"/>
      <c r="FPI1152" s="13"/>
      <c r="FPJ1152" s="13"/>
      <c r="FPK1152" s="13"/>
      <c r="FPL1152" s="13"/>
      <c r="FPM1152" s="13"/>
      <c r="FPN1152" s="13"/>
      <c r="FPO1152" s="13"/>
      <c r="FPP1152" s="13"/>
      <c r="FPQ1152" s="13"/>
      <c r="FPR1152" s="13"/>
      <c r="FPS1152" s="13"/>
      <c r="FPT1152" s="13"/>
      <c r="FPU1152" s="13"/>
      <c r="FPV1152" s="13"/>
      <c r="FPW1152" s="13"/>
      <c r="FPX1152" s="13"/>
      <c r="FPY1152" s="13"/>
      <c r="FPZ1152" s="13"/>
      <c r="FQA1152" s="13"/>
      <c r="FQB1152" s="13"/>
      <c r="FQC1152" s="13"/>
      <c r="FQD1152" s="13"/>
      <c r="FQE1152" s="13"/>
      <c r="FQF1152" s="13"/>
      <c r="FQG1152" s="13"/>
      <c r="FQH1152" s="13"/>
      <c r="FQI1152" s="13"/>
      <c r="FQJ1152" s="13"/>
      <c r="FQK1152" s="13"/>
      <c r="FQL1152" s="13"/>
      <c r="FQM1152" s="13"/>
      <c r="FQN1152" s="13"/>
      <c r="FQO1152" s="13"/>
      <c r="FQP1152" s="13"/>
      <c r="FQQ1152" s="13"/>
      <c r="FQR1152" s="13"/>
      <c r="FQS1152" s="13"/>
      <c r="FQT1152" s="13"/>
      <c r="FQU1152" s="13"/>
      <c r="FQV1152" s="13"/>
      <c r="FQW1152" s="13"/>
      <c r="FQX1152" s="13"/>
      <c r="FQY1152" s="13"/>
      <c r="FQZ1152" s="13"/>
      <c r="FRA1152" s="13"/>
      <c r="FRB1152" s="13"/>
      <c r="FRC1152" s="13"/>
      <c r="FRD1152" s="13"/>
      <c r="FRE1152" s="13"/>
      <c r="FRF1152" s="13"/>
      <c r="FRG1152" s="13"/>
      <c r="FRH1152" s="13"/>
      <c r="FRI1152" s="13"/>
      <c r="FRJ1152" s="13"/>
      <c r="FRK1152" s="13"/>
      <c r="FRL1152" s="13"/>
      <c r="FRM1152" s="13"/>
      <c r="FRN1152" s="13"/>
      <c r="FRO1152" s="13"/>
      <c r="FRP1152" s="13"/>
      <c r="FRQ1152" s="13"/>
      <c r="FRR1152" s="13"/>
      <c r="FRS1152" s="13"/>
      <c r="FRT1152" s="13"/>
      <c r="FRU1152" s="13"/>
      <c r="FRV1152" s="13"/>
      <c r="FRW1152" s="13"/>
      <c r="FRX1152" s="13"/>
      <c r="FRY1152" s="13"/>
      <c r="FRZ1152" s="13"/>
      <c r="FSA1152" s="13"/>
      <c r="FSB1152" s="13"/>
      <c r="FSC1152" s="13"/>
      <c r="FSD1152" s="13"/>
      <c r="FSE1152" s="13"/>
      <c r="FSF1152" s="13"/>
      <c r="FSG1152" s="13"/>
      <c r="FSH1152" s="13"/>
      <c r="FSI1152" s="13"/>
      <c r="FSJ1152" s="13"/>
      <c r="FSK1152" s="13"/>
      <c r="FSL1152" s="13"/>
      <c r="FSM1152" s="13"/>
      <c r="FSN1152" s="13"/>
      <c r="FSO1152" s="13"/>
      <c r="FSP1152" s="13"/>
      <c r="FSQ1152" s="13"/>
      <c r="FSR1152" s="13"/>
      <c r="FSS1152" s="13"/>
      <c r="FST1152" s="13"/>
      <c r="FSU1152" s="13"/>
      <c r="FSV1152" s="13"/>
      <c r="FSW1152" s="13"/>
      <c r="FSX1152" s="13"/>
      <c r="FSY1152" s="13"/>
      <c r="FSZ1152" s="13"/>
      <c r="FTA1152" s="13"/>
      <c r="FTB1152" s="13"/>
      <c r="FTC1152" s="13"/>
      <c r="FTD1152" s="13"/>
      <c r="FTE1152" s="13"/>
      <c r="FTF1152" s="13"/>
      <c r="FTG1152" s="13"/>
      <c r="FTH1152" s="13"/>
      <c r="FTI1152" s="13"/>
      <c r="FTJ1152" s="13"/>
      <c r="FTK1152" s="13"/>
      <c r="FTL1152" s="13"/>
      <c r="FTM1152" s="13"/>
      <c r="FTN1152" s="13"/>
      <c r="FTO1152" s="13"/>
      <c r="FTP1152" s="13"/>
      <c r="FTQ1152" s="13"/>
      <c r="FTR1152" s="13"/>
      <c r="FTS1152" s="13"/>
      <c r="FTT1152" s="13"/>
      <c r="FTU1152" s="13"/>
      <c r="FTV1152" s="13"/>
      <c r="FTW1152" s="13"/>
      <c r="FTX1152" s="13"/>
      <c r="FTY1152" s="13"/>
      <c r="FTZ1152" s="13"/>
      <c r="FUA1152" s="13"/>
      <c r="FUB1152" s="13"/>
      <c r="FUC1152" s="13"/>
      <c r="FUD1152" s="13"/>
      <c r="FUE1152" s="13"/>
      <c r="FUF1152" s="13"/>
      <c r="FUG1152" s="13"/>
      <c r="FUH1152" s="13"/>
      <c r="FUI1152" s="13"/>
      <c r="FUJ1152" s="13"/>
      <c r="FUK1152" s="13"/>
      <c r="FUL1152" s="13"/>
      <c r="FUM1152" s="13"/>
      <c r="FUN1152" s="13"/>
      <c r="FUO1152" s="13"/>
      <c r="FUP1152" s="13"/>
      <c r="FUQ1152" s="13"/>
      <c r="FUR1152" s="13"/>
      <c r="FUS1152" s="13"/>
      <c r="FUT1152" s="13"/>
      <c r="FUU1152" s="13"/>
      <c r="FUV1152" s="13"/>
      <c r="FUW1152" s="13"/>
      <c r="FUX1152" s="13"/>
      <c r="FUY1152" s="13"/>
      <c r="FUZ1152" s="13"/>
      <c r="FVA1152" s="13"/>
      <c r="FVB1152" s="13"/>
      <c r="FVC1152" s="13"/>
      <c r="FVD1152" s="13"/>
      <c r="FVE1152" s="13"/>
      <c r="FVF1152" s="13"/>
      <c r="FVG1152" s="13"/>
      <c r="FVH1152" s="13"/>
      <c r="FVI1152" s="13"/>
      <c r="FVJ1152" s="13"/>
      <c r="FVK1152" s="13"/>
      <c r="FVL1152" s="13"/>
      <c r="FVM1152" s="13"/>
      <c r="FVN1152" s="13"/>
      <c r="FVO1152" s="13"/>
      <c r="FVP1152" s="13"/>
      <c r="FVQ1152" s="13"/>
      <c r="FVR1152" s="13"/>
      <c r="FVS1152" s="13"/>
      <c r="FVT1152" s="13"/>
      <c r="FVU1152" s="13"/>
      <c r="FVV1152" s="13"/>
      <c r="FVW1152" s="13"/>
      <c r="FVX1152" s="13"/>
      <c r="FVY1152" s="13"/>
      <c r="FVZ1152" s="13"/>
      <c r="FWA1152" s="13"/>
      <c r="FWB1152" s="13"/>
      <c r="FWC1152" s="13"/>
      <c r="FWD1152" s="13"/>
      <c r="FWE1152" s="13"/>
      <c r="FWF1152" s="13"/>
      <c r="FWG1152" s="13"/>
      <c r="FWH1152" s="13"/>
      <c r="FWI1152" s="13"/>
      <c r="FWJ1152" s="13"/>
      <c r="FWK1152" s="13"/>
      <c r="FWL1152" s="13"/>
      <c r="FWM1152" s="13"/>
      <c r="FWN1152" s="13"/>
      <c r="FWO1152" s="13"/>
      <c r="FWP1152" s="13"/>
      <c r="FWQ1152" s="13"/>
      <c r="FWR1152" s="13"/>
      <c r="FWS1152" s="13"/>
      <c r="FWT1152" s="13"/>
      <c r="FWU1152" s="13"/>
      <c r="FWV1152" s="13"/>
      <c r="FWW1152" s="13"/>
      <c r="FWX1152" s="13"/>
      <c r="FWY1152" s="13"/>
      <c r="FWZ1152" s="13"/>
      <c r="FXA1152" s="13"/>
      <c r="FXB1152" s="13"/>
      <c r="FXC1152" s="13"/>
      <c r="FXD1152" s="13"/>
      <c r="FXE1152" s="13"/>
      <c r="FXF1152" s="13"/>
      <c r="FXG1152" s="13"/>
      <c r="FXH1152" s="13"/>
      <c r="FXI1152" s="13"/>
      <c r="FXJ1152" s="13"/>
      <c r="FXK1152" s="13"/>
      <c r="FXL1152" s="13"/>
      <c r="FXM1152" s="13"/>
      <c r="FXN1152" s="13"/>
      <c r="FXO1152" s="13"/>
      <c r="FXP1152" s="13"/>
      <c r="FXQ1152" s="13"/>
      <c r="FXR1152" s="13"/>
      <c r="FXS1152" s="13"/>
      <c r="FXT1152" s="13"/>
      <c r="FXU1152" s="13"/>
      <c r="FXV1152" s="13"/>
      <c r="FXW1152" s="13"/>
      <c r="FXX1152" s="13"/>
      <c r="FXY1152" s="13"/>
      <c r="FXZ1152" s="13"/>
      <c r="FYA1152" s="13"/>
      <c r="FYB1152" s="13"/>
      <c r="FYC1152" s="13"/>
      <c r="FYD1152" s="13"/>
      <c r="FYE1152" s="13"/>
      <c r="FYF1152" s="13"/>
      <c r="FYG1152" s="13"/>
      <c r="FYH1152" s="13"/>
      <c r="FYI1152" s="13"/>
      <c r="FYJ1152" s="13"/>
      <c r="FYK1152" s="13"/>
      <c r="FYL1152" s="13"/>
      <c r="FYM1152" s="13"/>
      <c r="FYN1152" s="13"/>
      <c r="FYO1152" s="13"/>
      <c r="FYP1152" s="13"/>
      <c r="FYQ1152" s="13"/>
      <c r="FYR1152" s="13"/>
      <c r="FYS1152" s="13"/>
      <c r="FYT1152" s="13"/>
      <c r="FYU1152" s="13"/>
      <c r="FYV1152" s="13"/>
      <c r="FYW1152" s="13"/>
      <c r="FYX1152" s="13"/>
      <c r="FYY1152" s="13"/>
      <c r="FYZ1152" s="13"/>
      <c r="FZA1152" s="13"/>
      <c r="FZB1152" s="13"/>
      <c r="FZC1152" s="13"/>
      <c r="FZD1152" s="13"/>
      <c r="FZE1152" s="13"/>
      <c r="FZF1152" s="13"/>
      <c r="FZG1152" s="13"/>
      <c r="FZH1152" s="13"/>
      <c r="FZI1152" s="13"/>
      <c r="FZJ1152" s="13"/>
      <c r="FZK1152" s="13"/>
      <c r="FZL1152" s="13"/>
      <c r="FZM1152" s="13"/>
      <c r="FZN1152" s="13"/>
      <c r="FZO1152" s="13"/>
      <c r="FZP1152" s="13"/>
      <c r="FZQ1152" s="13"/>
      <c r="FZR1152" s="13"/>
      <c r="FZS1152" s="13"/>
      <c r="FZT1152" s="13"/>
      <c r="FZU1152" s="13"/>
      <c r="FZV1152" s="13"/>
      <c r="FZW1152" s="13"/>
      <c r="FZX1152" s="13"/>
      <c r="FZY1152" s="13"/>
      <c r="FZZ1152" s="13"/>
      <c r="GAA1152" s="13"/>
      <c r="GAB1152" s="13"/>
      <c r="GAC1152" s="13"/>
      <c r="GAD1152" s="13"/>
      <c r="GAE1152" s="13"/>
      <c r="GAF1152" s="13"/>
      <c r="GAG1152" s="13"/>
      <c r="GAH1152" s="13"/>
      <c r="GAI1152" s="13"/>
      <c r="GAJ1152" s="13"/>
      <c r="GAK1152" s="13"/>
      <c r="GAL1152" s="13"/>
      <c r="GAM1152" s="13"/>
      <c r="GAN1152" s="13"/>
      <c r="GAO1152" s="13"/>
      <c r="GAP1152" s="13"/>
      <c r="GAQ1152" s="13"/>
      <c r="GAR1152" s="13"/>
      <c r="GAS1152" s="13"/>
      <c r="GAT1152" s="13"/>
      <c r="GAU1152" s="13"/>
      <c r="GAV1152" s="13"/>
      <c r="GAW1152" s="13"/>
      <c r="GAX1152" s="13"/>
      <c r="GAY1152" s="13"/>
      <c r="GAZ1152" s="13"/>
      <c r="GBA1152" s="13"/>
      <c r="GBB1152" s="13"/>
      <c r="GBC1152" s="13"/>
      <c r="GBD1152" s="13"/>
      <c r="GBE1152" s="13"/>
      <c r="GBF1152" s="13"/>
      <c r="GBG1152" s="13"/>
      <c r="GBH1152" s="13"/>
      <c r="GBI1152" s="13"/>
      <c r="GBJ1152" s="13"/>
      <c r="GBK1152" s="13"/>
      <c r="GBL1152" s="13"/>
      <c r="GBM1152" s="13"/>
      <c r="GBN1152" s="13"/>
      <c r="GBO1152" s="13"/>
      <c r="GBP1152" s="13"/>
      <c r="GBQ1152" s="13"/>
      <c r="GBR1152" s="13"/>
      <c r="GBS1152" s="13"/>
      <c r="GBT1152" s="13"/>
      <c r="GBU1152" s="13"/>
      <c r="GBV1152" s="13"/>
      <c r="GBW1152" s="13"/>
      <c r="GBX1152" s="13"/>
      <c r="GBY1152" s="13"/>
      <c r="GBZ1152" s="13"/>
      <c r="GCA1152" s="13"/>
      <c r="GCB1152" s="13"/>
      <c r="GCC1152" s="13"/>
      <c r="GCD1152" s="13"/>
      <c r="GCE1152" s="13"/>
      <c r="GCF1152" s="13"/>
      <c r="GCG1152" s="13"/>
      <c r="GCH1152" s="13"/>
      <c r="GCI1152" s="13"/>
      <c r="GCJ1152" s="13"/>
      <c r="GCK1152" s="13"/>
      <c r="GCL1152" s="13"/>
      <c r="GCM1152" s="13"/>
      <c r="GCN1152" s="13"/>
      <c r="GCO1152" s="13"/>
      <c r="GCP1152" s="13"/>
      <c r="GCQ1152" s="13"/>
      <c r="GCR1152" s="13"/>
      <c r="GCS1152" s="13"/>
      <c r="GCT1152" s="13"/>
      <c r="GCU1152" s="13"/>
      <c r="GCV1152" s="13"/>
      <c r="GCW1152" s="13"/>
      <c r="GCX1152" s="13"/>
      <c r="GCY1152" s="13"/>
      <c r="GCZ1152" s="13"/>
      <c r="GDA1152" s="13"/>
      <c r="GDB1152" s="13"/>
      <c r="GDC1152" s="13"/>
      <c r="GDD1152" s="13"/>
      <c r="GDE1152" s="13"/>
      <c r="GDF1152" s="13"/>
      <c r="GDG1152" s="13"/>
      <c r="GDH1152" s="13"/>
      <c r="GDI1152" s="13"/>
      <c r="GDJ1152" s="13"/>
      <c r="GDK1152" s="13"/>
      <c r="GDL1152" s="13"/>
      <c r="GDM1152" s="13"/>
      <c r="GDN1152" s="13"/>
      <c r="GDO1152" s="13"/>
      <c r="GDP1152" s="13"/>
      <c r="GDQ1152" s="13"/>
      <c r="GDR1152" s="13"/>
      <c r="GDS1152" s="13"/>
      <c r="GDT1152" s="13"/>
      <c r="GDU1152" s="13"/>
      <c r="GDV1152" s="13"/>
      <c r="GDW1152" s="13"/>
      <c r="GDX1152" s="13"/>
      <c r="GDY1152" s="13"/>
      <c r="GDZ1152" s="13"/>
      <c r="GEA1152" s="13"/>
      <c r="GEB1152" s="13"/>
      <c r="GEC1152" s="13"/>
      <c r="GED1152" s="13"/>
      <c r="GEE1152" s="13"/>
      <c r="GEF1152" s="13"/>
      <c r="GEG1152" s="13"/>
      <c r="GEH1152" s="13"/>
      <c r="GEI1152" s="13"/>
      <c r="GEJ1152" s="13"/>
      <c r="GEK1152" s="13"/>
      <c r="GEL1152" s="13"/>
      <c r="GEM1152" s="13"/>
      <c r="GEN1152" s="13"/>
      <c r="GEO1152" s="13"/>
      <c r="GEP1152" s="13"/>
      <c r="GEQ1152" s="13"/>
      <c r="GER1152" s="13"/>
      <c r="GES1152" s="13"/>
      <c r="GET1152" s="13"/>
      <c r="GEU1152" s="13"/>
      <c r="GEV1152" s="13"/>
      <c r="GEW1152" s="13"/>
      <c r="GEX1152" s="13"/>
      <c r="GEY1152" s="13"/>
      <c r="GEZ1152" s="13"/>
      <c r="GFA1152" s="13"/>
      <c r="GFB1152" s="13"/>
      <c r="GFC1152" s="13"/>
      <c r="GFD1152" s="13"/>
      <c r="GFE1152" s="13"/>
      <c r="GFF1152" s="13"/>
      <c r="GFG1152" s="13"/>
      <c r="GFH1152" s="13"/>
      <c r="GFI1152" s="13"/>
      <c r="GFJ1152" s="13"/>
      <c r="GFK1152" s="13"/>
      <c r="GFL1152" s="13"/>
      <c r="GFM1152" s="13"/>
      <c r="GFN1152" s="13"/>
      <c r="GFO1152" s="13"/>
      <c r="GFP1152" s="13"/>
      <c r="GFQ1152" s="13"/>
      <c r="GFR1152" s="13"/>
      <c r="GFS1152" s="13"/>
      <c r="GFT1152" s="13"/>
      <c r="GFU1152" s="13"/>
      <c r="GFV1152" s="13"/>
      <c r="GFW1152" s="13"/>
      <c r="GFX1152" s="13"/>
      <c r="GFY1152" s="13"/>
      <c r="GFZ1152" s="13"/>
      <c r="GGA1152" s="13"/>
      <c r="GGB1152" s="13"/>
      <c r="GGC1152" s="13"/>
      <c r="GGD1152" s="13"/>
      <c r="GGE1152" s="13"/>
      <c r="GGF1152" s="13"/>
      <c r="GGG1152" s="13"/>
      <c r="GGH1152" s="13"/>
      <c r="GGI1152" s="13"/>
      <c r="GGJ1152" s="13"/>
      <c r="GGK1152" s="13"/>
      <c r="GGL1152" s="13"/>
      <c r="GGM1152" s="13"/>
      <c r="GGN1152" s="13"/>
      <c r="GGO1152" s="13"/>
      <c r="GGP1152" s="13"/>
      <c r="GGQ1152" s="13"/>
      <c r="GGR1152" s="13"/>
      <c r="GGS1152" s="13"/>
      <c r="GGT1152" s="13"/>
      <c r="GGU1152" s="13"/>
      <c r="GGV1152" s="13"/>
      <c r="GGW1152" s="13"/>
      <c r="GGX1152" s="13"/>
      <c r="GGY1152" s="13"/>
      <c r="GGZ1152" s="13"/>
      <c r="GHA1152" s="13"/>
      <c r="GHB1152" s="13"/>
      <c r="GHC1152" s="13"/>
      <c r="GHD1152" s="13"/>
      <c r="GHE1152" s="13"/>
      <c r="GHF1152" s="13"/>
      <c r="GHG1152" s="13"/>
      <c r="GHH1152" s="13"/>
      <c r="GHI1152" s="13"/>
      <c r="GHJ1152" s="13"/>
      <c r="GHK1152" s="13"/>
      <c r="GHL1152" s="13"/>
      <c r="GHM1152" s="13"/>
      <c r="GHN1152" s="13"/>
      <c r="GHO1152" s="13"/>
      <c r="GHP1152" s="13"/>
      <c r="GHQ1152" s="13"/>
      <c r="GHR1152" s="13"/>
      <c r="GHS1152" s="13"/>
      <c r="GHT1152" s="13"/>
      <c r="GHU1152" s="13"/>
      <c r="GHV1152" s="13"/>
      <c r="GHW1152" s="13"/>
      <c r="GHX1152" s="13"/>
      <c r="GHY1152" s="13"/>
      <c r="GHZ1152" s="13"/>
      <c r="GIA1152" s="13"/>
      <c r="GIB1152" s="13"/>
      <c r="GIC1152" s="13"/>
      <c r="GID1152" s="13"/>
      <c r="GIE1152" s="13"/>
      <c r="GIF1152" s="13"/>
      <c r="GIG1152" s="13"/>
      <c r="GIH1152" s="13"/>
      <c r="GII1152" s="13"/>
      <c r="GIJ1152" s="13"/>
      <c r="GIK1152" s="13"/>
      <c r="GIL1152" s="13"/>
      <c r="GIM1152" s="13"/>
      <c r="GIN1152" s="13"/>
      <c r="GIO1152" s="13"/>
      <c r="GIP1152" s="13"/>
      <c r="GIQ1152" s="13"/>
      <c r="GIR1152" s="13"/>
      <c r="GIS1152" s="13"/>
      <c r="GIT1152" s="13"/>
      <c r="GIU1152" s="13"/>
      <c r="GIV1152" s="13"/>
      <c r="GIW1152" s="13"/>
      <c r="GIX1152" s="13"/>
      <c r="GIY1152" s="13"/>
      <c r="GIZ1152" s="13"/>
      <c r="GJA1152" s="13"/>
      <c r="GJB1152" s="13"/>
      <c r="GJC1152" s="13"/>
      <c r="GJD1152" s="13"/>
      <c r="GJE1152" s="13"/>
      <c r="GJF1152" s="13"/>
      <c r="GJG1152" s="13"/>
      <c r="GJH1152" s="13"/>
      <c r="GJI1152" s="13"/>
      <c r="GJJ1152" s="13"/>
      <c r="GJK1152" s="13"/>
      <c r="GJL1152" s="13"/>
      <c r="GJM1152" s="13"/>
      <c r="GJN1152" s="13"/>
      <c r="GJO1152" s="13"/>
      <c r="GJP1152" s="13"/>
      <c r="GJQ1152" s="13"/>
      <c r="GJR1152" s="13"/>
      <c r="GJS1152" s="13"/>
      <c r="GJT1152" s="13"/>
      <c r="GJU1152" s="13"/>
      <c r="GJV1152" s="13"/>
      <c r="GJW1152" s="13"/>
      <c r="GJX1152" s="13"/>
      <c r="GJY1152" s="13"/>
      <c r="GJZ1152" s="13"/>
      <c r="GKA1152" s="13"/>
      <c r="GKB1152" s="13"/>
      <c r="GKC1152" s="13"/>
      <c r="GKD1152" s="13"/>
      <c r="GKE1152" s="13"/>
      <c r="GKF1152" s="13"/>
      <c r="GKG1152" s="13"/>
      <c r="GKH1152" s="13"/>
      <c r="GKI1152" s="13"/>
      <c r="GKJ1152" s="13"/>
      <c r="GKK1152" s="13"/>
      <c r="GKL1152" s="13"/>
      <c r="GKM1152" s="13"/>
      <c r="GKN1152" s="13"/>
      <c r="GKO1152" s="13"/>
      <c r="GKP1152" s="13"/>
      <c r="GKQ1152" s="13"/>
      <c r="GKR1152" s="13"/>
      <c r="GKS1152" s="13"/>
      <c r="GKT1152" s="13"/>
      <c r="GKU1152" s="13"/>
      <c r="GKV1152" s="13"/>
      <c r="GKW1152" s="13"/>
      <c r="GKX1152" s="13"/>
      <c r="GKY1152" s="13"/>
      <c r="GKZ1152" s="13"/>
      <c r="GLA1152" s="13"/>
      <c r="GLB1152" s="13"/>
      <c r="GLC1152" s="13"/>
      <c r="GLD1152" s="13"/>
      <c r="GLE1152" s="13"/>
      <c r="GLF1152" s="13"/>
      <c r="GLG1152" s="13"/>
      <c r="GLH1152" s="13"/>
      <c r="GLI1152" s="13"/>
      <c r="GLJ1152" s="13"/>
      <c r="GLK1152" s="13"/>
      <c r="GLL1152" s="13"/>
      <c r="GLM1152" s="13"/>
      <c r="GLN1152" s="13"/>
      <c r="GLO1152" s="13"/>
      <c r="GLP1152" s="13"/>
      <c r="GLQ1152" s="13"/>
      <c r="GLR1152" s="13"/>
      <c r="GLS1152" s="13"/>
      <c r="GLT1152" s="13"/>
      <c r="GLU1152" s="13"/>
      <c r="GLV1152" s="13"/>
      <c r="GLW1152" s="13"/>
      <c r="GLX1152" s="13"/>
      <c r="GLY1152" s="13"/>
      <c r="GLZ1152" s="13"/>
      <c r="GMA1152" s="13"/>
      <c r="GMB1152" s="13"/>
      <c r="GMC1152" s="13"/>
      <c r="GMD1152" s="13"/>
      <c r="GME1152" s="13"/>
      <c r="GMF1152" s="13"/>
      <c r="GMG1152" s="13"/>
      <c r="GMH1152" s="13"/>
      <c r="GMI1152" s="13"/>
      <c r="GMJ1152" s="13"/>
      <c r="GMK1152" s="13"/>
      <c r="GML1152" s="13"/>
      <c r="GMM1152" s="13"/>
      <c r="GMN1152" s="13"/>
      <c r="GMO1152" s="13"/>
      <c r="GMP1152" s="13"/>
      <c r="GMQ1152" s="13"/>
      <c r="GMR1152" s="13"/>
      <c r="GMS1152" s="13"/>
      <c r="GMT1152" s="13"/>
      <c r="GMU1152" s="13"/>
      <c r="GMV1152" s="13"/>
      <c r="GMW1152" s="13"/>
      <c r="GMX1152" s="13"/>
      <c r="GMY1152" s="13"/>
      <c r="GMZ1152" s="13"/>
      <c r="GNA1152" s="13"/>
      <c r="GNB1152" s="13"/>
      <c r="GNC1152" s="13"/>
      <c r="GND1152" s="13"/>
      <c r="GNE1152" s="13"/>
      <c r="GNF1152" s="13"/>
      <c r="GNG1152" s="13"/>
      <c r="GNH1152" s="13"/>
      <c r="GNI1152" s="13"/>
      <c r="GNJ1152" s="13"/>
      <c r="GNK1152" s="13"/>
      <c r="GNL1152" s="13"/>
      <c r="GNM1152" s="13"/>
      <c r="GNN1152" s="13"/>
      <c r="GNO1152" s="13"/>
      <c r="GNP1152" s="13"/>
      <c r="GNQ1152" s="13"/>
      <c r="GNR1152" s="13"/>
      <c r="GNS1152" s="13"/>
      <c r="GNT1152" s="13"/>
      <c r="GNU1152" s="13"/>
      <c r="GNV1152" s="13"/>
      <c r="GNW1152" s="13"/>
      <c r="GNX1152" s="13"/>
      <c r="GNY1152" s="13"/>
      <c r="GNZ1152" s="13"/>
      <c r="GOA1152" s="13"/>
      <c r="GOB1152" s="13"/>
      <c r="GOC1152" s="13"/>
      <c r="GOD1152" s="13"/>
      <c r="GOE1152" s="13"/>
      <c r="GOF1152" s="13"/>
      <c r="GOG1152" s="13"/>
      <c r="GOH1152" s="13"/>
      <c r="GOI1152" s="13"/>
      <c r="GOJ1152" s="13"/>
      <c r="GOK1152" s="13"/>
      <c r="GOL1152" s="13"/>
      <c r="GOM1152" s="13"/>
      <c r="GON1152" s="13"/>
      <c r="GOO1152" s="13"/>
      <c r="GOP1152" s="13"/>
      <c r="GOQ1152" s="13"/>
      <c r="GOR1152" s="13"/>
      <c r="GOS1152" s="13"/>
      <c r="GOT1152" s="13"/>
      <c r="GOU1152" s="13"/>
      <c r="GOV1152" s="13"/>
      <c r="GOW1152" s="13"/>
      <c r="GOX1152" s="13"/>
      <c r="GOY1152" s="13"/>
      <c r="GOZ1152" s="13"/>
      <c r="GPA1152" s="13"/>
      <c r="GPB1152" s="13"/>
      <c r="GPC1152" s="13"/>
      <c r="GPD1152" s="13"/>
      <c r="GPE1152" s="13"/>
      <c r="GPF1152" s="13"/>
      <c r="GPG1152" s="13"/>
      <c r="GPH1152" s="13"/>
      <c r="GPI1152" s="13"/>
      <c r="GPJ1152" s="13"/>
      <c r="GPK1152" s="13"/>
      <c r="GPL1152" s="13"/>
      <c r="GPM1152" s="13"/>
      <c r="GPN1152" s="13"/>
      <c r="GPO1152" s="13"/>
      <c r="GPP1152" s="13"/>
      <c r="GPQ1152" s="13"/>
      <c r="GPR1152" s="13"/>
      <c r="GPS1152" s="13"/>
      <c r="GPT1152" s="13"/>
      <c r="GPU1152" s="13"/>
      <c r="GPV1152" s="13"/>
      <c r="GPW1152" s="13"/>
      <c r="GPX1152" s="13"/>
      <c r="GPY1152" s="13"/>
      <c r="GPZ1152" s="13"/>
      <c r="GQA1152" s="13"/>
      <c r="GQB1152" s="13"/>
      <c r="GQC1152" s="13"/>
      <c r="GQD1152" s="13"/>
      <c r="GQE1152" s="13"/>
      <c r="GQF1152" s="13"/>
      <c r="GQG1152" s="13"/>
      <c r="GQH1152" s="13"/>
      <c r="GQI1152" s="13"/>
      <c r="GQJ1152" s="13"/>
      <c r="GQK1152" s="13"/>
      <c r="GQL1152" s="13"/>
      <c r="GQM1152" s="13"/>
      <c r="GQN1152" s="13"/>
      <c r="GQO1152" s="13"/>
      <c r="GQP1152" s="13"/>
      <c r="GQQ1152" s="13"/>
      <c r="GQR1152" s="13"/>
      <c r="GQS1152" s="13"/>
      <c r="GQT1152" s="13"/>
      <c r="GQU1152" s="13"/>
      <c r="GQV1152" s="13"/>
      <c r="GQW1152" s="13"/>
      <c r="GQX1152" s="13"/>
      <c r="GQY1152" s="13"/>
      <c r="GQZ1152" s="13"/>
      <c r="GRA1152" s="13"/>
      <c r="GRB1152" s="13"/>
      <c r="GRC1152" s="13"/>
      <c r="GRD1152" s="13"/>
      <c r="GRE1152" s="13"/>
      <c r="GRF1152" s="13"/>
      <c r="GRG1152" s="13"/>
      <c r="GRH1152" s="13"/>
      <c r="GRI1152" s="13"/>
      <c r="GRJ1152" s="13"/>
      <c r="GRK1152" s="13"/>
      <c r="GRL1152" s="13"/>
      <c r="GRM1152" s="13"/>
      <c r="GRN1152" s="13"/>
      <c r="GRO1152" s="13"/>
      <c r="GRP1152" s="13"/>
      <c r="GRQ1152" s="13"/>
      <c r="GRR1152" s="13"/>
      <c r="GRS1152" s="13"/>
      <c r="GRT1152" s="13"/>
      <c r="GRU1152" s="13"/>
      <c r="GRV1152" s="13"/>
      <c r="GRW1152" s="13"/>
      <c r="GRX1152" s="13"/>
      <c r="GRY1152" s="13"/>
      <c r="GRZ1152" s="13"/>
      <c r="GSA1152" s="13"/>
      <c r="GSB1152" s="13"/>
      <c r="GSC1152" s="13"/>
      <c r="GSD1152" s="13"/>
      <c r="GSE1152" s="13"/>
      <c r="GSF1152" s="13"/>
      <c r="GSG1152" s="13"/>
      <c r="GSH1152" s="13"/>
      <c r="GSI1152" s="13"/>
      <c r="GSJ1152" s="13"/>
      <c r="GSK1152" s="13"/>
      <c r="GSL1152" s="13"/>
      <c r="GSM1152" s="13"/>
      <c r="GSN1152" s="13"/>
      <c r="GSO1152" s="13"/>
      <c r="GSP1152" s="13"/>
      <c r="GSQ1152" s="13"/>
      <c r="GSR1152" s="13"/>
      <c r="GSS1152" s="13"/>
      <c r="GST1152" s="13"/>
      <c r="GSU1152" s="13"/>
      <c r="GSV1152" s="13"/>
      <c r="GSW1152" s="13"/>
      <c r="GSX1152" s="13"/>
      <c r="GSY1152" s="13"/>
      <c r="GSZ1152" s="13"/>
      <c r="GTA1152" s="13"/>
      <c r="GTB1152" s="13"/>
      <c r="GTC1152" s="13"/>
      <c r="GTD1152" s="13"/>
      <c r="GTE1152" s="13"/>
      <c r="GTF1152" s="13"/>
      <c r="GTG1152" s="13"/>
      <c r="GTH1152" s="13"/>
      <c r="GTI1152" s="13"/>
      <c r="GTJ1152" s="13"/>
      <c r="GTK1152" s="13"/>
      <c r="GTL1152" s="13"/>
      <c r="GTM1152" s="13"/>
      <c r="GTN1152" s="13"/>
      <c r="GTO1152" s="13"/>
      <c r="GTP1152" s="13"/>
      <c r="GTQ1152" s="13"/>
      <c r="GTR1152" s="13"/>
      <c r="GTS1152" s="13"/>
      <c r="GTT1152" s="13"/>
      <c r="GTU1152" s="13"/>
      <c r="GTV1152" s="13"/>
      <c r="GTW1152" s="13"/>
      <c r="GTX1152" s="13"/>
      <c r="GTY1152" s="13"/>
      <c r="GTZ1152" s="13"/>
      <c r="GUA1152" s="13"/>
      <c r="GUB1152" s="13"/>
      <c r="GUC1152" s="13"/>
      <c r="GUD1152" s="13"/>
      <c r="GUE1152" s="13"/>
      <c r="GUF1152" s="13"/>
      <c r="GUG1152" s="13"/>
      <c r="GUH1152" s="13"/>
      <c r="GUI1152" s="13"/>
      <c r="GUJ1152" s="13"/>
      <c r="GUK1152" s="13"/>
      <c r="GUL1152" s="13"/>
      <c r="GUM1152" s="13"/>
      <c r="GUN1152" s="13"/>
      <c r="GUO1152" s="13"/>
      <c r="GUP1152" s="13"/>
      <c r="GUQ1152" s="13"/>
      <c r="GUR1152" s="13"/>
      <c r="GUS1152" s="13"/>
      <c r="GUT1152" s="13"/>
      <c r="GUU1152" s="13"/>
      <c r="GUV1152" s="13"/>
      <c r="GUW1152" s="13"/>
      <c r="GUX1152" s="13"/>
      <c r="GUY1152" s="13"/>
      <c r="GUZ1152" s="13"/>
      <c r="GVA1152" s="13"/>
      <c r="GVB1152" s="13"/>
      <c r="GVC1152" s="13"/>
      <c r="GVD1152" s="13"/>
      <c r="GVE1152" s="13"/>
      <c r="GVF1152" s="13"/>
      <c r="GVG1152" s="13"/>
      <c r="GVH1152" s="13"/>
      <c r="GVI1152" s="13"/>
      <c r="GVJ1152" s="13"/>
      <c r="GVK1152" s="13"/>
      <c r="GVL1152" s="13"/>
      <c r="GVM1152" s="13"/>
      <c r="GVN1152" s="13"/>
      <c r="GVO1152" s="13"/>
      <c r="GVP1152" s="13"/>
      <c r="GVQ1152" s="13"/>
      <c r="GVR1152" s="13"/>
      <c r="GVS1152" s="13"/>
      <c r="GVT1152" s="13"/>
      <c r="GVU1152" s="13"/>
      <c r="GVV1152" s="13"/>
      <c r="GVW1152" s="13"/>
      <c r="GVX1152" s="13"/>
      <c r="GVY1152" s="13"/>
      <c r="GVZ1152" s="13"/>
      <c r="GWA1152" s="13"/>
      <c r="GWB1152" s="13"/>
      <c r="GWC1152" s="13"/>
      <c r="GWD1152" s="13"/>
      <c r="GWE1152" s="13"/>
      <c r="GWF1152" s="13"/>
      <c r="GWG1152" s="13"/>
      <c r="GWH1152" s="13"/>
      <c r="GWI1152" s="13"/>
      <c r="GWJ1152" s="13"/>
      <c r="GWK1152" s="13"/>
      <c r="GWL1152" s="13"/>
      <c r="GWM1152" s="13"/>
      <c r="GWN1152" s="13"/>
      <c r="GWO1152" s="13"/>
      <c r="GWP1152" s="13"/>
      <c r="GWQ1152" s="13"/>
      <c r="GWR1152" s="13"/>
      <c r="GWS1152" s="13"/>
      <c r="GWT1152" s="13"/>
      <c r="GWU1152" s="13"/>
      <c r="GWV1152" s="13"/>
      <c r="GWW1152" s="13"/>
      <c r="GWX1152" s="13"/>
      <c r="GWY1152" s="13"/>
      <c r="GWZ1152" s="13"/>
      <c r="GXA1152" s="13"/>
      <c r="GXB1152" s="13"/>
      <c r="GXC1152" s="13"/>
      <c r="GXD1152" s="13"/>
      <c r="GXE1152" s="13"/>
      <c r="GXF1152" s="13"/>
      <c r="GXG1152" s="13"/>
      <c r="GXH1152" s="13"/>
      <c r="GXI1152" s="13"/>
      <c r="GXJ1152" s="13"/>
      <c r="GXK1152" s="13"/>
      <c r="GXL1152" s="13"/>
      <c r="GXM1152" s="13"/>
      <c r="GXN1152" s="13"/>
      <c r="GXO1152" s="13"/>
      <c r="GXP1152" s="13"/>
      <c r="GXQ1152" s="13"/>
      <c r="GXR1152" s="13"/>
      <c r="GXS1152" s="13"/>
      <c r="GXT1152" s="13"/>
      <c r="GXU1152" s="13"/>
      <c r="GXV1152" s="13"/>
      <c r="GXW1152" s="13"/>
      <c r="GXX1152" s="13"/>
      <c r="GXY1152" s="13"/>
      <c r="GXZ1152" s="13"/>
      <c r="GYA1152" s="13"/>
      <c r="GYB1152" s="13"/>
      <c r="GYC1152" s="13"/>
      <c r="GYD1152" s="13"/>
      <c r="GYE1152" s="13"/>
      <c r="GYF1152" s="13"/>
      <c r="GYG1152" s="13"/>
      <c r="GYH1152" s="13"/>
      <c r="GYI1152" s="13"/>
      <c r="GYJ1152" s="13"/>
      <c r="GYK1152" s="13"/>
      <c r="GYL1152" s="13"/>
      <c r="GYM1152" s="13"/>
      <c r="GYN1152" s="13"/>
      <c r="GYO1152" s="13"/>
      <c r="GYP1152" s="13"/>
      <c r="GYQ1152" s="13"/>
      <c r="GYR1152" s="13"/>
      <c r="GYS1152" s="13"/>
      <c r="GYT1152" s="13"/>
      <c r="GYU1152" s="13"/>
      <c r="GYV1152" s="13"/>
      <c r="GYW1152" s="13"/>
      <c r="GYX1152" s="13"/>
      <c r="GYY1152" s="13"/>
      <c r="GYZ1152" s="13"/>
      <c r="GZA1152" s="13"/>
      <c r="GZB1152" s="13"/>
      <c r="GZC1152" s="13"/>
      <c r="GZD1152" s="13"/>
      <c r="GZE1152" s="13"/>
      <c r="GZF1152" s="13"/>
      <c r="GZG1152" s="13"/>
      <c r="GZH1152" s="13"/>
      <c r="GZI1152" s="13"/>
      <c r="GZJ1152" s="13"/>
      <c r="GZK1152" s="13"/>
      <c r="GZL1152" s="13"/>
      <c r="GZM1152" s="13"/>
      <c r="GZN1152" s="13"/>
      <c r="GZO1152" s="13"/>
      <c r="GZP1152" s="13"/>
      <c r="GZQ1152" s="13"/>
      <c r="GZR1152" s="13"/>
      <c r="GZS1152" s="13"/>
      <c r="GZT1152" s="13"/>
      <c r="GZU1152" s="13"/>
      <c r="GZV1152" s="13"/>
      <c r="GZW1152" s="13"/>
      <c r="GZX1152" s="13"/>
      <c r="GZY1152" s="13"/>
      <c r="GZZ1152" s="13"/>
      <c r="HAA1152" s="13"/>
      <c r="HAB1152" s="13"/>
      <c r="HAC1152" s="13"/>
      <c r="HAD1152" s="13"/>
      <c r="HAE1152" s="13"/>
      <c r="HAF1152" s="13"/>
      <c r="HAG1152" s="13"/>
      <c r="HAH1152" s="13"/>
      <c r="HAI1152" s="13"/>
      <c r="HAJ1152" s="13"/>
      <c r="HAK1152" s="13"/>
      <c r="HAL1152" s="13"/>
      <c r="HAM1152" s="13"/>
      <c r="HAN1152" s="13"/>
      <c r="HAO1152" s="13"/>
      <c r="HAP1152" s="13"/>
      <c r="HAQ1152" s="13"/>
      <c r="HAR1152" s="13"/>
      <c r="HAS1152" s="13"/>
      <c r="HAT1152" s="13"/>
      <c r="HAU1152" s="13"/>
      <c r="HAV1152" s="13"/>
      <c r="HAW1152" s="13"/>
      <c r="HAX1152" s="13"/>
      <c r="HAY1152" s="13"/>
      <c r="HAZ1152" s="13"/>
      <c r="HBA1152" s="13"/>
      <c r="HBB1152" s="13"/>
      <c r="HBC1152" s="13"/>
      <c r="HBD1152" s="13"/>
      <c r="HBE1152" s="13"/>
      <c r="HBF1152" s="13"/>
      <c r="HBG1152" s="13"/>
      <c r="HBH1152" s="13"/>
      <c r="HBI1152" s="13"/>
      <c r="HBJ1152" s="13"/>
      <c r="HBK1152" s="13"/>
      <c r="HBL1152" s="13"/>
      <c r="HBM1152" s="13"/>
      <c r="HBN1152" s="13"/>
      <c r="HBO1152" s="13"/>
      <c r="HBP1152" s="13"/>
      <c r="HBQ1152" s="13"/>
      <c r="HBR1152" s="13"/>
      <c r="HBS1152" s="13"/>
      <c r="HBT1152" s="13"/>
      <c r="HBU1152" s="13"/>
      <c r="HBV1152" s="13"/>
      <c r="HBW1152" s="13"/>
      <c r="HBX1152" s="13"/>
      <c r="HBY1152" s="13"/>
      <c r="HBZ1152" s="13"/>
      <c r="HCA1152" s="13"/>
      <c r="HCB1152" s="13"/>
      <c r="HCC1152" s="13"/>
      <c r="HCD1152" s="13"/>
      <c r="HCE1152" s="13"/>
      <c r="HCF1152" s="13"/>
      <c r="HCG1152" s="13"/>
      <c r="HCH1152" s="13"/>
      <c r="HCI1152" s="13"/>
      <c r="HCJ1152" s="13"/>
      <c r="HCK1152" s="13"/>
      <c r="HCL1152" s="13"/>
      <c r="HCM1152" s="13"/>
      <c r="HCN1152" s="13"/>
      <c r="HCO1152" s="13"/>
      <c r="HCP1152" s="13"/>
      <c r="HCQ1152" s="13"/>
      <c r="HCR1152" s="13"/>
      <c r="HCS1152" s="13"/>
      <c r="HCT1152" s="13"/>
      <c r="HCU1152" s="13"/>
      <c r="HCV1152" s="13"/>
      <c r="HCW1152" s="13"/>
      <c r="HCX1152" s="13"/>
      <c r="HCY1152" s="13"/>
      <c r="HCZ1152" s="13"/>
      <c r="HDA1152" s="13"/>
      <c r="HDB1152" s="13"/>
      <c r="HDC1152" s="13"/>
      <c r="HDD1152" s="13"/>
      <c r="HDE1152" s="13"/>
      <c r="HDF1152" s="13"/>
      <c r="HDG1152" s="13"/>
      <c r="HDH1152" s="13"/>
      <c r="HDI1152" s="13"/>
      <c r="HDJ1152" s="13"/>
      <c r="HDK1152" s="13"/>
      <c r="HDL1152" s="13"/>
      <c r="HDM1152" s="13"/>
      <c r="HDN1152" s="13"/>
      <c r="HDO1152" s="13"/>
      <c r="HDP1152" s="13"/>
      <c r="HDQ1152" s="13"/>
      <c r="HDR1152" s="13"/>
      <c r="HDS1152" s="13"/>
      <c r="HDT1152" s="13"/>
      <c r="HDU1152" s="13"/>
      <c r="HDV1152" s="13"/>
      <c r="HDW1152" s="13"/>
      <c r="HDX1152" s="13"/>
      <c r="HDY1152" s="13"/>
      <c r="HDZ1152" s="13"/>
      <c r="HEA1152" s="13"/>
      <c r="HEB1152" s="13"/>
      <c r="HEC1152" s="13"/>
      <c r="HED1152" s="13"/>
      <c r="HEE1152" s="13"/>
      <c r="HEF1152" s="13"/>
      <c r="HEG1152" s="13"/>
      <c r="HEH1152" s="13"/>
      <c r="HEI1152" s="13"/>
      <c r="HEJ1152" s="13"/>
      <c r="HEK1152" s="13"/>
      <c r="HEL1152" s="13"/>
      <c r="HEM1152" s="13"/>
      <c r="HEN1152" s="13"/>
      <c r="HEO1152" s="13"/>
      <c r="HEP1152" s="13"/>
      <c r="HEQ1152" s="13"/>
      <c r="HER1152" s="13"/>
      <c r="HES1152" s="13"/>
      <c r="HET1152" s="13"/>
      <c r="HEU1152" s="13"/>
      <c r="HEV1152" s="13"/>
      <c r="HEW1152" s="13"/>
      <c r="HEX1152" s="13"/>
      <c r="HEY1152" s="13"/>
      <c r="HEZ1152" s="13"/>
      <c r="HFA1152" s="13"/>
      <c r="HFB1152" s="13"/>
      <c r="HFC1152" s="13"/>
      <c r="HFD1152" s="13"/>
      <c r="HFE1152" s="13"/>
      <c r="HFF1152" s="13"/>
      <c r="HFG1152" s="13"/>
      <c r="HFH1152" s="13"/>
      <c r="HFI1152" s="13"/>
      <c r="HFJ1152" s="13"/>
      <c r="HFK1152" s="13"/>
      <c r="HFL1152" s="13"/>
      <c r="HFM1152" s="13"/>
      <c r="HFN1152" s="13"/>
      <c r="HFO1152" s="13"/>
      <c r="HFP1152" s="13"/>
      <c r="HFQ1152" s="13"/>
      <c r="HFR1152" s="13"/>
      <c r="HFS1152" s="13"/>
      <c r="HFT1152" s="13"/>
      <c r="HFU1152" s="13"/>
      <c r="HFV1152" s="13"/>
      <c r="HFW1152" s="13"/>
      <c r="HFX1152" s="13"/>
      <c r="HFY1152" s="13"/>
      <c r="HFZ1152" s="13"/>
      <c r="HGA1152" s="13"/>
      <c r="HGB1152" s="13"/>
      <c r="HGC1152" s="13"/>
      <c r="HGD1152" s="13"/>
      <c r="HGE1152" s="13"/>
      <c r="HGF1152" s="13"/>
      <c r="HGG1152" s="13"/>
      <c r="HGH1152" s="13"/>
      <c r="HGI1152" s="13"/>
      <c r="HGJ1152" s="13"/>
      <c r="HGK1152" s="13"/>
      <c r="HGL1152" s="13"/>
      <c r="HGM1152" s="13"/>
      <c r="HGN1152" s="13"/>
      <c r="HGO1152" s="13"/>
      <c r="HGP1152" s="13"/>
      <c r="HGQ1152" s="13"/>
      <c r="HGR1152" s="13"/>
      <c r="HGS1152" s="13"/>
      <c r="HGT1152" s="13"/>
      <c r="HGU1152" s="13"/>
      <c r="HGV1152" s="13"/>
      <c r="HGW1152" s="13"/>
      <c r="HGX1152" s="13"/>
      <c r="HGY1152" s="13"/>
      <c r="HGZ1152" s="13"/>
      <c r="HHA1152" s="13"/>
      <c r="HHB1152" s="13"/>
      <c r="HHC1152" s="13"/>
      <c r="HHD1152" s="13"/>
      <c r="HHE1152" s="13"/>
      <c r="HHF1152" s="13"/>
      <c r="HHG1152" s="13"/>
      <c r="HHH1152" s="13"/>
      <c r="HHI1152" s="13"/>
      <c r="HHJ1152" s="13"/>
      <c r="HHK1152" s="13"/>
      <c r="HHL1152" s="13"/>
      <c r="HHM1152" s="13"/>
      <c r="HHN1152" s="13"/>
      <c r="HHO1152" s="13"/>
      <c r="HHP1152" s="13"/>
      <c r="HHQ1152" s="13"/>
      <c r="HHR1152" s="13"/>
      <c r="HHS1152" s="13"/>
      <c r="HHT1152" s="13"/>
      <c r="HHU1152" s="13"/>
      <c r="HHV1152" s="13"/>
      <c r="HHW1152" s="13"/>
      <c r="HHX1152" s="13"/>
      <c r="HHY1152" s="13"/>
      <c r="HHZ1152" s="13"/>
      <c r="HIA1152" s="13"/>
      <c r="HIB1152" s="13"/>
      <c r="HIC1152" s="13"/>
      <c r="HID1152" s="13"/>
      <c r="HIE1152" s="13"/>
      <c r="HIF1152" s="13"/>
      <c r="HIG1152" s="13"/>
      <c r="HIH1152" s="13"/>
      <c r="HII1152" s="13"/>
      <c r="HIJ1152" s="13"/>
      <c r="HIK1152" s="13"/>
      <c r="HIL1152" s="13"/>
      <c r="HIM1152" s="13"/>
      <c r="HIN1152" s="13"/>
      <c r="HIO1152" s="13"/>
      <c r="HIP1152" s="13"/>
      <c r="HIQ1152" s="13"/>
      <c r="HIR1152" s="13"/>
      <c r="HIS1152" s="13"/>
      <c r="HIT1152" s="13"/>
      <c r="HIU1152" s="13"/>
      <c r="HIV1152" s="13"/>
      <c r="HIW1152" s="13"/>
      <c r="HIX1152" s="13"/>
      <c r="HIY1152" s="13"/>
      <c r="HIZ1152" s="13"/>
      <c r="HJA1152" s="13"/>
      <c r="HJB1152" s="13"/>
      <c r="HJC1152" s="13"/>
      <c r="HJD1152" s="13"/>
      <c r="HJE1152" s="13"/>
      <c r="HJF1152" s="13"/>
      <c r="HJG1152" s="13"/>
      <c r="HJH1152" s="13"/>
      <c r="HJI1152" s="13"/>
      <c r="HJJ1152" s="13"/>
      <c r="HJK1152" s="13"/>
      <c r="HJL1152" s="13"/>
      <c r="HJM1152" s="13"/>
      <c r="HJN1152" s="13"/>
      <c r="HJO1152" s="13"/>
      <c r="HJP1152" s="13"/>
      <c r="HJQ1152" s="13"/>
      <c r="HJR1152" s="13"/>
      <c r="HJS1152" s="13"/>
      <c r="HJT1152" s="13"/>
      <c r="HJU1152" s="13"/>
      <c r="HJV1152" s="13"/>
      <c r="HJW1152" s="13"/>
      <c r="HJX1152" s="13"/>
      <c r="HJY1152" s="13"/>
      <c r="HJZ1152" s="13"/>
      <c r="HKA1152" s="13"/>
      <c r="HKB1152" s="13"/>
      <c r="HKC1152" s="13"/>
      <c r="HKD1152" s="13"/>
      <c r="HKE1152" s="13"/>
      <c r="HKF1152" s="13"/>
      <c r="HKG1152" s="13"/>
      <c r="HKH1152" s="13"/>
      <c r="HKI1152" s="13"/>
      <c r="HKJ1152" s="13"/>
      <c r="HKK1152" s="13"/>
      <c r="HKL1152" s="13"/>
      <c r="HKM1152" s="13"/>
      <c r="HKN1152" s="13"/>
      <c r="HKO1152" s="13"/>
      <c r="HKP1152" s="13"/>
      <c r="HKQ1152" s="13"/>
      <c r="HKR1152" s="13"/>
      <c r="HKS1152" s="13"/>
      <c r="HKT1152" s="13"/>
      <c r="HKU1152" s="13"/>
      <c r="HKV1152" s="13"/>
      <c r="HKW1152" s="13"/>
      <c r="HKX1152" s="13"/>
      <c r="HKY1152" s="13"/>
      <c r="HKZ1152" s="13"/>
      <c r="HLA1152" s="13"/>
      <c r="HLB1152" s="13"/>
      <c r="HLC1152" s="13"/>
      <c r="HLD1152" s="13"/>
      <c r="HLE1152" s="13"/>
      <c r="HLF1152" s="13"/>
      <c r="HLG1152" s="13"/>
      <c r="HLH1152" s="13"/>
      <c r="HLI1152" s="13"/>
      <c r="HLJ1152" s="13"/>
      <c r="HLK1152" s="13"/>
      <c r="HLL1152" s="13"/>
      <c r="HLM1152" s="13"/>
      <c r="HLN1152" s="13"/>
      <c r="HLO1152" s="13"/>
      <c r="HLP1152" s="13"/>
      <c r="HLQ1152" s="13"/>
      <c r="HLR1152" s="13"/>
      <c r="HLS1152" s="13"/>
      <c r="HLT1152" s="13"/>
      <c r="HLU1152" s="13"/>
      <c r="HLV1152" s="13"/>
      <c r="HLW1152" s="13"/>
      <c r="HLX1152" s="13"/>
      <c r="HLY1152" s="13"/>
      <c r="HLZ1152" s="13"/>
      <c r="HMA1152" s="13"/>
      <c r="HMB1152" s="13"/>
      <c r="HMC1152" s="13"/>
      <c r="HMD1152" s="13"/>
      <c r="HME1152" s="13"/>
      <c r="HMF1152" s="13"/>
      <c r="HMG1152" s="13"/>
      <c r="HMH1152" s="13"/>
      <c r="HMI1152" s="13"/>
      <c r="HMJ1152" s="13"/>
      <c r="HMK1152" s="13"/>
      <c r="HML1152" s="13"/>
      <c r="HMM1152" s="13"/>
      <c r="HMN1152" s="13"/>
      <c r="HMO1152" s="13"/>
      <c r="HMP1152" s="13"/>
      <c r="HMQ1152" s="13"/>
      <c r="HMR1152" s="13"/>
      <c r="HMS1152" s="13"/>
      <c r="HMT1152" s="13"/>
      <c r="HMU1152" s="13"/>
      <c r="HMV1152" s="13"/>
      <c r="HMW1152" s="13"/>
      <c r="HMX1152" s="13"/>
      <c r="HMY1152" s="13"/>
      <c r="HMZ1152" s="13"/>
      <c r="HNA1152" s="13"/>
      <c r="HNB1152" s="13"/>
      <c r="HNC1152" s="13"/>
      <c r="HND1152" s="13"/>
      <c r="HNE1152" s="13"/>
      <c r="HNF1152" s="13"/>
      <c r="HNG1152" s="13"/>
      <c r="HNH1152" s="13"/>
      <c r="HNI1152" s="13"/>
      <c r="HNJ1152" s="13"/>
      <c r="HNK1152" s="13"/>
      <c r="HNL1152" s="13"/>
      <c r="HNM1152" s="13"/>
      <c r="HNN1152" s="13"/>
      <c r="HNO1152" s="13"/>
      <c r="HNP1152" s="13"/>
      <c r="HNQ1152" s="13"/>
      <c r="HNR1152" s="13"/>
      <c r="HNS1152" s="13"/>
      <c r="HNT1152" s="13"/>
      <c r="HNU1152" s="13"/>
      <c r="HNV1152" s="13"/>
      <c r="HNW1152" s="13"/>
      <c r="HNX1152" s="13"/>
      <c r="HNY1152" s="13"/>
      <c r="HNZ1152" s="13"/>
      <c r="HOA1152" s="13"/>
      <c r="HOB1152" s="13"/>
      <c r="HOC1152" s="13"/>
      <c r="HOD1152" s="13"/>
      <c r="HOE1152" s="13"/>
      <c r="HOF1152" s="13"/>
      <c r="HOG1152" s="13"/>
      <c r="HOH1152" s="13"/>
      <c r="HOI1152" s="13"/>
      <c r="HOJ1152" s="13"/>
      <c r="HOK1152" s="13"/>
      <c r="HOL1152" s="13"/>
      <c r="HOM1152" s="13"/>
      <c r="HON1152" s="13"/>
      <c r="HOO1152" s="13"/>
      <c r="HOP1152" s="13"/>
      <c r="HOQ1152" s="13"/>
      <c r="HOR1152" s="13"/>
      <c r="HOS1152" s="13"/>
      <c r="HOT1152" s="13"/>
      <c r="HOU1152" s="13"/>
      <c r="HOV1152" s="13"/>
      <c r="HOW1152" s="13"/>
      <c r="HOX1152" s="13"/>
      <c r="HOY1152" s="13"/>
      <c r="HOZ1152" s="13"/>
      <c r="HPA1152" s="13"/>
      <c r="HPB1152" s="13"/>
      <c r="HPC1152" s="13"/>
      <c r="HPD1152" s="13"/>
      <c r="HPE1152" s="13"/>
      <c r="HPF1152" s="13"/>
      <c r="HPG1152" s="13"/>
      <c r="HPH1152" s="13"/>
      <c r="HPI1152" s="13"/>
      <c r="HPJ1152" s="13"/>
      <c r="HPK1152" s="13"/>
      <c r="HPL1152" s="13"/>
      <c r="HPM1152" s="13"/>
      <c r="HPN1152" s="13"/>
      <c r="HPO1152" s="13"/>
      <c r="HPP1152" s="13"/>
      <c r="HPQ1152" s="13"/>
      <c r="HPR1152" s="13"/>
      <c r="HPS1152" s="13"/>
      <c r="HPT1152" s="13"/>
      <c r="HPU1152" s="13"/>
      <c r="HPV1152" s="13"/>
      <c r="HPW1152" s="13"/>
      <c r="HPX1152" s="13"/>
      <c r="HPY1152" s="13"/>
      <c r="HPZ1152" s="13"/>
      <c r="HQA1152" s="13"/>
      <c r="HQB1152" s="13"/>
      <c r="HQC1152" s="13"/>
      <c r="HQD1152" s="13"/>
      <c r="HQE1152" s="13"/>
      <c r="HQF1152" s="13"/>
      <c r="HQG1152" s="13"/>
      <c r="HQH1152" s="13"/>
      <c r="HQI1152" s="13"/>
      <c r="HQJ1152" s="13"/>
      <c r="HQK1152" s="13"/>
      <c r="HQL1152" s="13"/>
      <c r="HQM1152" s="13"/>
      <c r="HQN1152" s="13"/>
      <c r="HQO1152" s="13"/>
      <c r="HQP1152" s="13"/>
      <c r="HQQ1152" s="13"/>
      <c r="HQR1152" s="13"/>
      <c r="HQS1152" s="13"/>
      <c r="HQT1152" s="13"/>
      <c r="HQU1152" s="13"/>
      <c r="HQV1152" s="13"/>
      <c r="HQW1152" s="13"/>
      <c r="HQX1152" s="13"/>
      <c r="HQY1152" s="13"/>
      <c r="HQZ1152" s="13"/>
      <c r="HRA1152" s="13"/>
      <c r="HRB1152" s="13"/>
      <c r="HRC1152" s="13"/>
      <c r="HRD1152" s="13"/>
      <c r="HRE1152" s="13"/>
      <c r="HRF1152" s="13"/>
      <c r="HRG1152" s="13"/>
      <c r="HRH1152" s="13"/>
      <c r="HRI1152" s="13"/>
      <c r="HRJ1152" s="13"/>
      <c r="HRK1152" s="13"/>
      <c r="HRL1152" s="13"/>
      <c r="HRM1152" s="13"/>
      <c r="HRN1152" s="13"/>
      <c r="HRO1152" s="13"/>
      <c r="HRP1152" s="13"/>
      <c r="HRQ1152" s="13"/>
      <c r="HRR1152" s="13"/>
      <c r="HRS1152" s="13"/>
      <c r="HRT1152" s="13"/>
      <c r="HRU1152" s="13"/>
      <c r="HRV1152" s="13"/>
      <c r="HRW1152" s="13"/>
      <c r="HRX1152" s="13"/>
      <c r="HRY1152" s="13"/>
      <c r="HRZ1152" s="13"/>
      <c r="HSA1152" s="13"/>
      <c r="HSB1152" s="13"/>
      <c r="HSC1152" s="13"/>
      <c r="HSD1152" s="13"/>
      <c r="HSE1152" s="13"/>
      <c r="HSF1152" s="13"/>
      <c r="HSG1152" s="13"/>
      <c r="HSH1152" s="13"/>
      <c r="HSI1152" s="13"/>
      <c r="HSJ1152" s="13"/>
      <c r="HSK1152" s="13"/>
      <c r="HSL1152" s="13"/>
      <c r="HSM1152" s="13"/>
      <c r="HSN1152" s="13"/>
      <c r="HSO1152" s="13"/>
      <c r="HSP1152" s="13"/>
      <c r="HSQ1152" s="13"/>
      <c r="HSR1152" s="13"/>
      <c r="HSS1152" s="13"/>
      <c r="HST1152" s="13"/>
      <c r="HSU1152" s="13"/>
      <c r="HSV1152" s="13"/>
      <c r="HSW1152" s="13"/>
      <c r="HSX1152" s="13"/>
      <c r="HSY1152" s="13"/>
      <c r="HSZ1152" s="13"/>
      <c r="HTA1152" s="13"/>
      <c r="HTB1152" s="13"/>
      <c r="HTC1152" s="13"/>
      <c r="HTD1152" s="13"/>
      <c r="HTE1152" s="13"/>
      <c r="HTF1152" s="13"/>
      <c r="HTG1152" s="13"/>
      <c r="HTH1152" s="13"/>
      <c r="HTI1152" s="13"/>
      <c r="HTJ1152" s="13"/>
      <c r="HTK1152" s="13"/>
      <c r="HTL1152" s="13"/>
      <c r="HTM1152" s="13"/>
      <c r="HTN1152" s="13"/>
      <c r="HTO1152" s="13"/>
      <c r="HTP1152" s="13"/>
      <c r="HTQ1152" s="13"/>
      <c r="HTR1152" s="13"/>
      <c r="HTS1152" s="13"/>
      <c r="HTT1152" s="13"/>
      <c r="HTU1152" s="13"/>
      <c r="HTV1152" s="13"/>
      <c r="HTW1152" s="13"/>
      <c r="HTX1152" s="13"/>
      <c r="HTY1152" s="13"/>
      <c r="HTZ1152" s="13"/>
      <c r="HUA1152" s="13"/>
      <c r="HUB1152" s="13"/>
      <c r="HUC1152" s="13"/>
      <c r="HUD1152" s="13"/>
      <c r="HUE1152" s="13"/>
      <c r="HUF1152" s="13"/>
      <c r="HUG1152" s="13"/>
      <c r="HUH1152" s="13"/>
      <c r="HUI1152" s="13"/>
      <c r="HUJ1152" s="13"/>
      <c r="HUK1152" s="13"/>
      <c r="HUL1152" s="13"/>
      <c r="HUM1152" s="13"/>
      <c r="HUN1152" s="13"/>
      <c r="HUO1152" s="13"/>
      <c r="HUP1152" s="13"/>
      <c r="HUQ1152" s="13"/>
      <c r="HUR1152" s="13"/>
      <c r="HUS1152" s="13"/>
      <c r="HUT1152" s="13"/>
      <c r="HUU1152" s="13"/>
      <c r="HUV1152" s="13"/>
      <c r="HUW1152" s="13"/>
      <c r="HUX1152" s="13"/>
      <c r="HUY1152" s="13"/>
      <c r="HUZ1152" s="13"/>
      <c r="HVA1152" s="13"/>
      <c r="HVB1152" s="13"/>
      <c r="HVC1152" s="13"/>
      <c r="HVD1152" s="13"/>
      <c r="HVE1152" s="13"/>
      <c r="HVF1152" s="13"/>
      <c r="HVG1152" s="13"/>
      <c r="HVH1152" s="13"/>
      <c r="HVI1152" s="13"/>
      <c r="HVJ1152" s="13"/>
      <c r="HVK1152" s="13"/>
      <c r="HVL1152" s="13"/>
      <c r="HVM1152" s="13"/>
      <c r="HVN1152" s="13"/>
      <c r="HVO1152" s="13"/>
      <c r="HVP1152" s="13"/>
      <c r="HVQ1152" s="13"/>
      <c r="HVR1152" s="13"/>
      <c r="HVS1152" s="13"/>
      <c r="HVT1152" s="13"/>
      <c r="HVU1152" s="13"/>
      <c r="HVV1152" s="13"/>
      <c r="HVW1152" s="13"/>
      <c r="HVX1152" s="13"/>
      <c r="HVY1152" s="13"/>
      <c r="HVZ1152" s="13"/>
      <c r="HWA1152" s="13"/>
      <c r="HWB1152" s="13"/>
      <c r="HWC1152" s="13"/>
      <c r="HWD1152" s="13"/>
      <c r="HWE1152" s="13"/>
      <c r="HWF1152" s="13"/>
      <c r="HWG1152" s="13"/>
      <c r="HWH1152" s="13"/>
      <c r="HWI1152" s="13"/>
      <c r="HWJ1152" s="13"/>
      <c r="HWK1152" s="13"/>
      <c r="HWL1152" s="13"/>
      <c r="HWM1152" s="13"/>
      <c r="HWN1152" s="13"/>
      <c r="HWO1152" s="13"/>
      <c r="HWP1152" s="13"/>
      <c r="HWQ1152" s="13"/>
      <c r="HWR1152" s="13"/>
      <c r="HWS1152" s="13"/>
      <c r="HWT1152" s="13"/>
      <c r="HWU1152" s="13"/>
      <c r="HWV1152" s="13"/>
      <c r="HWW1152" s="13"/>
      <c r="HWX1152" s="13"/>
      <c r="HWY1152" s="13"/>
      <c r="HWZ1152" s="13"/>
      <c r="HXA1152" s="13"/>
      <c r="HXB1152" s="13"/>
      <c r="HXC1152" s="13"/>
      <c r="HXD1152" s="13"/>
      <c r="HXE1152" s="13"/>
      <c r="HXF1152" s="13"/>
      <c r="HXG1152" s="13"/>
      <c r="HXH1152" s="13"/>
      <c r="HXI1152" s="13"/>
      <c r="HXJ1152" s="13"/>
      <c r="HXK1152" s="13"/>
      <c r="HXL1152" s="13"/>
      <c r="HXM1152" s="13"/>
      <c r="HXN1152" s="13"/>
      <c r="HXO1152" s="13"/>
      <c r="HXP1152" s="13"/>
      <c r="HXQ1152" s="13"/>
      <c r="HXR1152" s="13"/>
      <c r="HXS1152" s="13"/>
      <c r="HXT1152" s="13"/>
      <c r="HXU1152" s="13"/>
      <c r="HXV1152" s="13"/>
      <c r="HXW1152" s="13"/>
      <c r="HXX1152" s="13"/>
      <c r="HXY1152" s="13"/>
      <c r="HXZ1152" s="13"/>
      <c r="HYA1152" s="13"/>
      <c r="HYB1152" s="13"/>
      <c r="HYC1152" s="13"/>
      <c r="HYD1152" s="13"/>
      <c r="HYE1152" s="13"/>
      <c r="HYF1152" s="13"/>
      <c r="HYG1152" s="13"/>
      <c r="HYH1152" s="13"/>
      <c r="HYI1152" s="13"/>
      <c r="HYJ1152" s="13"/>
      <c r="HYK1152" s="13"/>
      <c r="HYL1152" s="13"/>
      <c r="HYM1152" s="13"/>
      <c r="HYN1152" s="13"/>
      <c r="HYO1152" s="13"/>
      <c r="HYP1152" s="13"/>
      <c r="HYQ1152" s="13"/>
      <c r="HYR1152" s="13"/>
      <c r="HYS1152" s="13"/>
      <c r="HYT1152" s="13"/>
      <c r="HYU1152" s="13"/>
      <c r="HYV1152" s="13"/>
      <c r="HYW1152" s="13"/>
      <c r="HYX1152" s="13"/>
      <c r="HYY1152" s="13"/>
      <c r="HYZ1152" s="13"/>
      <c r="HZA1152" s="13"/>
      <c r="HZB1152" s="13"/>
      <c r="HZC1152" s="13"/>
      <c r="HZD1152" s="13"/>
      <c r="HZE1152" s="13"/>
      <c r="HZF1152" s="13"/>
      <c r="HZG1152" s="13"/>
      <c r="HZH1152" s="13"/>
      <c r="HZI1152" s="13"/>
      <c r="HZJ1152" s="13"/>
      <c r="HZK1152" s="13"/>
      <c r="HZL1152" s="13"/>
      <c r="HZM1152" s="13"/>
      <c r="HZN1152" s="13"/>
      <c r="HZO1152" s="13"/>
      <c r="HZP1152" s="13"/>
      <c r="HZQ1152" s="13"/>
      <c r="HZR1152" s="13"/>
      <c r="HZS1152" s="13"/>
      <c r="HZT1152" s="13"/>
      <c r="HZU1152" s="13"/>
      <c r="HZV1152" s="13"/>
      <c r="HZW1152" s="13"/>
      <c r="HZX1152" s="13"/>
      <c r="HZY1152" s="13"/>
      <c r="HZZ1152" s="13"/>
      <c r="IAA1152" s="13"/>
      <c r="IAB1152" s="13"/>
      <c r="IAC1152" s="13"/>
      <c r="IAD1152" s="13"/>
      <c r="IAE1152" s="13"/>
      <c r="IAF1152" s="13"/>
      <c r="IAG1152" s="13"/>
      <c r="IAH1152" s="13"/>
      <c r="IAI1152" s="13"/>
      <c r="IAJ1152" s="13"/>
      <c r="IAK1152" s="13"/>
      <c r="IAL1152" s="13"/>
      <c r="IAM1152" s="13"/>
      <c r="IAN1152" s="13"/>
      <c r="IAO1152" s="13"/>
      <c r="IAP1152" s="13"/>
      <c r="IAQ1152" s="13"/>
      <c r="IAR1152" s="13"/>
      <c r="IAS1152" s="13"/>
      <c r="IAT1152" s="13"/>
      <c r="IAU1152" s="13"/>
      <c r="IAV1152" s="13"/>
      <c r="IAW1152" s="13"/>
      <c r="IAX1152" s="13"/>
      <c r="IAY1152" s="13"/>
      <c r="IAZ1152" s="13"/>
      <c r="IBA1152" s="13"/>
      <c r="IBB1152" s="13"/>
      <c r="IBC1152" s="13"/>
      <c r="IBD1152" s="13"/>
      <c r="IBE1152" s="13"/>
      <c r="IBF1152" s="13"/>
      <c r="IBG1152" s="13"/>
      <c r="IBH1152" s="13"/>
      <c r="IBI1152" s="13"/>
      <c r="IBJ1152" s="13"/>
      <c r="IBK1152" s="13"/>
      <c r="IBL1152" s="13"/>
      <c r="IBM1152" s="13"/>
      <c r="IBN1152" s="13"/>
      <c r="IBO1152" s="13"/>
      <c r="IBP1152" s="13"/>
      <c r="IBQ1152" s="13"/>
      <c r="IBR1152" s="13"/>
      <c r="IBS1152" s="13"/>
      <c r="IBT1152" s="13"/>
      <c r="IBU1152" s="13"/>
      <c r="IBV1152" s="13"/>
      <c r="IBW1152" s="13"/>
      <c r="IBX1152" s="13"/>
      <c r="IBY1152" s="13"/>
      <c r="IBZ1152" s="13"/>
      <c r="ICA1152" s="13"/>
      <c r="ICB1152" s="13"/>
      <c r="ICC1152" s="13"/>
      <c r="ICD1152" s="13"/>
      <c r="ICE1152" s="13"/>
      <c r="ICF1152" s="13"/>
      <c r="ICG1152" s="13"/>
      <c r="ICH1152" s="13"/>
      <c r="ICI1152" s="13"/>
      <c r="ICJ1152" s="13"/>
      <c r="ICK1152" s="13"/>
      <c r="ICL1152" s="13"/>
      <c r="ICM1152" s="13"/>
      <c r="ICN1152" s="13"/>
      <c r="ICO1152" s="13"/>
      <c r="ICP1152" s="13"/>
      <c r="ICQ1152" s="13"/>
      <c r="ICR1152" s="13"/>
      <c r="ICS1152" s="13"/>
      <c r="ICT1152" s="13"/>
      <c r="ICU1152" s="13"/>
      <c r="ICV1152" s="13"/>
      <c r="ICW1152" s="13"/>
      <c r="ICX1152" s="13"/>
      <c r="ICY1152" s="13"/>
      <c r="ICZ1152" s="13"/>
      <c r="IDA1152" s="13"/>
      <c r="IDB1152" s="13"/>
      <c r="IDC1152" s="13"/>
      <c r="IDD1152" s="13"/>
      <c r="IDE1152" s="13"/>
      <c r="IDF1152" s="13"/>
      <c r="IDG1152" s="13"/>
      <c r="IDH1152" s="13"/>
      <c r="IDI1152" s="13"/>
      <c r="IDJ1152" s="13"/>
      <c r="IDK1152" s="13"/>
      <c r="IDL1152" s="13"/>
      <c r="IDM1152" s="13"/>
      <c r="IDN1152" s="13"/>
      <c r="IDO1152" s="13"/>
      <c r="IDP1152" s="13"/>
      <c r="IDQ1152" s="13"/>
      <c r="IDR1152" s="13"/>
      <c r="IDS1152" s="13"/>
      <c r="IDT1152" s="13"/>
      <c r="IDU1152" s="13"/>
      <c r="IDV1152" s="13"/>
      <c r="IDW1152" s="13"/>
      <c r="IDX1152" s="13"/>
      <c r="IDY1152" s="13"/>
      <c r="IDZ1152" s="13"/>
      <c r="IEA1152" s="13"/>
      <c r="IEB1152" s="13"/>
      <c r="IEC1152" s="13"/>
      <c r="IED1152" s="13"/>
      <c r="IEE1152" s="13"/>
      <c r="IEF1152" s="13"/>
      <c r="IEG1152" s="13"/>
      <c r="IEH1152" s="13"/>
      <c r="IEI1152" s="13"/>
      <c r="IEJ1152" s="13"/>
      <c r="IEK1152" s="13"/>
      <c r="IEL1152" s="13"/>
      <c r="IEM1152" s="13"/>
      <c r="IEN1152" s="13"/>
      <c r="IEO1152" s="13"/>
      <c r="IEP1152" s="13"/>
      <c r="IEQ1152" s="13"/>
      <c r="IER1152" s="13"/>
      <c r="IES1152" s="13"/>
      <c r="IET1152" s="13"/>
      <c r="IEU1152" s="13"/>
      <c r="IEV1152" s="13"/>
      <c r="IEW1152" s="13"/>
      <c r="IEX1152" s="13"/>
      <c r="IEY1152" s="13"/>
      <c r="IEZ1152" s="13"/>
      <c r="IFA1152" s="13"/>
      <c r="IFB1152" s="13"/>
      <c r="IFC1152" s="13"/>
      <c r="IFD1152" s="13"/>
      <c r="IFE1152" s="13"/>
      <c r="IFF1152" s="13"/>
      <c r="IFG1152" s="13"/>
      <c r="IFH1152" s="13"/>
      <c r="IFI1152" s="13"/>
      <c r="IFJ1152" s="13"/>
      <c r="IFK1152" s="13"/>
      <c r="IFL1152" s="13"/>
      <c r="IFM1152" s="13"/>
      <c r="IFN1152" s="13"/>
      <c r="IFO1152" s="13"/>
      <c r="IFP1152" s="13"/>
      <c r="IFQ1152" s="13"/>
      <c r="IFR1152" s="13"/>
      <c r="IFS1152" s="13"/>
      <c r="IFT1152" s="13"/>
      <c r="IFU1152" s="13"/>
      <c r="IFV1152" s="13"/>
      <c r="IFW1152" s="13"/>
      <c r="IFX1152" s="13"/>
      <c r="IFY1152" s="13"/>
      <c r="IFZ1152" s="13"/>
      <c r="IGA1152" s="13"/>
      <c r="IGB1152" s="13"/>
      <c r="IGC1152" s="13"/>
      <c r="IGD1152" s="13"/>
      <c r="IGE1152" s="13"/>
      <c r="IGF1152" s="13"/>
      <c r="IGG1152" s="13"/>
      <c r="IGH1152" s="13"/>
      <c r="IGI1152" s="13"/>
      <c r="IGJ1152" s="13"/>
      <c r="IGK1152" s="13"/>
      <c r="IGL1152" s="13"/>
      <c r="IGM1152" s="13"/>
      <c r="IGN1152" s="13"/>
      <c r="IGO1152" s="13"/>
      <c r="IGP1152" s="13"/>
      <c r="IGQ1152" s="13"/>
      <c r="IGR1152" s="13"/>
      <c r="IGS1152" s="13"/>
      <c r="IGT1152" s="13"/>
      <c r="IGU1152" s="13"/>
      <c r="IGV1152" s="13"/>
      <c r="IGW1152" s="13"/>
      <c r="IGX1152" s="13"/>
      <c r="IGY1152" s="13"/>
      <c r="IGZ1152" s="13"/>
      <c r="IHA1152" s="13"/>
      <c r="IHB1152" s="13"/>
      <c r="IHC1152" s="13"/>
      <c r="IHD1152" s="13"/>
      <c r="IHE1152" s="13"/>
      <c r="IHF1152" s="13"/>
      <c r="IHG1152" s="13"/>
      <c r="IHH1152" s="13"/>
      <c r="IHI1152" s="13"/>
      <c r="IHJ1152" s="13"/>
      <c r="IHK1152" s="13"/>
      <c r="IHL1152" s="13"/>
      <c r="IHM1152" s="13"/>
      <c r="IHN1152" s="13"/>
      <c r="IHO1152" s="13"/>
      <c r="IHP1152" s="13"/>
      <c r="IHQ1152" s="13"/>
      <c r="IHR1152" s="13"/>
      <c r="IHS1152" s="13"/>
      <c r="IHT1152" s="13"/>
      <c r="IHU1152" s="13"/>
      <c r="IHV1152" s="13"/>
      <c r="IHW1152" s="13"/>
      <c r="IHX1152" s="13"/>
      <c r="IHY1152" s="13"/>
      <c r="IHZ1152" s="13"/>
      <c r="IIA1152" s="13"/>
      <c r="IIB1152" s="13"/>
      <c r="IIC1152" s="13"/>
      <c r="IID1152" s="13"/>
      <c r="IIE1152" s="13"/>
      <c r="IIF1152" s="13"/>
      <c r="IIG1152" s="13"/>
      <c r="IIH1152" s="13"/>
      <c r="III1152" s="13"/>
      <c r="IIJ1152" s="13"/>
      <c r="IIK1152" s="13"/>
      <c r="IIL1152" s="13"/>
      <c r="IIM1152" s="13"/>
      <c r="IIN1152" s="13"/>
      <c r="IIO1152" s="13"/>
      <c r="IIP1152" s="13"/>
      <c r="IIQ1152" s="13"/>
      <c r="IIR1152" s="13"/>
      <c r="IIS1152" s="13"/>
      <c r="IIT1152" s="13"/>
      <c r="IIU1152" s="13"/>
      <c r="IIV1152" s="13"/>
      <c r="IIW1152" s="13"/>
      <c r="IIX1152" s="13"/>
      <c r="IIY1152" s="13"/>
      <c r="IIZ1152" s="13"/>
      <c r="IJA1152" s="13"/>
      <c r="IJB1152" s="13"/>
      <c r="IJC1152" s="13"/>
      <c r="IJD1152" s="13"/>
      <c r="IJE1152" s="13"/>
      <c r="IJF1152" s="13"/>
      <c r="IJG1152" s="13"/>
      <c r="IJH1152" s="13"/>
      <c r="IJI1152" s="13"/>
      <c r="IJJ1152" s="13"/>
      <c r="IJK1152" s="13"/>
      <c r="IJL1152" s="13"/>
      <c r="IJM1152" s="13"/>
      <c r="IJN1152" s="13"/>
      <c r="IJO1152" s="13"/>
      <c r="IJP1152" s="13"/>
      <c r="IJQ1152" s="13"/>
      <c r="IJR1152" s="13"/>
      <c r="IJS1152" s="13"/>
      <c r="IJT1152" s="13"/>
      <c r="IJU1152" s="13"/>
      <c r="IJV1152" s="13"/>
      <c r="IJW1152" s="13"/>
      <c r="IJX1152" s="13"/>
      <c r="IJY1152" s="13"/>
      <c r="IJZ1152" s="13"/>
      <c r="IKA1152" s="13"/>
      <c r="IKB1152" s="13"/>
      <c r="IKC1152" s="13"/>
      <c r="IKD1152" s="13"/>
      <c r="IKE1152" s="13"/>
      <c r="IKF1152" s="13"/>
      <c r="IKG1152" s="13"/>
      <c r="IKH1152" s="13"/>
      <c r="IKI1152" s="13"/>
      <c r="IKJ1152" s="13"/>
      <c r="IKK1152" s="13"/>
      <c r="IKL1152" s="13"/>
      <c r="IKM1152" s="13"/>
      <c r="IKN1152" s="13"/>
      <c r="IKO1152" s="13"/>
      <c r="IKP1152" s="13"/>
      <c r="IKQ1152" s="13"/>
      <c r="IKR1152" s="13"/>
      <c r="IKS1152" s="13"/>
      <c r="IKT1152" s="13"/>
      <c r="IKU1152" s="13"/>
      <c r="IKV1152" s="13"/>
      <c r="IKW1152" s="13"/>
      <c r="IKX1152" s="13"/>
      <c r="IKY1152" s="13"/>
      <c r="IKZ1152" s="13"/>
      <c r="ILA1152" s="13"/>
      <c r="ILB1152" s="13"/>
      <c r="ILC1152" s="13"/>
      <c r="ILD1152" s="13"/>
      <c r="ILE1152" s="13"/>
      <c r="ILF1152" s="13"/>
      <c r="ILG1152" s="13"/>
      <c r="ILH1152" s="13"/>
      <c r="ILI1152" s="13"/>
      <c r="ILJ1152" s="13"/>
      <c r="ILK1152" s="13"/>
      <c r="ILL1152" s="13"/>
      <c r="ILM1152" s="13"/>
      <c r="ILN1152" s="13"/>
      <c r="ILO1152" s="13"/>
      <c r="ILP1152" s="13"/>
      <c r="ILQ1152" s="13"/>
      <c r="ILR1152" s="13"/>
      <c r="ILS1152" s="13"/>
      <c r="ILT1152" s="13"/>
      <c r="ILU1152" s="13"/>
      <c r="ILV1152" s="13"/>
      <c r="ILW1152" s="13"/>
      <c r="ILX1152" s="13"/>
      <c r="ILY1152" s="13"/>
      <c r="ILZ1152" s="13"/>
      <c r="IMA1152" s="13"/>
      <c r="IMB1152" s="13"/>
      <c r="IMC1152" s="13"/>
      <c r="IMD1152" s="13"/>
      <c r="IME1152" s="13"/>
      <c r="IMF1152" s="13"/>
      <c r="IMG1152" s="13"/>
      <c r="IMH1152" s="13"/>
      <c r="IMI1152" s="13"/>
      <c r="IMJ1152" s="13"/>
      <c r="IMK1152" s="13"/>
      <c r="IML1152" s="13"/>
      <c r="IMM1152" s="13"/>
      <c r="IMN1152" s="13"/>
      <c r="IMO1152" s="13"/>
      <c r="IMP1152" s="13"/>
      <c r="IMQ1152" s="13"/>
      <c r="IMR1152" s="13"/>
      <c r="IMS1152" s="13"/>
      <c r="IMT1152" s="13"/>
      <c r="IMU1152" s="13"/>
      <c r="IMV1152" s="13"/>
      <c r="IMW1152" s="13"/>
      <c r="IMX1152" s="13"/>
      <c r="IMY1152" s="13"/>
      <c r="IMZ1152" s="13"/>
      <c r="INA1152" s="13"/>
      <c r="INB1152" s="13"/>
      <c r="INC1152" s="13"/>
      <c r="IND1152" s="13"/>
      <c r="INE1152" s="13"/>
      <c r="INF1152" s="13"/>
      <c r="ING1152" s="13"/>
      <c r="INH1152" s="13"/>
      <c r="INI1152" s="13"/>
      <c r="INJ1152" s="13"/>
      <c r="INK1152" s="13"/>
      <c r="INL1152" s="13"/>
      <c r="INM1152" s="13"/>
      <c r="INN1152" s="13"/>
      <c r="INO1152" s="13"/>
      <c r="INP1152" s="13"/>
      <c r="INQ1152" s="13"/>
      <c r="INR1152" s="13"/>
      <c r="INS1152" s="13"/>
      <c r="INT1152" s="13"/>
      <c r="INU1152" s="13"/>
      <c r="INV1152" s="13"/>
      <c r="INW1152" s="13"/>
      <c r="INX1152" s="13"/>
      <c r="INY1152" s="13"/>
      <c r="INZ1152" s="13"/>
      <c r="IOA1152" s="13"/>
      <c r="IOB1152" s="13"/>
      <c r="IOC1152" s="13"/>
      <c r="IOD1152" s="13"/>
      <c r="IOE1152" s="13"/>
      <c r="IOF1152" s="13"/>
      <c r="IOG1152" s="13"/>
      <c r="IOH1152" s="13"/>
      <c r="IOI1152" s="13"/>
      <c r="IOJ1152" s="13"/>
      <c r="IOK1152" s="13"/>
      <c r="IOL1152" s="13"/>
      <c r="IOM1152" s="13"/>
      <c r="ION1152" s="13"/>
      <c r="IOO1152" s="13"/>
      <c r="IOP1152" s="13"/>
      <c r="IOQ1152" s="13"/>
      <c r="IOR1152" s="13"/>
      <c r="IOS1152" s="13"/>
      <c r="IOT1152" s="13"/>
      <c r="IOU1152" s="13"/>
      <c r="IOV1152" s="13"/>
      <c r="IOW1152" s="13"/>
      <c r="IOX1152" s="13"/>
      <c r="IOY1152" s="13"/>
      <c r="IOZ1152" s="13"/>
      <c r="IPA1152" s="13"/>
      <c r="IPB1152" s="13"/>
      <c r="IPC1152" s="13"/>
      <c r="IPD1152" s="13"/>
      <c r="IPE1152" s="13"/>
      <c r="IPF1152" s="13"/>
      <c r="IPG1152" s="13"/>
      <c r="IPH1152" s="13"/>
      <c r="IPI1152" s="13"/>
      <c r="IPJ1152" s="13"/>
      <c r="IPK1152" s="13"/>
      <c r="IPL1152" s="13"/>
      <c r="IPM1152" s="13"/>
      <c r="IPN1152" s="13"/>
      <c r="IPO1152" s="13"/>
      <c r="IPP1152" s="13"/>
      <c r="IPQ1152" s="13"/>
      <c r="IPR1152" s="13"/>
      <c r="IPS1152" s="13"/>
      <c r="IPT1152" s="13"/>
      <c r="IPU1152" s="13"/>
      <c r="IPV1152" s="13"/>
      <c r="IPW1152" s="13"/>
      <c r="IPX1152" s="13"/>
      <c r="IPY1152" s="13"/>
      <c r="IPZ1152" s="13"/>
      <c r="IQA1152" s="13"/>
      <c r="IQB1152" s="13"/>
      <c r="IQC1152" s="13"/>
      <c r="IQD1152" s="13"/>
      <c r="IQE1152" s="13"/>
      <c r="IQF1152" s="13"/>
      <c r="IQG1152" s="13"/>
      <c r="IQH1152" s="13"/>
      <c r="IQI1152" s="13"/>
      <c r="IQJ1152" s="13"/>
      <c r="IQK1152" s="13"/>
      <c r="IQL1152" s="13"/>
      <c r="IQM1152" s="13"/>
      <c r="IQN1152" s="13"/>
      <c r="IQO1152" s="13"/>
      <c r="IQP1152" s="13"/>
      <c r="IQQ1152" s="13"/>
      <c r="IQR1152" s="13"/>
      <c r="IQS1152" s="13"/>
      <c r="IQT1152" s="13"/>
      <c r="IQU1152" s="13"/>
      <c r="IQV1152" s="13"/>
      <c r="IQW1152" s="13"/>
      <c r="IQX1152" s="13"/>
      <c r="IQY1152" s="13"/>
      <c r="IQZ1152" s="13"/>
      <c r="IRA1152" s="13"/>
      <c r="IRB1152" s="13"/>
      <c r="IRC1152" s="13"/>
      <c r="IRD1152" s="13"/>
      <c r="IRE1152" s="13"/>
      <c r="IRF1152" s="13"/>
      <c r="IRG1152" s="13"/>
      <c r="IRH1152" s="13"/>
      <c r="IRI1152" s="13"/>
      <c r="IRJ1152" s="13"/>
      <c r="IRK1152" s="13"/>
      <c r="IRL1152" s="13"/>
      <c r="IRM1152" s="13"/>
      <c r="IRN1152" s="13"/>
      <c r="IRO1152" s="13"/>
      <c r="IRP1152" s="13"/>
      <c r="IRQ1152" s="13"/>
      <c r="IRR1152" s="13"/>
      <c r="IRS1152" s="13"/>
      <c r="IRT1152" s="13"/>
      <c r="IRU1152" s="13"/>
      <c r="IRV1152" s="13"/>
      <c r="IRW1152" s="13"/>
      <c r="IRX1152" s="13"/>
      <c r="IRY1152" s="13"/>
      <c r="IRZ1152" s="13"/>
      <c r="ISA1152" s="13"/>
      <c r="ISB1152" s="13"/>
      <c r="ISC1152" s="13"/>
      <c r="ISD1152" s="13"/>
      <c r="ISE1152" s="13"/>
      <c r="ISF1152" s="13"/>
      <c r="ISG1152" s="13"/>
      <c r="ISH1152" s="13"/>
      <c r="ISI1152" s="13"/>
      <c r="ISJ1152" s="13"/>
      <c r="ISK1152" s="13"/>
      <c r="ISL1152" s="13"/>
      <c r="ISM1152" s="13"/>
      <c r="ISN1152" s="13"/>
      <c r="ISO1152" s="13"/>
      <c r="ISP1152" s="13"/>
      <c r="ISQ1152" s="13"/>
      <c r="ISR1152" s="13"/>
      <c r="ISS1152" s="13"/>
      <c r="IST1152" s="13"/>
      <c r="ISU1152" s="13"/>
      <c r="ISV1152" s="13"/>
      <c r="ISW1152" s="13"/>
      <c r="ISX1152" s="13"/>
      <c r="ISY1152" s="13"/>
      <c r="ISZ1152" s="13"/>
      <c r="ITA1152" s="13"/>
      <c r="ITB1152" s="13"/>
      <c r="ITC1152" s="13"/>
      <c r="ITD1152" s="13"/>
      <c r="ITE1152" s="13"/>
      <c r="ITF1152" s="13"/>
      <c r="ITG1152" s="13"/>
      <c r="ITH1152" s="13"/>
      <c r="ITI1152" s="13"/>
      <c r="ITJ1152" s="13"/>
      <c r="ITK1152" s="13"/>
      <c r="ITL1152" s="13"/>
      <c r="ITM1152" s="13"/>
      <c r="ITN1152" s="13"/>
      <c r="ITO1152" s="13"/>
      <c r="ITP1152" s="13"/>
      <c r="ITQ1152" s="13"/>
      <c r="ITR1152" s="13"/>
      <c r="ITS1152" s="13"/>
      <c r="ITT1152" s="13"/>
      <c r="ITU1152" s="13"/>
      <c r="ITV1152" s="13"/>
      <c r="ITW1152" s="13"/>
      <c r="ITX1152" s="13"/>
      <c r="ITY1152" s="13"/>
      <c r="ITZ1152" s="13"/>
      <c r="IUA1152" s="13"/>
      <c r="IUB1152" s="13"/>
      <c r="IUC1152" s="13"/>
      <c r="IUD1152" s="13"/>
      <c r="IUE1152" s="13"/>
      <c r="IUF1152" s="13"/>
      <c r="IUG1152" s="13"/>
      <c r="IUH1152" s="13"/>
      <c r="IUI1152" s="13"/>
      <c r="IUJ1152" s="13"/>
      <c r="IUK1152" s="13"/>
      <c r="IUL1152" s="13"/>
      <c r="IUM1152" s="13"/>
      <c r="IUN1152" s="13"/>
      <c r="IUO1152" s="13"/>
      <c r="IUP1152" s="13"/>
      <c r="IUQ1152" s="13"/>
      <c r="IUR1152" s="13"/>
      <c r="IUS1152" s="13"/>
      <c r="IUT1152" s="13"/>
      <c r="IUU1152" s="13"/>
      <c r="IUV1152" s="13"/>
      <c r="IUW1152" s="13"/>
      <c r="IUX1152" s="13"/>
      <c r="IUY1152" s="13"/>
      <c r="IUZ1152" s="13"/>
      <c r="IVA1152" s="13"/>
      <c r="IVB1152" s="13"/>
      <c r="IVC1152" s="13"/>
      <c r="IVD1152" s="13"/>
      <c r="IVE1152" s="13"/>
      <c r="IVF1152" s="13"/>
      <c r="IVG1152" s="13"/>
      <c r="IVH1152" s="13"/>
      <c r="IVI1152" s="13"/>
      <c r="IVJ1152" s="13"/>
      <c r="IVK1152" s="13"/>
      <c r="IVL1152" s="13"/>
      <c r="IVM1152" s="13"/>
      <c r="IVN1152" s="13"/>
      <c r="IVO1152" s="13"/>
      <c r="IVP1152" s="13"/>
      <c r="IVQ1152" s="13"/>
      <c r="IVR1152" s="13"/>
      <c r="IVS1152" s="13"/>
      <c r="IVT1152" s="13"/>
      <c r="IVU1152" s="13"/>
      <c r="IVV1152" s="13"/>
      <c r="IVW1152" s="13"/>
      <c r="IVX1152" s="13"/>
      <c r="IVY1152" s="13"/>
      <c r="IVZ1152" s="13"/>
      <c r="IWA1152" s="13"/>
      <c r="IWB1152" s="13"/>
      <c r="IWC1152" s="13"/>
      <c r="IWD1152" s="13"/>
      <c r="IWE1152" s="13"/>
      <c r="IWF1152" s="13"/>
      <c r="IWG1152" s="13"/>
      <c r="IWH1152" s="13"/>
      <c r="IWI1152" s="13"/>
      <c r="IWJ1152" s="13"/>
      <c r="IWK1152" s="13"/>
      <c r="IWL1152" s="13"/>
      <c r="IWM1152" s="13"/>
      <c r="IWN1152" s="13"/>
      <c r="IWO1152" s="13"/>
      <c r="IWP1152" s="13"/>
      <c r="IWQ1152" s="13"/>
      <c r="IWR1152" s="13"/>
      <c r="IWS1152" s="13"/>
      <c r="IWT1152" s="13"/>
      <c r="IWU1152" s="13"/>
      <c r="IWV1152" s="13"/>
      <c r="IWW1152" s="13"/>
      <c r="IWX1152" s="13"/>
      <c r="IWY1152" s="13"/>
      <c r="IWZ1152" s="13"/>
      <c r="IXA1152" s="13"/>
      <c r="IXB1152" s="13"/>
      <c r="IXC1152" s="13"/>
      <c r="IXD1152" s="13"/>
      <c r="IXE1152" s="13"/>
      <c r="IXF1152" s="13"/>
      <c r="IXG1152" s="13"/>
      <c r="IXH1152" s="13"/>
      <c r="IXI1152" s="13"/>
      <c r="IXJ1152" s="13"/>
      <c r="IXK1152" s="13"/>
      <c r="IXL1152" s="13"/>
      <c r="IXM1152" s="13"/>
      <c r="IXN1152" s="13"/>
      <c r="IXO1152" s="13"/>
      <c r="IXP1152" s="13"/>
      <c r="IXQ1152" s="13"/>
      <c r="IXR1152" s="13"/>
      <c r="IXS1152" s="13"/>
      <c r="IXT1152" s="13"/>
      <c r="IXU1152" s="13"/>
      <c r="IXV1152" s="13"/>
      <c r="IXW1152" s="13"/>
      <c r="IXX1152" s="13"/>
      <c r="IXY1152" s="13"/>
      <c r="IXZ1152" s="13"/>
      <c r="IYA1152" s="13"/>
      <c r="IYB1152" s="13"/>
      <c r="IYC1152" s="13"/>
      <c r="IYD1152" s="13"/>
      <c r="IYE1152" s="13"/>
      <c r="IYF1152" s="13"/>
      <c r="IYG1152" s="13"/>
      <c r="IYH1152" s="13"/>
      <c r="IYI1152" s="13"/>
      <c r="IYJ1152" s="13"/>
      <c r="IYK1152" s="13"/>
      <c r="IYL1152" s="13"/>
      <c r="IYM1152" s="13"/>
      <c r="IYN1152" s="13"/>
      <c r="IYO1152" s="13"/>
      <c r="IYP1152" s="13"/>
      <c r="IYQ1152" s="13"/>
      <c r="IYR1152" s="13"/>
      <c r="IYS1152" s="13"/>
      <c r="IYT1152" s="13"/>
      <c r="IYU1152" s="13"/>
      <c r="IYV1152" s="13"/>
      <c r="IYW1152" s="13"/>
      <c r="IYX1152" s="13"/>
      <c r="IYY1152" s="13"/>
      <c r="IYZ1152" s="13"/>
      <c r="IZA1152" s="13"/>
      <c r="IZB1152" s="13"/>
      <c r="IZC1152" s="13"/>
      <c r="IZD1152" s="13"/>
      <c r="IZE1152" s="13"/>
      <c r="IZF1152" s="13"/>
      <c r="IZG1152" s="13"/>
      <c r="IZH1152" s="13"/>
      <c r="IZI1152" s="13"/>
      <c r="IZJ1152" s="13"/>
      <c r="IZK1152" s="13"/>
      <c r="IZL1152" s="13"/>
      <c r="IZM1152" s="13"/>
      <c r="IZN1152" s="13"/>
      <c r="IZO1152" s="13"/>
      <c r="IZP1152" s="13"/>
      <c r="IZQ1152" s="13"/>
      <c r="IZR1152" s="13"/>
      <c r="IZS1152" s="13"/>
      <c r="IZT1152" s="13"/>
      <c r="IZU1152" s="13"/>
      <c r="IZV1152" s="13"/>
      <c r="IZW1152" s="13"/>
      <c r="IZX1152" s="13"/>
      <c r="IZY1152" s="13"/>
      <c r="IZZ1152" s="13"/>
      <c r="JAA1152" s="13"/>
      <c r="JAB1152" s="13"/>
      <c r="JAC1152" s="13"/>
      <c r="JAD1152" s="13"/>
      <c r="JAE1152" s="13"/>
      <c r="JAF1152" s="13"/>
      <c r="JAG1152" s="13"/>
      <c r="JAH1152" s="13"/>
      <c r="JAI1152" s="13"/>
      <c r="JAJ1152" s="13"/>
      <c r="JAK1152" s="13"/>
      <c r="JAL1152" s="13"/>
      <c r="JAM1152" s="13"/>
      <c r="JAN1152" s="13"/>
      <c r="JAO1152" s="13"/>
      <c r="JAP1152" s="13"/>
      <c r="JAQ1152" s="13"/>
      <c r="JAR1152" s="13"/>
      <c r="JAS1152" s="13"/>
      <c r="JAT1152" s="13"/>
      <c r="JAU1152" s="13"/>
      <c r="JAV1152" s="13"/>
      <c r="JAW1152" s="13"/>
      <c r="JAX1152" s="13"/>
      <c r="JAY1152" s="13"/>
      <c r="JAZ1152" s="13"/>
      <c r="JBA1152" s="13"/>
      <c r="JBB1152" s="13"/>
      <c r="JBC1152" s="13"/>
      <c r="JBD1152" s="13"/>
      <c r="JBE1152" s="13"/>
      <c r="JBF1152" s="13"/>
      <c r="JBG1152" s="13"/>
      <c r="JBH1152" s="13"/>
      <c r="JBI1152" s="13"/>
      <c r="JBJ1152" s="13"/>
      <c r="JBK1152" s="13"/>
      <c r="JBL1152" s="13"/>
      <c r="JBM1152" s="13"/>
      <c r="JBN1152" s="13"/>
      <c r="JBO1152" s="13"/>
      <c r="JBP1152" s="13"/>
      <c r="JBQ1152" s="13"/>
      <c r="JBR1152" s="13"/>
      <c r="JBS1152" s="13"/>
      <c r="JBT1152" s="13"/>
      <c r="JBU1152" s="13"/>
      <c r="JBV1152" s="13"/>
      <c r="JBW1152" s="13"/>
      <c r="JBX1152" s="13"/>
      <c r="JBY1152" s="13"/>
      <c r="JBZ1152" s="13"/>
      <c r="JCA1152" s="13"/>
      <c r="JCB1152" s="13"/>
      <c r="JCC1152" s="13"/>
      <c r="JCD1152" s="13"/>
      <c r="JCE1152" s="13"/>
      <c r="JCF1152" s="13"/>
      <c r="JCG1152" s="13"/>
      <c r="JCH1152" s="13"/>
      <c r="JCI1152" s="13"/>
      <c r="JCJ1152" s="13"/>
      <c r="JCK1152" s="13"/>
      <c r="JCL1152" s="13"/>
      <c r="JCM1152" s="13"/>
      <c r="JCN1152" s="13"/>
      <c r="JCO1152" s="13"/>
      <c r="JCP1152" s="13"/>
      <c r="JCQ1152" s="13"/>
      <c r="JCR1152" s="13"/>
      <c r="JCS1152" s="13"/>
      <c r="JCT1152" s="13"/>
      <c r="JCU1152" s="13"/>
      <c r="JCV1152" s="13"/>
      <c r="JCW1152" s="13"/>
      <c r="JCX1152" s="13"/>
      <c r="JCY1152" s="13"/>
      <c r="JCZ1152" s="13"/>
      <c r="JDA1152" s="13"/>
      <c r="JDB1152" s="13"/>
      <c r="JDC1152" s="13"/>
      <c r="JDD1152" s="13"/>
      <c r="JDE1152" s="13"/>
      <c r="JDF1152" s="13"/>
      <c r="JDG1152" s="13"/>
      <c r="JDH1152" s="13"/>
      <c r="JDI1152" s="13"/>
      <c r="JDJ1152" s="13"/>
      <c r="JDK1152" s="13"/>
      <c r="JDL1152" s="13"/>
      <c r="JDM1152" s="13"/>
      <c r="JDN1152" s="13"/>
      <c r="JDO1152" s="13"/>
      <c r="JDP1152" s="13"/>
      <c r="JDQ1152" s="13"/>
      <c r="JDR1152" s="13"/>
      <c r="JDS1152" s="13"/>
      <c r="JDT1152" s="13"/>
      <c r="JDU1152" s="13"/>
      <c r="JDV1152" s="13"/>
      <c r="JDW1152" s="13"/>
      <c r="JDX1152" s="13"/>
      <c r="JDY1152" s="13"/>
      <c r="JDZ1152" s="13"/>
      <c r="JEA1152" s="13"/>
      <c r="JEB1152" s="13"/>
      <c r="JEC1152" s="13"/>
      <c r="JED1152" s="13"/>
      <c r="JEE1152" s="13"/>
      <c r="JEF1152" s="13"/>
      <c r="JEG1152" s="13"/>
      <c r="JEH1152" s="13"/>
      <c r="JEI1152" s="13"/>
      <c r="JEJ1152" s="13"/>
      <c r="JEK1152" s="13"/>
      <c r="JEL1152" s="13"/>
      <c r="JEM1152" s="13"/>
      <c r="JEN1152" s="13"/>
      <c r="JEO1152" s="13"/>
      <c r="JEP1152" s="13"/>
      <c r="JEQ1152" s="13"/>
      <c r="JER1152" s="13"/>
      <c r="JES1152" s="13"/>
      <c r="JET1152" s="13"/>
      <c r="JEU1152" s="13"/>
      <c r="JEV1152" s="13"/>
      <c r="JEW1152" s="13"/>
      <c r="JEX1152" s="13"/>
      <c r="JEY1152" s="13"/>
      <c r="JEZ1152" s="13"/>
      <c r="JFA1152" s="13"/>
      <c r="JFB1152" s="13"/>
      <c r="JFC1152" s="13"/>
      <c r="JFD1152" s="13"/>
      <c r="JFE1152" s="13"/>
      <c r="JFF1152" s="13"/>
      <c r="JFG1152" s="13"/>
      <c r="JFH1152" s="13"/>
      <c r="JFI1152" s="13"/>
      <c r="JFJ1152" s="13"/>
      <c r="JFK1152" s="13"/>
      <c r="JFL1152" s="13"/>
      <c r="JFM1152" s="13"/>
      <c r="JFN1152" s="13"/>
      <c r="JFO1152" s="13"/>
      <c r="JFP1152" s="13"/>
      <c r="JFQ1152" s="13"/>
      <c r="JFR1152" s="13"/>
      <c r="JFS1152" s="13"/>
      <c r="JFT1152" s="13"/>
      <c r="JFU1152" s="13"/>
      <c r="JFV1152" s="13"/>
      <c r="JFW1152" s="13"/>
      <c r="JFX1152" s="13"/>
      <c r="JFY1152" s="13"/>
      <c r="JFZ1152" s="13"/>
      <c r="JGA1152" s="13"/>
      <c r="JGB1152" s="13"/>
      <c r="JGC1152" s="13"/>
      <c r="JGD1152" s="13"/>
      <c r="JGE1152" s="13"/>
      <c r="JGF1152" s="13"/>
      <c r="JGG1152" s="13"/>
      <c r="JGH1152" s="13"/>
      <c r="JGI1152" s="13"/>
      <c r="JGJ1152" s="13"/>
      <c r="JGK1152" s="13"/>
      <c r="JGL1152" s="13"/>
      <c r="JGM1152" s="13"/>
      <c r="JGN1152" s="13"/>
      <c r="JGO1152" s="13"/>
      <c r="JGP1152" s="13"/>
      <c r="JGQ1152" s="13"/>
      <c r="JGR1152" s="13"/>
      <c r="JGS1152" s="13"/>
      <c r="JGT1152" s="13"/>
      <c r="JGU1152" s="13"/>
      <c r="JGV1152" s="13"/>
      <c r="JGW1152" s="13"/>
      <c r="JGX1152" s="13"/>
      <c r="JGY1152" s="13"/>
      <c r="JGZ1152" s="13"/>
      <c r="JHA1152" s="13"/>
      <c r="JHB1152" s="13"/>
      <c r="JHC1152" s="13"/>
      <c r="JHD1152" s="13"/>
      <c r="JHE1152" s="13"/>
      <c r="JHF1152" s="13"/>
      <c r="JHG1152" s="13"/>
      <c r="JHH1152" s="13"/>
      <c r="JHI1152" s="13"/>
      <c r="JHJ1152" s="13"/>
      <c r="JHK1152" s="13"/>
      <c r="JHL1152" s="13"/>
      <c r="JHM1152" s="13"/>
      <c r="JHN1152" s="13"/>
      <c r="JHO1152" s="13"/>
      <c r="JHP1152" s="13"/>
      <c r="JHQ1152" s="13"/>
      <c r="JHR1152" s="13"/>
      <c r="JHS1152" s="13"/>
      <c r="JHT1152" s="13"/>
      <c r="JHU1152" s="13"/>
      <c r="JHV1152" s="13"/>
      <c r="JHW1152" s="13"/>
      <c r="JHX1152" s="13"/>
      <c r="JHY1152" s="13"/>
      <c r="JHZ1152" s="13"/>
      <c r="JIA1152" s="13"/>
      <c r="JIB1152" s="13"/>
      <c r="JIC1152" s="13"/>
      <c r="JID1152" s="13"/>
      <c r="JIE1152" s="13"/>
      <c r="JIF1152" s="13"/>
      <c r="JIG1152" s="13"/>
      <c r="JIH1152" s="13"/>
      <c r="JII1152" s="13"/>
      <c r="JIJ1152" s="13"/>
      <c r="JIK1152" s="13"/>
      <c r="JIL1152" s="13"/>
      <c r="JIM1152" s="13"/>
      <c r="JIN1152" s="13"/>
      <c r="JIO1152" s="13"/>
      <c r="JIP1152" s="13"/>
      <c r="JIQ1152" s="13"/>
      <c r="JIR1152" s="13"/>
      <c r="JIS1152" s="13"/>
      <c r="JIT1152" s="13"/>
      <c r="JIU1152" s="13"/>
      <c r="JIV1152" s="13"/>
      <c r="JIW1152" s="13"/>
      <c r="JIX1152" s="13"/>
      <c r="JIY1152" s="13"/>
      <c r="JIZ1152" s="13"/>
      <c r="JJA1152" s="13"/>
      <c r="JJB1152" s="13"/>
      <c r="JJC1152" s="13"/>
      <c r="JJD1152" s="13"/>
      <c r="JJE1152" s="13"/>
      <c r="JJF1152" s="13"/>
      <c r="JJG1152" s="13"/>
      <c r="JJH1152" s="13"/>
      <c r="JJI1152" s="13"/>
      <c r="JJJ1152" s="13"/>
      <c r="JJK1152" s="13"/>
      <c r="JJL1152" s="13"/>
      <c r="JJM1152" s="13"/>
      <c r="JJN1152" s="13"/>
      <c r="JJO1152" s="13"/>
      <c r="JJP1152" s="13"/>
      <c r="JJQ1152" s="13"/>
      <c r="JJR1152" s="13"/>
      <c r="JJS1152" s="13"/>
      <c r="JJT1152" s="13"/>
      <c r="JJU1152" s="13"/>
      <c r="JJV1152" s="13"/>
      <c r="JJW1152" s="13"/>
      <c r="JJX1152" s="13"/>
      <c r="JJY1152" s="13"/>
      <c r="JJZ1152" s="13"/>
      <c r="JKA1152" s="13"/>
      <c r="JKB1152" s="13"/>
      <c r="JKC1152" s="13"/>
      <c r="JKD1152" s="13"/>
      <c r="JKE1152" s="13"/>
      <c r="JKF1152" s="13"/>
      <c r="JKG1152" s="13"/>
      <c r="JKH1152" s="13"/>
      <c r="JKI1152" s="13"/>
      <c r="JKJ1152" s="13"/>
      <c r="JKK1152" s="13"/>
      <c r="JKL1152" s="13"/>
      <c r="JKM1152" s="13"/>
      <c r="JKN1152" s="13"/>
      <c r="JKO1152" s="13"/>
      <c r="JKP1152" s="13"/>
      <c r="JKQ1152" s="13"/>
      <c r="JKR1152" s="13"/>
      <c r="JKS1152" s="13"/>
      <c r="JKT1152" s="13"/>
      <c r="JKU1152" s="13"/>
      <c r="JKV1152" s="13"/>
      <c r="JKW1152" s="13"/>
      <c r="JKX1152" s="13"/>
      <c r="JKY1152" s="13"/>
      <c r="JKZ1152" s="13"/>
      <c r="JLA1152" s="13"/>
      <c r="JLB1152" s="13"/>
      <c r="JLC1152" s="13"/>
      <c r="JLD1152" s="13"/>
      <c r="JLE1152" s="13"/>
      <c r="JLF1152" s="13"/>
      <c r="JLG1152" s="13"/>
      <c r="JLH1152" s="13"/>
      <c r="JLI1152" s="13"/>
      <c r="JLJ1152" s="13"/>
      <c r="JLK1152" s="13"/>
      <c r="JLL1152" s="13"/>
      <c r="JLM1152" s="13"/>
      <c r="JLN1152" s="13"/>
      <c r="JLO1152" s="13"/>
      <c r="JLP1152" s="13"/>
      <c r="JLQ1152" s="13"/>
      <c r="JLR1152" s="13"/>
      <c r="JLS1152" s="13"/>
      <c r="JLT1152" s="13"/>
      <c r="JLU1152" s="13"/>
      <c r="JLV1152" s="13"/>
      <c r="JLW1152" s="13"/>
      <c r="JLX1152" s="13"/>
      <c r="JLY1152" s="13"/>
      <c r="JLZ1152" s="13"/>
      <c r="JMA1152" s="13"/>
      <c r="JMB1152" s="13"/>
      <c r="JMC1152" s="13"/>
      <c r="JMD1152" s="13"/>
      <c r="JME1152" s="13"/>
      <c r="JMF1152" s="13"/>
      <c r="JMG1152" s="13"/>
      <c r="JMH1152" s="13"/>
      <c r="JMI1152" s="13"/>
      <c r="JMJ1152" s="13"/>
      <c r="JMK1152" s="13"/>
      <c r="JML1152" s="13"/>
      <c r="JMM1152" s="13"/>
      <c r="JMN1152" s="13"/>
      <c r="JMO1152" s="13"/>
      <c r="JMP1152" s="13"/>
      <c r="JMQ1152" s="13"/>
      <c r="JMR1152" s="13"/>
      <c r="JMS1152" s="13"/>
      <c r="JMT1152" s="13"/>
      <c r="JMU1152" s="13"/>
      <c r="JMV1152" s="13"/>
      <c r="JMW1152" s="13"/>
      <c r="JMX1152" s="13"/>
      <c r="JMY1152" s="13"/>
      <c r="JMZ1152" s="13"/>
      <c r="JNA1152" s="13"/>
      <c r="JNB1152" s="13"/>
      <c r="JNC1152" s="13"/>
      <c r="JND1152" s="13"/>
      <c r="JNE1152" s="13"/>
      <c r="JNF1152" s="13"/>
      <c r="JNG1152" s="13"/>
      <c r="JNH1152" s="13"/>
      <c r="JNI1152" s="13"/>
      <c r="JNJ1152" s="13"/>
      <c r="JNK1152" s="13"/>
      <c r="JNL1152" s="13"/>
      <c r="JNM1152" s="13"/>
      <c r="JNN1152" s="13"/>
      <c r="JNO1152" s="13"/>
      <c r="JNP1152" s="13"/>
      <c r="JNQ1152" s="13"/>
      <c r="JNR1152" s="13"/>
      <c r="JNS1152" s="13"/>
      <c r="JNT1152" s="13"/>
      <c r="JNU1152" s="13"/>
      <c r="JNV1152" s="13"/>
      <c r="JNW1152" s="13"/>
      <c r="JNX1152" s="13"/>
      <c r="JNY1152" s="13"/>
      <c r="JNZ1152" s="13"/>
      <c r="JOA1152" s="13"/>
      <c r="JOB1152" s="13"/>
      <c r="JOC1152" s="13"/>
      <c r="JOD1152" s="13"/>
      <c r="JOE1152" s="13"/>
      <c r="JOF1152" s="13"/>
      <c r="JOG1152" s="13"/>
      <c r="JOH1152" s="13"/>
      <c r="JOI1152" s="13"/>
      <c r="JOJ1152" s="13"/>
      <c r="JOK1152" s="13"/>
      <c r="JOL1152" s="13"/>
      <c r="JOM1152" s="13"/>
      <c r="JON1152" s="13"/>
      <c r="JOO1152" s="13"/>
      <c r="JOP1152" s="13"/>
      <c r="JOQ1152" s="13"/>
      <c r="JOR1152" s="13"/>
      <c r="JOS1152" s="13"/>
      <c r="JOT1152" s="13"/>
      <c r="JOU1152" s="13"/>
      <c r="JOV1152" s="13"/>
      <c r="JOW1152" s="13"/>
      <c r="JOX1152" s="13"/>
      <c r="JOY1152" s="13"/>
      <c r="JOZ1152" s="13"/>
      <c r="JPA1152" s="13"/>
      <c r="JPB1152" s="13"/>
      <c r="JPC1152" s="13"/>
      <c r="JPD1152" s="13"/>
      <c r="JPE1152" s="13"/>
      <c r="JPF1152" s="13"/>
      <c r="JPG1152" s="13"/>
      <c r="JPH1152" s="13"/>
      <c r="JPI1152" s="13"/>
      <c r="JPJ1152" s="13"/>
      <c r="JPK1152" s="13"/>
      <c r="JPL1152" s="13"/>
      <c r="JPM1152" s="13"/>
      <c r="JPN1152" s="13"/>
      <c r="JPO1152" s="13"/>
      <c r="JPP1152" s="13"/>
      <c r="JPQ1152" s="13"/>
      <c r="JPR1152" s="13"/>
      <c r="JPS1152" s="13"/>
      <c r="JPT1152" s="13"/>
      <c r="JPU1152" s="13"/>
      <c r="JPV1152" s="13"/>
      <c r="JPW1152" s="13"/>
      <c r="JPX1152" s="13"/>
      <c r="JPY1152" s="13"/>
      <c r="JPZ1152" s="13"/>
      <c r="JQA1152" s="13"/>
      <c r="JQB1152" s="13"/>
      <c r="JQC1152" s="13"/>
      <c r="JQD1152" s="13"/>
      <c r="JQE1152" s="13"/>
      <c r="JQF1152" s="13"/>
      <c r="JQG1152" s="13"/>
      <c r="JQH1152" s="13"/>
      <c r="JQI1152" s="13"/>
      <c r="JQJ1152" s="13"/>
      <c r="JQK1152" s="13"/>
      <c r="JQL1152" s="13"/>
      <c r="JQM1152" s="13"/>
      <c r="JQN1152" s="13"/>
      <c r="JQO1152" s="13"/>
      <c r="JQP1152" s="13"/>
      <c r="JQQ1152" s="13"/>
      <c r="JQR1152" s="13"/>
      <c r="JQS1152" s="13"/>
      <c r="JQT1152" s="13"/>
      <c r="JQU1152" s="13"/>
      <c r="JQV1152" s="13"/>
      <c r="JQW1152" s="13"/>
      <c r="JQX1152" s="13"/>
      <c r="JQY1152" s="13"/>
      <c r="JQZ1152" s="13"/>
      <c r="JRA1152" s="13"/>
      <c r="JRB1152" s="13"/>
      <c r="JRC1152" s="13"/>
      <c r="JRD1152" s="13"/>
      <c r="JRE1152" s="13"/>
      <c r="JRF1152" s="13"/>
      <c r="JRG1152" s="13"/>
      <c r="JRH1152" s="13"/>
      <c r="JRI1152" s="13"/>
      <c r="JRJ1152" s="13"/>
      <c r="JRK1152" s="13"/>
      <c r="JRL1152" s="13"/>
      <c r="JRM1152" s="13"/>
      <c r="JRN1152" s="13"/>
      <c r="JRO1152" s="13"/>
      <c r="JRP1152" s="13"/>
      <c r="JRQ1152" s="13"/>
      <c r="JRR1152" s="13"/>
      <c r="JRS1152" s="13"/>
      <c r="JRT1152" s="13"/>
      <c r="JRU1152" s="13"/>
      <c r="JRV1152" s="13"/>
      <c r="JRW1152" s="13"/>
      <c r="JRX1152" s="13"/>
      <c r="JRY1152" s="13"/>
      <c r="JRZ1152" s="13"/>
      <c r="JSA1152" s="13"/>
      <c r="JSB1152" s="13"/>
      <c r="JSC1152" s="13"/>
      <c r="JSD1152" s="13"/>
      <c r="JSE1152" s="13"/>
      <c r="JSF1152" s="13"/>
      <c r="JSG1152" s="13"/>
      <c r="JSH1152" s="13"/>
      <c r="JSI1152" s="13"/>
      <c r="JSJ1152" s="13"/>
      <c r="JSK1152" s="13"/>
      <c r="JSL1152" s="13"/>
      <c r="JSM1152" s="13"/>
      <c r="JSN1152" s="13"/>
      <c r="JSO1152" s="13"/>
      <c r="JSP1152" s="13"/>
      <c r="JSQ1152" s="13"/>
      <c r="JSR1152" s="13"/>
      <c r="JSS1152" s="13"/>
      <c r="JST1152" s="13"/>
      <c r="JSU1152" s="13"/>
      <c r="JSV1152" s="13"/>
      <c r="JSW1152" s="13"/>
      <c r="JSX1152" s="13"/>
      <c r="JSY1152" s="13"/>
      <c r="JSZ1152" s="13"/>
      <c r="JTA1152" s="13"/>
      <c r="JTB1152" s="13"/>
      <c r="JTC1152" s="13"/>
      <c r="JTD1152" s="13"/>
      <c r="JTE1152" s="13"/>
      <c r="JTF1152" s="13"/>
      <c r="JTG1152" s="13"/>
      <c r="JTH1152" s="13"/>
      <c r="JTI1152" s="13"/>
      <c r="JTJ1152" s="13"/>
      <c r="JTK1152" s="13"/>
      <c r="JTL1152" s="13"/>
      <c r="JTM1152" s="13"/>
      <c r="JTN1152" s="13"/>
      <c r="JTO1152" s="13"/>
      <c r="JTP1152" s="13"/>
      <c r="JTQ1152" s="13"/>
      <c r="JTR1152" s="13"/>
      <c r="JTS1152" s="13"/>
      <c r="JTT1152" s="13"/>
      <c r="JTU1152" s="13"/>
      <c r="JTV1152" s="13"/>
      <c r="JTW1152" s="13"/>
      <c r="JTX1152" s="13"/>
      <c r="JTY1152" s="13"/>
      <c r="JTZ1152" s="13"/>
      <c r="JUA1152" s="13"/>
      <c r="JUB1152" s="13"/>
      <c r="JUC1152" s="13"/>
      <c r="JUD1152" s="13"/>
      <c r="JUE1152" s="13"/>
      <c r="JUF1152" s="13"/>
      <c r="JUG1152" s="13"/>
      <c r="JUH1152" s="13"/>
      <c r="JUI1152" s="13"/>
      <c r="JUJ1152" s="13"/>
      <c r="JUK1152" s="13"/>
      <c r="JUL1152" s="13"/>
      <c r="JUM1152" s="13"/>
      <c r="JUN1152" s="13"/>
      <c r="JUO1152" s="13"/>
      <c r="JUP1152" s="13"/>
      <c r="JUQ1152" s="13"/>
      <c r="JUR1152" s="13"/>
      <c r="JUS1152" s="13"/>
      <c r="JUT1152" s="13"/>
      <c r="JUU1152" s="13"/>
      <c r="JUV1152" s="13"/>
      <c r="JUW1152" s="13"/>
      <c r="JUX1152" s="13"/>
      <c r="JUY1152" s="13"/>
      <c r="JUZ1152" s="13"/>
      <c r="JVA1152" s="13"/>
      <c r="JVB1152" s="13"/>
      <c r="JVC1152" s="13"/>
      <c r="JVD1152" s="13"/>
      <c r="JVE1152" s="13"/>
      <c r="JVF1152" s="13"/>
      <c r="JVG1152" s="13"/>
      <c r="JVH1152" s="13"/>
      <c r="JVI1152" s="13"/>
      <c r="JVJ1152" s="13"/>
      <c r="JVK1152" s="13"/>
      <c r="JVL1152" s="13"/>
      <c r="JVM1152" s="13"/>
      <c r="JVN1152" s="13"/>
      <c r="JVO1152" s="13"/>
      <c r="JVP1152" s="13"/>
      <c r="JVQ1152" s="13"/>
      <c r="JVR1152" s="13"/>
      <c r="JVS1152" s="13"/>
      <c r="JVT1152" s="13"/>
      <c r="JVU1152" s="13"/>
      <c r="JVV1152" s="13"/>
      <c r="JVW1152" s="13"/>
      <c r="JVX1152" s="13"/>
      <c r="JVY1152" s="13"/>
      <c r="JVZ1152" s="13"/>
      <c r="JWA1152" s="13"/>
      <c r="JWB1152" s="13"/>
      <c r="JWC1152" s="13"/>
      <c r="JWD1152" s="13"/>
      <c r="JWE1152" s="13"/>
      <c r="JWF1152" s="13"/>
      <c r="JWG1152" s="13"/>
      <c r="JWH1152" s="13"/>
      <c r="JWI1152" s="13"/>
      <c r="JWJ1152" s="13"/>
      <c r="JWK1152" s="13"/>
      <c r="JWL1152" s="13"/>
      <c r="JWM1152" s="13"/>
      <c r="JWN1152" s="13"/>
      <c r="JWO1152" s="13"/>
      <c r="JWP1152" s="13"/>
      <c r="JWQ1152" s="13"/>
      <c r="JWR1152" s="13"/>
      <c r="JWS1152" s="13"/>
      <c r="JWT1152" s="13"/>
      <c r="JWU1152" s="13"/>
      <c r="JWV1152" s="13"/>
      <c r="JWW1152" s="13"/>
      <c r="JWX1152" s="13"/>
      <c r="JWY1152" s="13"/>
      <c r="JWZ1152" s="13"/>
      <c r="JXA1152" s="13"/>
      <c r="JXB1152" s="13"/>
      <c r="JXC1152" s="13"/>
      <c r="JXD1152" s="13"/>
      <c r="JXE1152" s="13"/>
      <c r="JXF1152" s="13"/>
      <c r="JXG1152" s="13"/>
      <c r="JXH1152" s="13"/>
      <c r="JXI1152" s="13"/>
      <c r="JXJ1152" s="13"/>
      <c r="JXK1152" s="13"/>
      <c r="JXL1152" s="13"/>
      <c r="JXM1152" s="13"/>
      <c r="JXN1152" s="13"/>
      <c r="JXO1152" s="13"/>
      <c r="JXP1152" s="13"/>
      <c r="JXQ1152" s="13"/>
      <c r="JXR1152" s="13"/>
      <c r="JXS1152" s="13"/>
      <c r="JXT1152" s="13"/>
      <c r="JXU1152" s="13"/>
      <c r="JXV1152" s="13"/>
      <c r="JXW1152" s="13"/>
      <c r="JXX1152" s="13"/>
      <c r="JXY1152" s="13"/>
      <c r="JXZ1152" s="13"/>
      <c r="JYA1152" s="13"/>
      <c r="JYB1152" s="13"/>
      <c r="JYC1152" s="13"/>
      <c r="JYD1152" s="13"/>
      <c r="JYE1152" s="13"/>
      <c r="JYF1152" s="13"/>
      <c r="JYG1152" s="13"/>
      <c r="JYH1152" s="13"/>
      <c r="JYI1152" s="13"/>
      <c r="JYJ1152" s="13"/>
      <c r="JYK1152" s="13"/>
      <c r="JYL1152" s="13"/>
      <c r="JYM1152" s="13"/>
      <c r="JYN1152" s="13"/>
      <c r="JYO1152" s="13"/>
      <c r="JYP1152" s="13"/>
      <c r="JYQ1152" s="13"/>
      <c r="JYR1152" s="13"/>
      <c r="JYS1152" s="13"/>
      <c r="JYT1152" s="13"/>
      <c r="JYU1152" s="13"/>
      <c r="JYV1152" s="13"/>
      <c r="JYW1152" s="13"/>
      <c r="JYX1152" s="13"/>
      <c r="JYY1152" s="13"/>
      <c r="JYZ1152" s="13"/>
      <c r="JZA1152" s="13"/>
      <c r="JZB1152" s="13"/>
      <c r="JZC1152" s="13"/>
      <c r="JZD1152" s="13"/>
      <c r="JZE1152" s="13"/>
      <c r="JZF1152" s="13"/>
      <c r="JZG1152" s="13"/>
      <c r="JZH1152" s="13"/>
      <c r="JZI1152" s="13"/>
      <c r="JZJ1152" s="13"/>
      <c r="JZK1152" s="13"/>
      <c r="JZL1152" s="13"/>
      <c r="JZM1152" s="13"/>
      <c r="JZN1152" s="13"/>
      <c r="JZO1152" s="13"/>
      <c r="JZP1152" s="13"/>
      <c r="JZQ1152" s="13"/>
      <c r="JZR1152" s="13"/>
      <c r="JZS1152" s="13"/>
      <c r="JZT1152" s="13"/>
      <c r="JZU1152" s="13"/>
      <c r="JZV1152" s="13"/>
      <c r="JZW1152" s="13"/>
      <c r="JZX1152" s="13"/>
      <c r="JZY1152" s="13"/>
      <c r="JZZ1152" s="13"/>
      <c r="KAA1152" s="13"/>
      <c r="KAB1152" s="13"/>
      <c r="KAC1152" s="13"/>
      <c r="KAD1152" s="13"/>
      <c r="KAE1152" s="13"/>
      <c r="KAF1152" s="13"/>
      <c r="KAG1152" s="13"/>
      <c r="KAH1152" s="13"/>
      <c r="KAI1152" s="13"/>
      <c r="KAJ1152" s="13"/>
      <c r="KAK1152" s="13"/>
      <c r="KAL1152" s="13"/>
      <c r="KAM1152" s="13"/>
      <c r="KAN1152" s="13"/>
      <c r="KAO1152" s="13"/>
      <c r="KAP1152" s="13"/>
      <c r="KAQ1152" s="13"/>
      <c r="KAR1152" s="13"/>
      <c r="KAS1152" s="13"/>
      <c r="KAT1152" s="13"/>
      <c r="KAU1152" s="13"/>
      <c r="KAV1152" s="13"/>
      <c r="KAW1152" s="13"/>
      <c r="KAX1152" s="13"/>
      <c r="KAY1152" s="13"/>
      <c r="KAZ1152" s="13"/>
      <c r="KBA1152" s="13"/>
      <c r="KBB1152" s="13"/>
      <c r="KBC1152" s="13"/>
      <c r="KBD1152" s="13"/>
      <c r="KBE1152" s="13"/>
      <c r="KBF1152" s="13"/>
      <c r="KBG1152" s="13"/>
      <c r="KBH1152" s="13"/>
      <c r="KBI1152" s="13"/>
      <c r="KBJ1152" s="13"/>
      <c r="KBK1152" s="13"/>
      <c r="KBL1152" s="13"/>
      <c r="KBM1152" s="13"/>
      <c r="KBN1152" s="13"/>
      <c r="KBO1152" s="13"/>
      <c r="KBP1152" s="13"/>
      <c r="KBQ1152" s="13"/>
      <c r="KBR1152" s="13"/>
      <c r="KBS1152" s="13"/>
      <c r="KBT1152" s="13"/>
      <c r="KBU1152" s="13"/>
      <c r="KBV1152" s="13"/>
      <c r="KBW1152" s="13"/>
      <c r="KBX1152" s="13"/>
      <c r="KBY1152" s="13"/>
      <c r="KBZ1152" s="13"/>
      <c r="KCA1152" s="13"/>
      <c r="KCB1152" s="13"/>
      <c r="KCC1152" s="13"/>
      <c r="KCD1152" s="13"/>
      <c r="KCE1152" s="13"/>
      <c r="KCF1152" s="13"/>
      <c r="KCG1152" s="13"/>
      <c r="KCH1152" s="13"/>
      <c r="KCI1152" s="13"/>
      <c r="KCJ1152" s="13"/>
      <c r="KCK1152" s="13"/>
      <c r="KCL1152" s="13"/>
      <c r="KCM1152" s="13"/>
      <c r="KCN1152" s="13"/>
      <c r="KCO1152" s="13"/>
      <c r="KCP1152" s="13"/>
      <c r="KCQ1152" s="13"/>
      <c r="KCR1152" s="13"/>
      <c r="KCS1152" s="13"/>
      <c r="KCT1152" s="13"/>
      <c r="KCU1152" s="13"/>
      <c r="KCV1152" s="13"/>
      <c r="KCW1152" s="13"/>
      <c r="KCX1152" s="13"/>
      <c r="KCY1152" s="13"/>
      <c r="KCZ1152" s="13"/>
      <c r="KDA1152" s="13"/>
      <c r="KDB1152" s="13"/>
      <c r="KDC1152" s="13"/>
      <c r="KDD1152" s="13"/>
      <c r="KDE1152" s="13"/>
      <c r="KDF1152" s="13"/>
      <c r="KDG1152" s="13"/>
      <c r="KDH1152" s="13"/>
      <c r="KDI1152" s="13"/>
      <c r="KDJ1152" s="13"/>
      <c r="KDK1152" s="13"/>
      <c r="KDL1152" s="13"/>
      <c r="KDM1152" s="13"/>
      <c r="KDN1152" s="13"/>
      <c r="KDO1152" s="13"/>
      <c r="KDP1152" s="13"/>
      <c r="KDQ1152" s="13"/>
      <c r="KDR1152" s="13"/>
      <c r="KDS1152" s="13"/>
      <c r="KDT1152" s="13"/>
      <c r="KDU1152" s="13"/>
      <c r="KDV1152" s="13"/>
      <c r="KDW1152" s="13"/>
      <c r="KDX1152" s="13"/>
      <c r="KDY1152" s="13"/>
      <c r="KDZ1152" s="13"/>
      <c r="KEA1152" s="13"/>
      <c r="KEB1152" s="13"/>
      <c r="KEC1152" s="13"/>
      <c r="KED1152" s="13"/>
      <c r="KEE1152" s="13"/>
      <c r="KEF1152" s="13"/>
      <c r="KEG1152" s="13"/>
      <c r="KEH1152" s="13"/>
      <c r="KEI1152" s="13"/>
      <c r="KEJ1152" s="13"/>
      <c r="KEK1152" s="13"/>
      <c r="KEL1152" s="13"/>
      <c r="KEM1152" s="13"/>
      <c r="KEN1152" s="13"/>
      <c r="KEO1152" s="13"/>
      <c r="KEP1152" s="13"/>
      <c r="KEQ1152" s="13"/>
      <c r="KER1152" s="13"/>
      <c r="KES1152" s="13"/>
      <c r="KET1152" s="13"/>
      <c r="KEU1152" s="13"/>
      <c r="KEV1152" s="13"/>
      <c r="KEW1152" s="13"/>
      <c r="KEX1152" s="13"/>
      <c r="KEY1152" s="13"/>
      <c r="KEZ1152" s="13"/>
      <c r="KFA1152" s="13"/>
      <c r="KFB1152" s="13"/>
      <c r="KFC1152" s="13"/>
      <c r="KFD1152" s="13"/>
      <c r="KFE1152" s="13"/>
      <c r="KFF1152" s="13"/>
      <c r="KFG1152" s="13"/>
      <c r="KFH1152" s="13"/>
      <c r="KFI1152" s="13"/>
      <c r="KFJ1152" s="13"/>
      <c r="KFK1152" s="13"/>
      <c r="KFL1152" s="13"/>
      <c r="KFM1152" s="13"/>
      <c r="KFN1152" s="13"/>
      <c r="KFO1152" s="13"/>
      <c r="KFP1152" s="13"/>
      <c r="KFQ1152" s="13"/>
      <c r="KFR1152" s="13"/>
      <c r="KFS1152" s="13"/>
      <c r="KFT1152" s="13"/>
      <c r="KFU1152" s="13"/>
      <c r="KFV1152" s="13"/>
      <c r="KFW1152" s="13"/>
      <c r="KFX1152" s="13"/>
      <c r="KFY1152" s="13"/>
      <c r="KFZ1152" s="13"/>
      <c r="KGA1152" s="13"/>
      <c r="KGB1152" s="13"/>
      <c r="KGC1152" s="13"/>
      <c r="KGD1152" s="13"/>
      <c r="KGE1152" s="13"/>
      <c r="KGF1152" s="13"/>
      <c r="KGG1152" s="13"/>
      <c r="KGH1152" s="13"/>
      <c r="KGI1152" s="13"/>
      <c r="KGJ1152" s="13"/>
      <c r="KGK1152" s="13"/>
      <c r="KGL1152" s="13"/>
      <c r="KGM1152" s="13"/>
      <c r="KGN1152" s="13"/>
      <c r="KGO1152" s="13"/>
      <c r="KGP1152" s="13"/>
      <c r="KGQ1152" s="13"/>
      <c r="KGR1152" s="13"/>
      <c r="KGS1152" s="13"/>
      <c r="KGT1152" s="13"/>
      <c r="KGU1152" s="13"/>
      <c r="KGV1152" s="13"/>
      <c r="KGW1152" s="13"/>
      <c r="KGX1152" s="13"/>
      <c r="KGY1152" s="13"/>
      <c r="KGZ1152" s="13"/>
      <c r="KHA1152" s="13"/>
      <c r="KHB1152" s="13"/>
      <c r="KHC1152" s="13"/>
      <c r="KHD1152" s="13"/>
      <c r="KHE1152" s="13"/>
      <c r="KHF1152" s="13"/>
      <c r="KHG1152" s="13"/>
      <c r="KHH1152" s="13"/>
      <c r="KHI1152" s="13"/>
      <c r="KHJ1152" s="13"/>
      <c r="KHK1152" s="13"/>
      <c r="KHL1152" s="13"/>
      <c r="KHM1152" s="13"/>
      <c r="KHN1152" s="13"/>
      <c r="KHO1152" s="13"/>
      <c r="KHP1152" s="13"/>
      <c r="KHQ1152" s="13"/>
      <c r="KHR1152" s="13"/>
      <c r="KHS1152" s="13"/>
      <c r="KHT1152" s="13"/>
      <c r="KHU1152" s="13"/>
      <c r="KHV1152" s="13"/>
      <c r="KHW1152" s="13"/>
      <c r="KHX1152" s="13"/>
      <c r="KHY1152" s="13"/>
      <c r="KHZ1152" s="13"/>
      <c r="KIA1152" s="13"/>
      <c r="KIB1152" s="13"/>
      <c r="KIC1152" s="13"/>
      <c r="KID1152" s="13"/>
      <c r="KIE1152" s="13"/>
      <c r="KIF1152" s="13"/>
      <c r="KIG1152" s="13"/>
      <c r="KIH1152" s="13"/>
      <c r="KII1152" s="13"/>
      <c r="KIJ1152" s="13"/>
      <c r="KIK1152" s="13"/>
      <c r="KIL1152" s="13"/>
      <c r="KIM1152" s="13"/>
      <c r="KIN1152" s="13"/>
      <c r="KIO1152" s="13"/>
      <c r="KIP1152" s="13"/>
      <c r="KIQ1152" s="13"/>
      <c r="KIR1152" s="13"/>
      <c r="KIS1152" s="13"/>
      <c r="KIT1152" s="13"/>
      <c r="KIU1152" s="13"/>
      <c r="KIV1152" s="13"/>
      <c r="KIW1152" s="13"/>
      <c r="KIX1152" s="13"/>
      <c r="KIY1152" s="13"/>
      <c r="KIZ1152" s="13"/>
      <c r="KJA1152" s="13"/>
      <c r="KJB1152" s="13"/>
      <c r="KJC1152" s="13"/>
      <c r="KJD1152" s="13"/>
      <c r="KJE1152" s="13"/>
      <c r="KJF1152" s="13"/>
      <c r="KJG1152" s="13"/>
      <c r="KJH1152" s="13"/>
      <c r="KJI1152" s="13"/>
      <c r="KJJ1152" s="13"/>
      <c r="KJK1152" s="13"/>
      <c r="KJL1152" s="13"/>
      <c r="KJM1152" s="13"/>
      <c r="KJN1152" s="13"/>
      <c r="KJO1152" s="13"/>
      <c r="KJP1152" s="13"/>
      <c r="KJQ1152" s="13"/>
      <c r="KJR1152" s="13"/>
      <c r="KJS1152" s="13"/>
      <c r="KJT1152" s="13"/>
      <c r="KJU1152" s="13"/>
      <c r="KJV1152" s="13"/>
      <c r="KJW1152" s="13"/>
      <c r="KJX1152" s="13"/>
      <c r="KJY1152" s="13"/>
      <c r="KJZ1152" s="13"/>
      <c r="KKA1152" s="13"/>
      <c r="KKB1152" s="13"/>
      <c r="KKC1152" s="13"/>
      <c r="KKD1152" s="13"/>
      <c r="KKE1152" s="13"/>
      <c r="KKF1152" s="13"/>
      <c r="KKG1152" s="13"/>
      <c r="KKH1152" s="13"/>
      <c r="KKI1152" s="13"/>
      <c r="KKJ1152" s="13"/>
      <c r="KKK1152" s="13"/>
      <c r="KKL1152" s="13"/>
      <c r="KKM1152" s="13"/>
      <c r="KKN1152" s="13"/>
      <c r="KKO1152" s="13"/>
      <c r="KKP1152" s="13"/>
      <c r="KKQ1152" s="13"/>
      <c r="KKR1152" s="13"/>
      <c r="KKS1152" s="13"/>
      <c r="KKT1152" s="13"/>
      <c r="KKU1152" s="13"/>
      <c r="KKV1152" s="13"/>
      <c r="KKW1152" s="13"/>
      <c r="KKX1152" s="13"/>
      <c r="KKY1152" s="13"/>
      <c r="KKZ1152" s="13"/>
      <c r="KLA1152" s="13"/>
      <c r="KLB1152" s="13"/>
      <c r="KLC1152" s="13"/>
      <c r="KLD1152" s="13"/>
      <c r="KLE1152" s="13"/>
      <c r="KLF1152" s="13"/>
      <c r="KLG1152" s="13"/>
      <c r="KLH1152" s="13"/>
      <c r="KLI1152" s="13"/>
      <c r="KLJ1152" s="13"/>
      <c r="KLK1152" s="13"/>
      <c r="KLL1152" s="13"/>
      <c r="KLM1152" s="13"/>
      <c r="KLN1152" s="13"/>
      <c r="KLO1152" s="13"/>
      <c r="KLP1152" s="13"/>
      <c r="KLQ1152" s="13"/>
      <c r="KLR1152" s="13"/>
      <c r="KLS1152" s="13"/>
      <c r="KLT1152" s="13"/>
      <c r="KLU1152" s="13"/>
      <c r="KLV1152" s="13"/>
      <c r="KLW1152" s="13"/>
      <c r="KLX1152" s="13"/>
      <c r="KLY1152" s="13"/>
      <c r="KLZ1152" s="13"/>
      <c r="KMA1152" s="13"/>
      <c r="KMB1152" s="13"/>
      <c r="KMC1152" s="13"/>
      <c r="KMD1152" s="13"/>
      <c r="KME1152" s="13"/>
      <c r="KMF1152" s="13"/>
      <c r="KMG1152" s="13"/>
      <c r="KMH1152" s="13"/>
      <c r="KMI1152" s="13"/>
      <c r="KMJ1152" s="13"/>
      <c r="KMK1152" s="13"/>
      <c r="KML1152" s="13"/>
      <c r="KMM1152" s="13"/>
      <c r="KMN1152" s="13"/>
      <c r="KMO1152" s="13"/>
      <c r="KMP1152" s="13"/>
      <c r="KMQ1152" s="13"/>
      <c r="KMR1152" s="13"/>
      <c r="KMS1152" s="13"/>
      <c r="KMT1152" s="13"/>
      <c r="KMU1152" s="13"/>
      <c r="KMV1152" s="13"/>
      <c r="KMW1152" s="13"/>
      <c r="KMX1152" s="13"/>
      <c r="KMY1152" s="13"/>
      <c r="KMZ1152" s="13"/>
      <c r="KNA1152" s="13"/>
      <c r="KNB1152" s="13"/>
      <c r="KNC1152" s="13"/>
      <c r="KND1152" s="13"/>
      <c r="KNE1152" s="13"/>
      <c r="KNF1152" s="13"/>
      <c r="KNG1152" s="13"/>
      <c r="KNH1152" s="13"/>
      <c r="KNI1152" s="13"/>
      <c r="KNJ1152" s="13"/>
      <c r="KNK1152" s="13"/>
      <c r="KNL1152" s="13"/>
      <c r="KNM1152" s="13"/>
      <c r="KNN1152" s="13"/>
      <c r="KNO1152" s="13"/>
      <c r="KNP1152" s="13"/>
      <c r="KNQ1152" s="13"/>
      <c r="KNR1152" s="13"/>
      <c r="KNS1152" s="13"/>
      <c r="KNT1152" s="13"/>
      <c r="KNU1152" s="13"/>
      <c r="KNV1152" s="13"/>
      <c r="KNW1152" s="13"/>
      <c r="KNX1152" s="13"/>
      <c r="KNY1152" s="13"/>
      <c r="KNZ1152" s="13"/>
      <c r="KOA1152" s="13"/>
      <c r="KOB1152" s="13"/>
      <c r="KOC1152" s="13"/>
      <c r="KOD1152" s="13"/>
      <c r="KOE1152" s="13"/>
      <c r="KOF1152" s="13"/>
      <c r="KOG1152" s="13"/>
      <c r="KOH1152" s="13"/>
      <c r="KOI1152" s="13"/>
      <c r="KOJ1152" s="13"/>
      <c r="KOK1152" s="13"/>
      <c r="KOL1152" s="13"/>
      <c r="KOM1152" s="13"/>
      <c r="KON1152" s="13"/>
      <c r="KOO1152" s="13"/>
      <c r="KOP1152" s="13"/>
      <c r="KOQ1152" s="13"/>
      <c r="KOR1152" s="13"/>
      <c r="KOS1152" s="13"/>
      <c r="KOT1152" s="13"/>
      <c r="KOU1152" s="13"/>
      <c r="KOV1152" s="13"/>
      <c r="KOW1152" s="13"/>
      <c r="KOX1152" s="13"/>
      <c r="KOY1152" s="13"/>
      <c r="KOZ1152" s="13"/>
      <c r="KPA1152" s="13"/>
      <c r="KPB1152" s="13"/>
      <c r="KPC1152" s="13"/>
      <c r="KPD1152" s="13"/>
      <c r="KPE1152" s="13"/>
      <c r="KPF1152" s="13"/>
      <c r="KPG1152" s="13"/>
      <c r="KPH1152" s="13"/>
      <c r="KPI1152" s="13"/>
      <c r="KPJ1152" s="13"/>
      <c r="KPK1152" s="13"/>
      <c r="KPL1152" s="13"/>
      <c r="KPM1152" s="13"/>
      <c r="KPN1152" s="13"/>
      <c r="KPO1152" s="13"/>
      <c r="KPP1152" s="13"/>
      <c r="KPQ1152" s="13"/>
      <c r="KPR1152" s="13"/>
      <c r="KPS1152" s="13"/>
      <c r="KPT1152" s="13"/>
      <c r="KPU1152" s="13"/>
      <c r="KPV1152" s="13"/>
      <c r="KPW1152" s="13"/>
      <c r="KPX1152" s="13"/>
      <c r="KPY1152" s="13"/>
      <c r="KPZ1152" s="13"/>
      <c r="KQA1152" s="13"/>
      <c r="KQB1152" s="13"/>
      <c r="KQC1152" s="13"/>
      <c r="KQD1152" s="13"/>
      <c r="KQE1152" s="13"/>
      <c r="KQF1152" s="13"/>
      <c r="KQG1152" s="13"/>
      <c r="KQH1152" s="13"/>
      <c r="KQI1152" s="13"/>
      <c r="KQJ1152" s="13"/>
      <c r="KQK1152" s="13"/>
      <c r="KQL1152" s="13"/>
      <c r="KQM1152" s="13"/>
      <c r="KQN1152" s="13"/>
      <c r="KQO1152" s="13"/>
      <c r="KQP1152" s="13"/>
      <c r="KQQ1152" s="13"/>
      <c r="KQR1152" s="13"/>
      <c r="KQS1152" s="13"/>
      <c r="KQT1152" s="13"/>
      <c r="KQU1152" s="13"/>
      <c r="KQV1152" s="13"/>
      <c r="KQW1152" s="13"/>
      <c r="KQX1152" s="13"/>
      <c r="KQY1152" s="13"/>
      <c r="KQZ1152" s="13"/>
      <c r="KRA1152" s="13"/>
      <c r="KRB1152" s="13"/>
      <c r="KRC1152" s="13"/>
      <c r="KRD1152" s="13"/>
      <c r="KRE1152" s="13"/>
      <c r="KRF1152" s="13"/>
      <c r="KRG1152" s="13"/>
      <c r="KRH1152" s="13"/>
      <c r="KRI1152" s="13"/>
      <c r="KRJ1152" s="13"/>
      <c r="KRK1152" s="13"/>
      <c r="KRL1152" s="13"/>
      <c r="KRM1152" s="13"/>
      <c r="KRN1152" s="13"/>
      <c r="KRO1152" s="13"/>
      <c r="KRP1152" s="13"/>
      <c r="KRQ1152" s="13"/>
      <c r="KRR1152" s="13"/>
      <c r="KRS1152" s="13"/>
      <c r="KRT1152" s="13"/>
      <c r="KRU1152" s="13"/>
      <c r="KRV1152" s="13"/>
      <c r="KRW1152" s="13"/>
      <c r="KRX1152" s="13"/>
      <c r="KRY1152" s="13"/>
      <c r="KRZ1152" s="13"/>
      <c r="KSA1152" s="13"/>
      <c r="KSB1152" s="13"/>
      <c r="KSC1152" s="13"/>
      <c r="KSD1152" s="13"/>
      <c r="KSE1152" s="13"/>
      <c r="KSF1152" s="13"/>
      <c r="KSG1152" s="13"/>
      <c r="KSH1152" s="13"/>
      <c r="KSI1152" s="13"/>
      <c r="KSJ1152" s="13"/>
      <c r="KSK1152" s="13"/>
      <c r="KSL1152" s="13"/>
      <c r="KSM1152" s="13"/>
      <c r="KSN1152" s="13"/>
      <c r="KSO1152" s="13"/>
      <c r="KSP1152" s="13"/>
      <c r="KSQ1152" s="13"/>
      <c r="KSR1152" s="13"/>
      <c r="KSS1152" s="13"/>
      <c r="KST1152" s="13"/>
      <c r="KSU1152" s="13"/>
      <c r="KSV1152" s="13"/>
      <c r="KSW1152" s="13"/>
      <c r="KSX1152" s="13"/>
      <c r="KSY1152" s="13"/>
      <c r="KSZ1152" s="13"/>
      <c r="KTA1152" s="13"/>
      <c r="KTB1152" s="13"/>
      <c r="KTC1152" s="13"/>
      <c r="KTD1152" s="13"/>
      <c r="KTE1152" s="13"/>
      <c r="KTF1152" s="13"/>
      <c r="KTG1152" s="13"/>
      <c r="KTH1152" s="13"/>
      <c r="KTI1152" s="13"/>
      <c r="KTJ1152" s="13"/>
      <c r="KTK1152" s="13"/>
      <c r="KTL1152" s="13"/>
      <c r="KTM1152" s="13"/>
      <c r="KTN1152" s="13"/>
      <c r="KTO1152" s="13"/>
      <c r="KTP1152" s="13"/>
      <c r="KTQ1152" s="13"/>
      <c r="KTR1152" s="13"/>
      <c r="KTS1152" s="13"/>
      <c r="KTT1152" s="13"/>
      <c r="KTU1152" s="13"/>
      <c r="KTV1152" s="13"/>
      <c r="KTW1152" s="13"/>
      <c r="KTX1152" s="13"/>
      <c r="KTY1152" s="13"/>
      <c r="KTZ1152" s="13"/>
      <c r="KUA1152" s="13"/>
      <c r="KUB1152" s="13"/>
      <c r="KUC1152" s="13"/>
      <c r="KUD1152" s="13"/>
      <c r="KUE1152" s="13"/>
      <c r="KUF1152" s="13"/>
      <c r="KUG1152" s="13"/>
      <c r="KUH1152" s="13"/>
      <c r="KUI1152" s="13"/>
      <c r="KUJ1152" s="13"/>
      <c r="KUK1152" s="13"/>
      <c r="KUL1152" s="13"/>
      <c r="KUM1152" s="13"/>
      <c r="KUN1152" s="13"/>
      <c r="KUO1152" s="13"/>
      <c r="KUP1152" s="13"/>
      <c r="KUQ1152" s="13"/>
      <c r="KUR1152" s="13"/>
      <c r="KUS1152" s="13"/>
      <c r="KUT1152" s="13"/>
      <c r="KUU1152" s="13"/>
      <c r="KUV1152" s="13"/>
      <c r="KUW1152" s="13"/>
      <c r="KUX1152" s="13"/>
      <c r="KUY1152" s="13"/>
      <c r="KUZ1152" s="13"/>
      <c r="KVA1152" s="13"/>
      <c r="KVB1152" s="13"/>
      <c r="KVC1152" s="13"/>
      <c r="KVD1152" s="13"/>
      <c r="KVE1152" s="13"/>
      <c r="KVF1152" s="13"/>
      <c r="KVG1152" s="13"/>
      <c r="KVH1152" s="13"/>
      <c r="KVI1152" s="13"/>
      <c r="KVJ1152" s="13"/>
      <c r="KVK1152" s="13"/>
      <c r="KVL1152" s="13"/>
      <c r="KVM1152" s="13"/>
      <c r="KVN1152" s="13"/>
      <c r="KVO1152" s="13"/>
      <c r="KVP1152" s="13"/>
      <c r="KVQ1152" s="13"/>
      <c r="KVR1152" s="13"/>
      <c r="KVS1152" s="13"/>
      <c r="KVT1152" s="13"/>
      <c r="KVU1152" s="13"/>
      <c r="KVV1152" s="13"/>
      <c r="KVW1152" s="13"/>
      <c r="KVX1152" s="13"/>
      <c r="KVY1152" s="13"/>
      <c r="KVZ1152" s="13"/>
      <c r="KWA1152" s="13"/>
      <c r="KWB1152" s="13"/>
      <c r="KWC1152" s="13"/>
      <c r="KWD1152" s="13"/>
      <c r="KWE1152" s="13"/>
      <c r="KWF1152" s="13"/>
      <c r="KWG1152" s="13"/>
      <c r="KWH1152" s="13"/>
      <c r="KWI1152" s="13"/>
      <c r="KWJ1152" s="13"/>
      <c r="KWK1152" s="13"/>
      <c r="KWL1152" s="13"/>
      <c r="KWM1152" s="13"/>
      <c r="KWN1152" s="13"/>
      <c r="KWO1152" s="13"/>
      <c r="KWP1152" s="13"/>
      <c r="KWQ1152" s="13"/>
      <c r="KWR1152" s="13"/>
      <c r="KWS1152" s="13"/>
      <c r="KWT1152" s="13"/>
      <c r="KWU1152" s="13"/>
      <c r="KWV1152" s="13"/>
      <c r="KWW1152" s="13"/>
      <c r="KWX1152" s="13"/>
      <c r="KWY1152" s="13"/>
      <c r="KWZ1152" s="13"/>
      <c r="KXA1152" s="13"/>
      <c r="KXB1152" s="13"/>
      <c r="KXC1152" s="13"/>
      <c r="KXD1152" s="13"/>
      <c r="KXE1152" s="13"/>
      <c r="KXF1152" s="13"/>
      <c r="KXG1152" s="13"/>
      <c r="KXH1152" s="13"/>
      <c r="KXI1152" s="13"/>
      <c r="KXJ1152" s="13"/>
      <c r="KXK1152" s="13"/>
      <c r="KXL1152" s="13"/>
      <c r="KXM1152" s="13"/>
      <c r="KXN1152" s="13"/>
      <c r="KXO1152" s="13"/>
      <c r="KXP1152" s="13"/>
      <c r="KXQ1152" s="13"/>
      <c r="KXR1152" s="13"/>
      <c r="KXS1152" s="13"/>
      <c r="KXT1152" s="13"/>
      <c r="KXU1152" s="13"/>
      <c r="KXV1152" s="13"/>
      <c r="KXW1152" s="13"/>
      <c r="KXX1152" s="13"/>
      <c r="KXY1152" s="13"/>
      <c r="KXZ1152" s="13"/>
      <c r="KYA1152" s="13"/>
      <c r="KYB1152" s="13"/>
      <c r="KYC1152" s="13"/>
      <c r="KYD1152" s="13"/>
      <c r="KYE1152" s="13"/>
      <c r="KYF1152" s="13"/>
      <c r="KYG1152" s="13"/>
      <c r="KYH1152" s="13"/>
      <c r="KYI1152" s="13"/>
      <c r="KYJ1152" s="13"/>
      <c r="KYK1152" s="13"/>
      <c r="KYL1152" s="13"/>
      <c r="KYM1152" s="13"/>
      <c r="KYN1152" s="13"/>
      <c r="KYO1152" s="13"/>
      <c r="KYP1152" s="13"/>
      <c r="KYQ1152" s="13"/>
      <c r="KYR1152" s="13"/>
      <c r="KYS1152" s="13"/>
      <c r="KYT1152" s="13"/>
      <c r="KYU1152" s="13"/>
      <c r="KYV1152" s="13"/>
      <c r="KYW1152" s="13"/>
      <c r="KYX1152" s="13"/>
      <c r="KYY1152" s="13"/>
      <c r="KYZ1152" s="13"/>
      <c r="KZA1152" s="13"/>
      <c r="KZB1152" s="13"/>
      <c r="KZC1152" s="13"/>
      <c r="KZD1152" s="13"/>
      <c r="KZE1152" s="13"/>
      <c r="KZF1152" s="13"/>
      <c r="KZG1152" s="13"/>
      <c r="KZH1152" s="13"/>
      <c r="KZI1152" s="13"/>
      <c r="KZJ1152" s="13"/>
      <c r="KZK1152" s="13"/>
      <c r="KZL1152" s="13"/>
      <c r="KZM1152" s="13"/>
      <c r="KZN1152" s="13"/>
      <c r="KZO1152" s="13"/>
      <c r="KZP1152" s="13"/>
      <c r="KZQ1152" s="13"/>
      <c r="KZR1152" s="13"/>
      <c r="KZS1152" s="13"/>
      <c r="KZT1152" s="13"/>
      <c r="KZU1152" s="13"/>
      <c r="KZV1152" s="13"/>
      <c r="KZW1152" s="13"/>
      <c r="KZX1152" s="13"/>
      <c r="KZY1152" s="13"/>
      <c r="KZZ1152" s="13"/>
      <c r="LAA1152" s="13"/>
      <c r="LAB1152" s="13"/>
      <c r="LAC1152" s="13"/>
      <c r="LAD1152" s="13"/>
      <c r="LAE1152" s="13"/>
      <c r="LAF1152" s="13"/>
      <c r="LAG1152" s="13"/>
      <c r="LAH1152" s="13"/>
      <c r="LAI1152" s="13"/>
      <c r="LAJ1152" s="13"/>
      <c r="LAK1152" s="13"/>
      <c r="LAL1152" s="13"/>
      <c r="LAM1152" s="13"/>
      <c r="LAN1152" s="13"/>
      <c r="LAO1152" s="13"/>
      <c r="LAP1152" s="13"/>
      <c r="LAQ1152" s="13"/>
      <c r="LAR1152" s="13"/>
      <c r="LAS1152" s="13"/>
      <c r="LAT1152" s="13"/>
      <c r="LAU1152" s="13"/>
      <c r="LAV1152" s="13"/>
      <c r="LAW1152" s="13"/>
      <c r="LAX1152" s="13"/>
      <c r="LAY1152" s="13"/>
      <c r="LAZ1152" s="13"/>
      <c r="LBA1152" s="13"/>
      <c r="LBB1152" s="13"/>
      <c r="LBC1152" s="13"/>
      <c r="LBD1152" s="13"/>
      <c r="LBE1152" s="13"/>
      <c r="LBF1152" s="13"/>
      <c r="LBG1152" s="13"/>
      <c r="LBH1152" s="13"/>
      <c r="LBI1152" s="13"/>
      <c r="LBJ1152" s="13"/>
      <c r="LBK1152" s="13"/>
      <c r="LBL1152" s="13"/>
      <c r="LBM1152" s="13"/>
      <c r="LBN1152" s="13"/>
      <c r="LBO1152" s="13"/>
      <c r="LBP1152" s="13"/>
      <c r="LBQ1152" s="13"/>
      <c r="LBR1152" s="13"/>
      <c r="LBS1152" s="13"/>
      <c r="LBT1152" s="13"/>
      <c r="LBU1152" s="13"/>
      <c r="LBV1152" s="13"/>
      <c r="LBW1152" s="13"/>
      <c r="LBX1152" s="13"/>
      <c r="LBY1152" s="13"/>
      <c r="LBZ1152" s="13"/>
      <c r="LCA1152" s="13"/>
      <c r="LCB1152" s="13"/>
      <c r="LCC1152" s="13"/>
      <c r="LCD1152" s="13"/>
      <c r="LCE1152" s="13"/>
      <c r="LCF1152" s="13"/>
      <c r="LCG1152" s="13"/>
      <c r="LCH1152" s="13"/>
      <c r="LCI1152" s="13"/>
      <c r="LCJ1152" s="13"/>
      <c r="LCK1152" s="13"/>
      <c r="LCL1152" s="13"/>
      <c r="LCM1152" s="13"/>
      <c r="LCN1152" s="13"/>
      <c r="LCO1152" s="13"/>
      <c r="LCP1152" s="13"/>
      <c r="LCQ1152" s="13"/>
      <c r="LCR1152" s="13"/>
      <c r="LCS1152" s="13"/>
      <c r="LCT1152" s="13"/>
      <c r="LCU1152" s="13"/>
      <c r="LCV1152" s="13"/>
      <c r="LCW1152" s="13"/>
      <c r="LCX1152" s="13"/>
      <c r="LCY1152" s="13"/>
      <c r="LCZ1152" s="13"/>
      <c r="LDA1152" s="13"/>
      <c r="LDB1152" s="13"/>
      <c r="LDC1152" s="13"/>
      <c r="LDD1152" s="13"/>
      <c r="LDE1152" s="13"/>
      <c r="LDF1152" s="13"/>
      <c r="LDG1152" s="13"/>
      <c r="LDH1152" s="13"/>
      <c r="LDI1152" s="13"/>
      <c r="LDJ1152" s="13"/>
      <c r="LDK1152" s="13"/>
      <c r="LDL1152" s="13"/>
      <c r="LDM1152" s="13"/>
      <c r="LDN1152" s="13"/>
      <c r="LDO1152" s="13"/>
      <c r="LDP1152" s="13"/>
      <c r="LDQ1152" s="13"/>
      <c r="LDR1152" s="13"/>
      <c r="LDS1152" s="13"/>
      <c r="LDT1152" s="13"/>
      <c r="LDU1152" s="13"/>
      <c r="LDV1152" s="13"/>
      <c r="LDW1152" s="13"/>
      <c r="LDX1152" s="13"/>
      <c r="LDY1152" s="13"/>
      <c r="LDZ1152" s="13"/>
      <c r="LEA1152" s="13"/>
      <c r="LEB1152" s="13"/>
      <c r="LEC1152" s="13"/>
      <c r="LED1152" s="13"/>
      <c r="LEE1152" s="13"/>
      <c r="LEF1152" s="13"/>
      <c r="LEG1152" s="13"/>
      <c r="LEH1152" s="13"/>
      <c r="LEI1152" s="13"/>
      <c r="LEJ1152" s="13"/>
      <c r="LEK1152" s="13"/>
      <c r="LEL1152" s="13"/>
      <c r="LEM1152" s="13"/>
      <c r="LEN1152" s="13"/>
      <c r="LEO1152" s="13"/>
      <c r="LEP1152" s="13"/>
      <c r="LEQ1152" s="13"/>
      <c r="LER1152" s="13"/>
      <c r="LES1152" s="13"/>
      <c r="LET1152" s="13"/>
      <c r="LEU1152" s="13"/>
      <c r="LEV1152" s="13"/>
      <c r="LEW1152" s="13"/>
      <c r="LEX1152" s="13"/>
      <c r="LEY1152" s="13"/>
      <c r="LEZ1152" s="13"/>
      <c r="LFA1152" s="13"/>
      <c r="LFB1152" s="13"/>
      <c r="LFC1152" s="13"/>
      <c r="LFD1152" s="13"/>
      <c r="LFE1152" s="13"/>
      <c r="LFF1152" s="13"/>
      <c r="LFG1152" s="13"/>
      <c r="LFH1152" s="13"/>
      <c r="LFI1152" s="13"/>
      <c r="LFJ1152" s="13"/>
      <c r="LFK1152" s="13"/>
      <c r="LFL1152" s="13"/>
      <c r="LFM1152" s="13"/>
      <c r="LFN1152" s="13"/>
      <c r="LFO1152" s="13"/>
      <c r="LFP1152" s="13"/>
      <c r="LFQ1152" s="13"/>
      <c r="LFR1152" s="13"/>
      <c r="LFS1152" s="13"/>
      <c r="LFT1152" s="13"/>
      <c r="LFU1152" s="13"/>
      <c r="LFV1152" s="13"/>
      <c r="LFW1152" s="13"/>
      <c r="LFX1152" s="13"/>
      <c r="LFY1152" s="13"/>
      <c r="LFZ1152" s="13"/>
      <c r="LGA1152" s="13"/>
      <c r="LGB1152" s="13"/>
      <c r="LGC1152" s="13"/>
      <c r="LGD1152" s="13"/>
      <c r="LGE1152" s="13"/>
      <c r="LGF1152" s="13"/>
      <c r="LGG1152" s="13"/>
      <c r="LGH1152" s="13"/>
      <c r="LGI1152" s="13"/>
      <c r="LGJ1152" s="13"/>
      <c r="LGK1152" s="13"/>
      <c r="LGL1152" s="13"/>
      <c r="LGM1152" s="13"/>
      <c r="LGN1152" s="13"/>
      <c r="LGO1152" s="13"/>
      <c r="LGP1152" s="13"/>
      <c r="LGQ1152" s="13"/>
      <c r="LGR1152" s="13"/>
      <c r="LGS1152" s="13"/>
      <c r="LGT1152" s="13"/>
      <c r="LGU1152" s="13"/>
      <c r="LGV1152" s="13"/>
      <c r="LGW1152" s="13"/>
      <c r="LGX1152" s="13"/>
      <c r="LGY1152" s="13"/>
      <c r="LGZ1152" s="13"/>
      <c r="LHA1152" s="13"/>
      <c r="LHB1152" s="13"/>
      <c r="LHC1152" s="13"/>
      <c r="LHD1152" s="13"/>
      <c r="LHE1152" s="13"/>
      <c r="LHF1152" s="13"/>
      <c r="LHG1152" s="13"/>
      <c r="LHH1152" s="13"/>
      <c r="LHI1152" s="13"/>
      <c r="LHJ1152" s="13"/>
      <c r="LHK1152" s="13"/>
      <c r="LHL1152" s="13"/>
      <c r="LHM1152" s="13"/>
      <c r="LHN1152" s="13"/>
      <c r="LHO1152" s="13"/>
      <c r="LHP1152" s="13"/>
      <c r="LHQ1152" s="13"/>
      <c r="LHR1152" s="13"/>
      <c r="LHS1152" s="13"/>
      <c r="LHT1152" s="13"/>
      <c r="LHU1152" s="13"/>
      <c r="LHV1152" s="13"/>
      <c r="LHW1152" s="13"/>
      <c r="LHX1152" s="13"/>
      <c r="LHY1152" s="13"/>
      <c r="LHZ1152" s="13"/>
      <c r="LIA1152" s="13"/>
      <c r="LIB1152" s="13"/>
      <c r="LIC1152" s="13"/>
      <c r="LID1152" s="13"/>
      <c r="LIE1152" s="13"/>
      <c r="LIF1152" s="13"/>
      <c r="LIG1152" s="13"/>
      <c r="LIH1152" s="13"/>
      <c r="LII1152" s="13"/>
      <c r="LIJ1152" s="13"/>
      <c r="LIK1152" s="13"/>
      <c r="LIL1152" s="13"/>
      <c r="LIM1152" s="13"/>
      <c r="LIN1152" s="13"/>
      <c r="LIO1152" s="13"/>
      <c r="LIP1152" s="13"/>
      <c r="LIQ1152" s="13"/>
      <c r="LIR1152" s="13"/>
      <c r="LIS1152" s="13"/>
      <c r="LIT1152" s="13"/>
      <c r="LIU1152" s="13"/>
      <c r="LIV1152" s="13"/>
      <c r="LIW1152" s="13"/>
      <c r="LIX1152" s="13"/>
      <c r="LIY1152" s="13"/>
      <c r="LIZ1152" s="13"/>
      <c r="LJA1152" s="13"/>
      <c r="LJB1152" s="13"/>
      <c r="LJC1152" s="13"/>
      <c r="LJD1152" s="13"/>
      <c r="LJE1152" s="13"/>
      <c r="LJF1152" s="13"/>
      <c r="LJG1152" s="13"/>
      <c r="LJH1152" s="13"/>
      <c r="LJI1152" s="13"/>
      <c r="LJJ1152" s="13"/>
      <c r="LJK1152" s="13"/>
      <c r="LJL1152" s="13"/>
      <c r="LJM1152" s="13"/>
      <c r="LJN1152" s="13"/>
      <c r="LJO1152" s="13"/>
      <c r="LJP1152" s="13"/>
      <c r="LJQ1152" s="13"/>
      <c r="LJR1152" s="13"/>
      <c r="LJS1152" s="13"/>
      <c r="LJT1152" s="13"/>
      <c r="LJU1152" s="13"/>
      <c r="LJV1152" s="13"/>
      <c r="LJW1152" s="13"/>
      <c r="LJX1152" s="13"/>
      <c r="LJY1152" s="13"/>
      <c r="LJZ1152" s="13"/>
      <c r="LKA1152" s="13"/>
      <c r="LKB1152" s="13"/>
      <c r="LKC1152" s="13"/>
      <c r="LKD1152" s="13"/>
      <c r="LKE1152" s="13"/>
      <c r="LKF1152" s="13"/>
      <c r="LKG1152" s="13"/>
      <c r="LKH1152" s="13"/>
      <c r="LKI1152" s="13"/>
      <c r="LKJ1152" s="13"/>
      <c r="LKK1152" s="13"/>
      <c r="LKL1152" s="13"/>
      <c r="LKM1152" s="13"/>
      <c r="LKN1152" s="13"/>
      <c r="LKO1152" s="13"/>
      <c r="LKP1152" s="13"/>
      <c r="LKQ1152" s="13"/>
      <c r="LKR1152" s="13"/>
      <c r="LKS1152" s="13"/>
      <c r="LKT1152" s="13"/>
      <c r="LKU1152" s="13"/>
      <c r="LKV1152" s="13"/>
      <c r="LKW1152" s="13"/>
      <c r="LKX1152" s="13"/>
      <c r="LKY1152" s="13"/>
      <c r="LKZ1152" s="13"/>
      <c r="LLA1152" s="13"/>
      <c r="LLB1152" s="13"/>
      <c r="LLC1152" s="13"/>
      <c r="LLD1152" s="13"/>
      <c r="LLE1152" s="13"/>
      <c r="LLF1152" s="13"/>
      <c r="LLG1152" s="13"/>
      <c r="LLH1152" s="13"/>
      <c r="LLI1152" s="13"/>
      <c r="LLJ1152" s="13"/>
      <c r="LLK1152" s="13"/>
      <c r="LLL1152" s="13"/>
      <c r="LLM1152" s="13"/>
      <c r="LLN1152" s="13"/>
      <c r="LLO1152" s="13"/>
      <c r="LLP1152" s="13"/>
      <c r="LLQ1152" s="13"/>
      <c r="LLR1152" s="13"/>
      <c r="LLS1152" s="13"/>
      <c r="LLT1152" s="13"/>
      <c r="LLU1152" s="13"/>
      <c r="LLV1152" s="13"/>
      <c r="LLW1152" s="13"/>
      <c r="LLX1152" s="13"/>
      <c r="LLY1152" s="13"/>
      <c r="LLZ1152" s="13"/>
      <c r="LMA1152" s="13"/>
      <c r="LMB1152" s="13"/>
      <c r="LMC1152" s="13"/>
      <c r="LMD1152" s="13"/>
      <c r="LME1152" s="13"/>
      <c r="LMF1152" s="13"/>
      <c r="LMG1152" s="13"/>
      <c r="LMH1152" s="13"/>
      <c r="LMI1152" s="13"/>
      <c r="LMJ1152" s="13"/>
      <c r="LMK1152" s="13"/>
      <c r="LML1152" s="13"/>
      <c r="LMM1152" s="13"/>
      <c r="LMN1152" s="13"/>
      <c r="LMO1152" s="13"/>
      <c r="LMP1152" s="13"/>
      <c r="LMQ1152" s="13"/>
      <c r="LMR1152" s="13"/>
      <c r="LMS1152" s="13"/>
      <c r="LMT1152" s="13"/>
      <c r="LMU1152" s="13"/>
      <c r="LMV1152" s="13"/>
      <c r="LMW1152" s="13"/>
      <c r="LMX1152" s="13"/>
      <c r="LMY1152" s="13"/>
      <c r="LMZ1152" s="13"/>
      <c r="LNA1152" s="13"/>
      <c r="LNB1152" s="13"/>
      <c r="LNC1152" s="13"/>
      <c r="LND1152" s="13"/>
      <c r="LNE1152" s="13"/>
      <c r="LNF1152" s="13"/>
      <c r="LNG1152" s="13"/>
      <c r="LNH1152" s="13"/>
      <c r="LNI1152" s="13"/>
      <c r="LNJ1152" s="13"/>
      <c r="LNK1152" s="13"/>
      <c r="LNL1152" s="13"/>
      <c r="LNM1152" s="13"/>
      <c r="LNN1152" s="13"/>
      <c r="LNO1152" s="13"/>
      <c r="LNP1152" s="13"/>
      <c r="LNQ1152" s="13"/>
      <c r="LNR1152" s="13"/>
      <c r="LNS1152" s="13"/>
      <c r="LNT1152" s="13"/>
      <c r="LNU1152" s="13"/>
      <c r="LNV1152" s="13"/>
      <c r="LNW1152" s="13"/>
      <c r="LNX1152" s="13"/>
      <c r="LNY1152" s="13"/>
      <c r="LNZ1152" s="13"/>
      <c r="LOA1152" s="13"/>
      <c r="LOB1152" s="13"/>
      <c r="LOC1152" s="13"/>
      <c r="LOD1152" s="13"/>
      <c r="LOE1152" s="13"/>
      <c r="LOF1152" s="13"/>
      <c r="LOG1152" s="13"/>
      <c r="LOH1152" s="13"/>
      <c r="LOI1152" s="13"/>
      <c r="LOJ1152" s="13"/>
      <c r="LOK1152" s="13"/>
      <c r="LOL1152" s="13"/>
      <c r="LOM1152" s="13"/>
      <c r="LON1152" s="13"/>
      <c r="LOO1152" s="13"/>
      <c r="LOP1152" s="13"/>
      <c r="LOQ1152" s="13"/>
      <c r="LOR1152" s="13"/>
      <c r="LOS1152" s="13"/>
      <c r="LOT1152" s="13"/>
      <c r="LOU1152" s="13"/>
      <c r="LOV1152" s="13"/>
      <c r="LOW1152" s="13"/>
      <c r="LOX1152" s="13"/>
      <c r="LOY1152" s="13"/>
      <c r="LOZ1152" s="13"/>
      <c r="LPA1152" s="13"/>
      <c r="LPB1152" s="13"/>
      <c r="LPC1152" s="13"/>
      <c r="LPD1152" s="13"/>
      <c r="LPE1152" s="13"/>
      <c r="LPF1152" s="13"/>
      <c r="LPG1152" s="13"/>
      <c r="LPH1152" s="13"/>
      <c r="LPI1152" s="13"/>
      <c r="LPJ1152" s="13"/>
      <c r="LPK1152" s="13"/>
      <c r="LPL1152" s="13"/>
      <c r="LPM1152" s="13"/>
      <c r="LPN1152" s="13"/>
      <c r="LPO1152" s="13"/>
      <c r="LPP1152" s="13"/>
      <c r="LPQ1152" s="13"/>
      <c r="LPR1152" s="13"/>
      <c r="LPS1152" s="13"/>
      <c r="LPT1152" s="13"/>
      <c r="LPU1152" s="13"/>
      <c r="LPV1152" s="13"/>
      <c r="LPW1152" s="13"/>
      <c r="LPX1152" s="13"/>
      <c r="LPY1152" s="13"/>
      <c r="LPZ1152" s="13"/>
      <c r="LQA1152" s="13"/>
      <c r="LQB1152" s="13"/>
      <c r="LQC1152" s="13"/>
      <c r="LQD1152" s="13"/>
      <c r="LQE1152" s="13"/>
      <c r="LQF1152" s="13"/>
      <c r="LQG1152" s="13"/>
      <c r="LQH1152" s="13"/>
      <c r="LQI1152" s="13"/>
      <c r="LQJ1152" s="13"/>
      <c r="LQK1152" s="13"/>
      <c r="LQL1152" s="13"/>
      <c r="LQM1152" s="13"/>
      <c r="LQN1152" s="13"/>
      <c r="LQO1152" s="13"/>
      <c r="LQP1152" s="13"/>
      <c r="LQQ1152" s="13"/>
      <c r="LQR1152" s="13"/>
      <c r="LQS1152" s="13"/>
      <c r="LQT1152" s="13"/>
      <c r="LQU1152" s="13"/>
      <c r="LQV1152" s="13"/>
      <c r="LQW1152" s="13"/>
      <c r="LQX1152" s="13"/>
      <c r="LQY1152" s="13"/>
      <c r="LQZ1152" s="13"/>
      <c r="LRA1152" s="13"/>
      <c r="LRB1152" s="13"/>
      <c r="LRC1152" s="13"/>
      <c r="LRD1152" s="13"/>
      <c r="LRE1152" s="13"/>
      <c r="LRF1152" s="13"/>
      <c r="LRG1152" s="13"/>
      <c r="LRH1152" s="13"/>
      <c r="LRI1152" s="13"/>
      <c r="LRJ1152" s="13"/>
      <c r="LRK1152" s="13"/>
      <c r="LRL1152" s="13"/>
      <c r="LRM1152" s="13"/>
      <c r="LRN1152" s="13"/>
      <c r="LRO1152" s="13"/>
      <c r="LRP1152" s="13"/>
      <c r="LRQ1152" s="13"/>
      <c r="LRR1152" s="13"/>
      <c r="LRS1152" s="13"/>
      <c r="LRT1152" s="13"/>
      <c r="LRU1152" s="13"/>
      <c r="LRV1152" s="13"/>
      <c r="LRW1152" s="13"/>
      <c r="LRX1152" s="13"/>
      <c r="LRY1152" s="13"/>
      <c r="LRZ1152" s="13"/>
      <c r="LSA1152" s="13"/>
      <c r="LSB1152" s="13"/>
      <c r="LSC1152" s="13"/>
      <c r="LSD1152" s="13"/>
      <c r="LSE1152" s="13"/>
      <c r="LSF1152" s="13"/>
      <c r="LSG1152" s="13"/>
      <c r="LSH1152" s="13"/>
      <c r="LSI1152" s="13"/>
      <c r="LSJ1152" s="13"/>
      <c r="LSK1152" s="13"/>
      <c r="LSL1152" s="13"/>
      <c r="LSM1152" s="13"/>
      <c r="LSN1152" s="13"/>
      <c r="LSO1152" s="13"/>
      <c r="LSP1152" s="13"/>
      <c r="LSQ1152" s="13"/>
      <c r="LSR1152" s="13"/>
      <c r="LSS1152" s="13"/>
      <c r="LST1152" s="13"/>
      <c r="LSU1152" s="13"/>
      <c r="LSV1152" s="13"/>
      <c r="LSW1152" s="13"/>
      <c r="LSX1152" s="13"/>
      <c r="LSY1152" s="13"/>
      <c r="LSZ1152" s="13"/>
      <c r="LTA1152" s="13"/>
      <c r="LTB1152" s="13"/>
      <c r="LTC1152" s="13"/>
      <c r="LTD1152" s="13"/>
      <c r="LTE1152" s="13"/>
      <c r="LTF1152" s="13"/>
      <c r="LTG1152" s="13"/>
      <c r="LTH1152" s="13"/>
      <c r="LTI1152" s="13"/>
      <c r="LTJ1152" s="13"/>
      <c r="LTK1152" s="13"/>
      <c r="LTL1152" s="13"/>
      <c r="LTM1152" s="13"/>
      <c r="LTN1152" s="13"/>
      <c r="LTO1152" s="13"/>
      <c r="LTP1152" s="13"/>
      <c r="LTQ1152" s="13"/>
      <c r="LTR1152" s="13"/>
      <c r="LTS1152" s="13"/>
      <c r="LTT1152" s="13"/>
      <c r="LTU1152" s="13"/>
      <c r="LTV1152" s="13"/>
      <c r="LTW1152" s="13"/>
      <c r="LTX1152" s="13"/>
      <c r="LTY1152" s="13"/>
      <c r="LTZ1152" s="13"/>
      <c r="LUA1152" s="13"/>
      <c r="LUB1152" s="13"/>
      <c r="LUC1152" s="13"/>
      <c r="LUD1152" s="13"/>
      <c r="LUE1152" s="13"/>
      <c r="LUF1152" s="13"/>
      <c r="LUG1152" s="13"/>
      <c r="LUH1152" s="13"/>
      <c r="LUI1152" s="13"/>
      <c r="LUJ1152" s="13"/>
      <c r="LUK1152" s="13"/>
      <c r="LUL1152" s="13"/>
      <c r="LUM1152" s="13"/>
      <c r="LUN1152" s="13"/>
      <c r="LUO1152" s="13"/>
      <c r="LUP1152" s="13"/>
      <c r="LUQ1152" s="13"/>
      <c r="LUR1152" s="13"/>
      <c r="LUS1152" s="13"/>
      <c r="LUT1152" s="13"/>
      <c r="LUU1152" s="13"/>
      <c r="LUV1152" s="13"/>
      <c r="LUW1152" s="13"/>
      <c r="LUX1152" s="13"/>
      <c r="LUY1152" s="13"/>
      <c r="LUZ1152" s="13"/>
      <c r="LVA1152" s="13"/>
      <c r="LVB1152" s="13"/>
      <c r="LVC1152" s="13"/>
      <c r="LVD1152" s="13"/>
      <c r="LVE1152" s="13"/>
      <c r="LVF1152" s="13"/>
      <c r="LVG1152" s="13"/>
      <c r="LVH1152" s="13"/>
      <c r="LVI1152" s="13"/>
      <c r="LVJ1152" s="13"/>
      <c r="LVK1152" s="13"/>
      <c r="LVL1152" s="13"/>
      <c r="LVM1152" s="13"/>
      <c r="LVN1152" s="13"/>
      <c r="LVO1152" s="13"/>
      <c r="LVP1152" s="13"/>
      <c r="LVQ1152" s="13"/>
      <c r="LVR1152" s="13"/>
      <c r="LVS1152" s="13"/>
      <c r="LVT1152" s="13"/>
      <c r="LVU1152" s="13"/>
      <c r="LVV1152" s="13"/>
      <c r="LVW1152" s="13"/>
      <c r="LVX1152" s="13"/>
      <c r="LVY1152" s="13"/>
      <c r="LVZ1152" s="13"/>
      <c r="LWA1152" s="13"/>
      <c r="LWB1152" s="13"/>
      <c r="LWC1152" s="13"/>
      <c r="LWD1152" s="13"/>
      <c r="LWE1152" s="13"/>
      <c r="LWF1152" s="13"/>
      <c r="LWG1152" s="13"/>
      <c r="LWH1152" s="13"/>
      <c r="LWI1152" s="13"/>
      <c r="LWJ1152" s="13"/>
      <c r="LWK1152" s="13"/>
      <c r="LWL1152" s="13"/>
      <c r="LWM1152" s="13"/>
      <c r="LWN1152" s="13"/>
      <c r="LWO1152" s="13"/>
      <c r="LWP1152" s="13"/>
      <c r="LWQ1152" s="13"/>
      <c r="LWR1152" s="13"/>
      <c r="LWS1152" s="13"/>
      <c r="LWT1152" s="13"/>
      <c r="LWU1152" s="13"/>
      <c r="LWV1152" s="13"/>
      <c r="LWW1152" s="13"/>
      <c r="LWX1152" s="13"/>
      <c r="LWY1152" s="13"/>
      <c r="LWZ1152" s="13"/>
      <c r="LXA1152" s="13"/>
      <c r="LXB1152" s="13"/>
      <c r="LXC1152" s="13"/>
      <c r="LXD1152" s="13"/>
      <c r="LXE1152" s="13"/>
      <c r="LXF1152" s="13"/>
      <c r="LXG1152" s="13"/>
      <c r="LXH1152" s="13"/>
      <c r="LXI1152" s="13"/>
      <c r="LXJ1152" s="13"/>
      <c r="LXK1152" s="13"/>
      <c r="LXL1152" s="13"/>
      <c r="LXM1152" s="13"/>
      <c r="LXN1152" s="13"/>
      <c r="LXO1152" s="13"/>
      <c r="LXP1152" s="13"/>
      <c r="LXQ1152" s="13"/>
      <c r="LXR1152" s="13"/>
      <c r="LXS1152" s="13"/>
      <c r="LXT1152" s="13"/>
      <c r="LXU1152" s="13"/>
      <c r="LXV1152" s="13"/>
      <c r="LXW1152" s="13"/>
      <c r="LXX1152" s="13"/>
      <c r="LXY1152" s="13"/>
      <c r="LXZ1152" s="13"/>
      <c r="LYA1152" s="13"/>
      <c r="LYB1152" s="13"/>
      <c r="LYC1152" s="13"/>
      <c r="LYD1152" s="13"/>
      <c r="LYE1152" s="13"/>
      <c r="LYF1152" s="13"/>
      <c r="LYG1152" s="13"/>
      <c r="LYH1152" s="13"/>
      <c r="LYI1152" s="13"/>
      <c r="LYJ1152" s="13"/>
      <c r="LYK1152" s="13"/>
      <c r="LYL1152" s="13"/>
      <c r="LYM1152" s="13"/>
      <c r="LYN1152" s="13"/>
      <c r="LYO1152" s="13"/>
      <c r="LYP1152" s="13"/>
      <c r="LYQ1152" s="13"/>
      <c r="LYR1152" s="13"/>
      <c r="LYS1152" s="13"/>
      <c r="LYT1152" s="13"/>
      <c r="LYU1152" s="13"/>
      <c r="LYV1152" s="13"/>
      <c r="LYW1152" s="13"/>
      <c r="LYX1152" s="13"/>
      <c r="LYY1152" s="13"/>
      <c r="LYZ1152" s="13"/>
      <c r="LZA1152" s="13"/>
      <c r="LZB1152" s="13"/>
      <c r="LZC1152" s="13"/>
      <c r="LZD1152" s="13"/>
      <c r="LZE1152" s="13"/>
      <c r="LZF1152" s="13"/>
      <c r="LZG1152" s="13"/>
      <c r="LZH1152" s="13"/>
      <c r="LZI1152" s="13"/>
      <c r="LZJ1152" s="13"/>
      <c r="LZK1152" s="13"/>
      <c r="LZL1152" s="13"/>
      <c r="LZM1152" s="13"/>
      <c r="LZN1152" s="13"/>
      <c r="LZO1152" s="13"/>
      <c r="LZP1152" s="13"/>
      <c r="LZQ1152" s="13"/>
      <c r="LZR1152" s="13"/>
      <c r="LZS1152" s="13"/>
      <c r="LZT1152" s="13"/>
      <c r="LZU1152" s="13"/>
      <c r="LZV1152" s="13"/>
      <c r="LZW1152" s="13"/>
      <c r="LZX1152" s="13"/>
      <c r="LZY1152" s="13"/>
      <c r="LZZ1152" s="13"/>
      <c r="MAA1152" s="13"/>
      <c r="MAB1152" s="13"/>
      <c r="MAC1152" s="13"/>
      <c r="MAD1152" s="13"/>
      <c r="MAE1152" s="13"/>
      <c r="MAF1152" s="13"/>
      <c r="MAG1152" s="13"/>
      <c r="MAH1152" s="13"/>
      <c r="MAI1152" s="13"/>
      <c r="MAJ1152" s="13"/>
      <c r="MAK1152" s="13"/>
      <c r="MAL1152" s="13"/>
      <c r="MAM1152" s="13"/>
      <c r="MAN1152" s="13"/>
      <c r="MAO1152" s="13"/>
      <c r="MAP1152" s="13"/>
      <c r="MAQ1152" s="13"/>
      <c r="MAR1152" s="13"/>
      <c r="MAS1152" s="13"/>
      <c r="MAT1152" s="13"/>
      <c r="MAU1152" s="13"/>
      <c r="MAV1152" s="13"/>
      <c r="MAW1152" s="13"/>
      <c r="MAX1152" s="13"/>
      <c r="MAY1152" s="13"/>
      <c r="MAZ1152" s="13"/>
      <c r="MBA1152" s="13"/>
      <c r="MBB1152" s="13"/>
      <c r="MBC1152" s="13"/>
      <c r="MBD1152" s="13"/>
      <c r="MBE1152" s="13"/>
      <c r="MBF1152" s="13"/>
      <c r="MBG1152" s="13"/>
      <c r="MBH1152" s="13"/>
      <c r="MBI1152" s="13"/>
      <c r="MBJ1152" s="13"/>
      <c r="MBK1152" s="13"/>
      <c r="MBL1152" s="13"/>
      <c r="MBM1152" s="13"/>
      <c r="MBN1152" s="13"/>
      <c r="MBO1152" s="13"/>
      <c r="MBP1152" s="13"/>
      <c r="MBQ1152" s="13"/>
      <c r="MBR1152" s="13"/>
      <c r="MBS1152" s="13"/>
      <c r="MBT1152" s="13"/>
      <c r="MBU1152" s="13"/>
      <c r="MBV1152" s="13"/>
      <c r="MBW1152" s="13"/>
      <c r="MBX1152" s="13"/>
      <c r="MBY1152" s="13"/>
      <c r="MBZ1152" s="13"/>
      <c r="MCA1152" s="13"/>
      <c r="MCB1152" s="13"/>
      <c r="MCC1152" s="13"/>
      <c r="MCD1152" s="13"/>
      <c r="MCE1152" s="13"/>
      <c r="MCF1152" s="13"/>
      <c r="MCG1152" s="13"/>
      <c r="MCH1152" s="13"/>
      <c r="MCI1152" s="13"/>
      <c r="MCJ1152" s="13"/>
      <c r="MCK1152" s="13"/>
      <c r="MCL1152" s="13"/>
      <c r="MCM1152" s="13"/>
      <c r="MCN1152" s="13"/>
      <c r="MCO1152" s="13"/>
      <c r="MCP1152" s="13"/>
      <c r="MCQ1152" s="13"/>
      <c r="MCR1152" s="13"/>
      <c r="MCS1152" s="13"/>
      <c r="MCT1152" s="13"/>
      <c r="MCU1152" s="13"/>
      <c r="MCV1152" s="13"/>
      <c r="MCW1152" s="13"/>
      <c r="MCX1152" s="13"/>
      <c r="MCY1152" s="13"/>
      <c r="MCZ1152" s="13"/>
      <c r="MDA1152" s="13"/>
      <c r="MDB1152" s="13"/>
      <c r="MDC1152" s="13"/>
      <c r="MDD1152" s="13"/>
      <c r="MDE1152" s="13"/>
      <c r="MDF1152" s="13"/>
      <c r="MDG1152" s="13"/>
      <c r="MDH1152" s="13"/>
      <c r="MDI1152" s="13"/>
      <c r="MDJ1152" s="13"/>
      <c r="MDK1152" s="13"/>
      <c r="MDL1152" s="13"/>
      <c r="MDM1152" s="13"/>
      <c r="MDN1152" s="13"/>
      <c r="MDO1152" s="13"/>
      <c r="MDP1152" s="13"/>
      <c r="MDQ1152" s="13"/>
      <c r="MDR1152" s="13"/>
      <c r="MDS1152" s="13"/>
      <c r="MDT1152" s="13"/>
      <c r="MDU1152" s="13"/>
      <c r="MDV1152" s="13"/>
      <c r="MDW1152" s="13"/>
      <c r="MDX1152" s="13"/>
      <c r="MDY1152" s="13"/>
      <c r="MDZ1152" s="13"/>
      <c r="MEA1152" s="13"/>
      <c r="MEB1152" s="13"/>
      <c r="MEC1152" s="13"/>
      <c r="MED1152" s="13"/>
      <c r="MEE1152" s="13"/>
      <c r="MEF1152" s="13"/>
      <c r="MEG1152" s="13"/>
      <c r="MEH1152" s="13"/>
      <c r="MEI1152" s="13"/>
      <c r="MEJ1152" s="13"/>
      <c r="MEK1152" s="13"/>
      <c r="MEL1152" s="13"/>
      <c r="MEM1152" s="13"/>
      <c r="MEN1152" s="13"/>
      <c r="MEO1152" s="13"/>
      <c r="MEP1152" s="13"/>
      <c r="MEQ1152" s="13"/>
      <c r="MER1152" s="13"/>
      <c r="MES1152" s="13"/>
      <c r="MET1152" s="13"/>
      <c r="MEU1152" s="13"/>
      <c r="MEV1152" s="13"/>
      <c r="MEW1152" s="13"/>
      <c r="MEX1152" s="13"/>
      <c r="MEY1152" s="13"/>
      <c r="MEZ1152" s="13"/>
      <c r="MFA1152" s="13"/>
      <c r="MFB1152" s="13"/>
      <c r="MFC1152" s="13"/>
      <c r="MFD1152" s="13"/>
      <c r="MFE1152" s="13"/>
      <c r="MFF1152" s="13"/>
      <c r="MFG1152" s="13"/>
      <c r="MFH1152" s="13"/>
      <c r="MFI1152" s="13"/>
      <c r="MFJ1152" s="13"/>
      <c r="MFK1152" s="13"/>
      <c r="MFL1152" s="13"/>
      <c r="MFM1152" s="13"/>
      <c r="MFN1152" s="13"/>
      <c r="MFO1152" s="13"/>
      <c r="MFP1152" s="13"/>
      <c r="MFQ1152" s="13"/>
      <c r="MFR1152" s="13"/>
      <c r="MFS1152" s="13"/>
      <c r="MFT1152" s="13"/>
      <c r="MFU1152" s="13"/>
      <c r="MFV1152" s="13"/>
      <c r="MFW1152" s="13"/>
      <c r="MFX1152" s="13"/>
      <c r="MFY1152" s="13"/>
      <c r="MFZ1152" s="13"/>
      <c r="MGA1152" s="13"/>
      <c r="MGB1152" s="13"/>
      <c r="MGC1152" s="13"/>
      <c r="MGD1152" s="13"/>
      <c r="MGE1152" s="13"/>
      <c r="MGF1152" s="13"/>
      <c r="MGG1152" s="13"/>
      <c r="MGH1152" s="13"/>
      <c r="MGI1152" s="13"/>
      <c r="MGJ1152" s="13"/>
      <c r="MGK1152" s="13"/>
      <c r="MGL1152" s="13"/>
      <c r="MGM1152" s="13"/>
      <c r="MGN1152" s="13"/>
      <c r="MGO1152" s="13"/>
      <c r="MGP1152" s="13"/>
      <c r="MGQ1152" s="13"/>
      <c r="MGR1152" s="13"/>
      <c r="MGS1152" s="13"/>
      <c r="MGT1152" s="13"/>
      <c r="MGU1152" s="13"/>
      <c r="MGV1152" s="13"/>
      <c r="MGW1152" s="13"/>
      <c r="MGX1152" s="13"/>
      <c r="MGY1152" s="13"/>
      <c r="MGZ1152" s="13"/>
      <c r="MHA1152" s="13"/>
      <c r="MHB1152" s="13"/>
      <c r="MHC1152" s="13"/>
      <c r="MHD1152" s="13"/>
      <c r="MHE1152" s="13"/>
      <c r="MHF1152" s="13"/>
      <c r="MHG1152" s="13"/>
      <c r="MHH1152" s="13"/>
      <c r="MHI1152" s="13"/>
      <c r="MHJ1152" s="13"/>
      <c r="MHK1152" s="13"/>
      <c r="MHL1152" s="13"/>
      <c r="MHM1152" s="13"/>
      <c r="MHN1152" s="13"/>
      <c r="MHO1152" s="13"/>
      <c r="MHP1152" s="13"/>
      <c r="MHQ1152" s="13"/>
      <c r="MHR1152" s="13"/>
      <c r="MHS1152" s="13"/>
      <c r="MHT1152" s="13"/>
      <c r="MHU1152" s="13"/>
      <c r="MHV1152" s="13"/>
      <c r="MHW1152" s="13"/>
      <c r="MHX1152" s="13"/>
      <c r="MHY1152" s="13"/>
      <c r="MHZ1152" s="13"/>
      <c r="MIA1152" s="13"/>
      <c r="MIB1152" s="13"/>
      <c r="MIC1152" s="13"/>
      <c r="MID1152" s="13"/>
      <c r="MIE1152" s="13"/>
      <c r="MIF1152" s="13"/>
      <c r="MIG1152" s="13"/>
      <c r="MIH1152" s="13"/>
      <c r="MII1152" s="13"/>
      <c r="MIJ1152" s="13"/>
      <c r="MIK1152" s="13"/>
      <c r="MIL1152" s="13"/>
      <c r="MIM1152" s="13"/>
      <c r="MIN1152" s="13"/>
      <c r="MIO1152" s="13"/>
      <c r="MIP1152" s="13"/>
      <c r="MIQ1152" s="13"/>
      <c r="MIR1152" s="13"/>
      <c r="MIS1152" s="13"/>
      <c r="MIT1152" s="13"/>
      <c r="MIU1152" s="13"/>
      <c r="MIV1152" s="13"/>
      <c r="MIW1152" s="13"/>
      <c r="MIX1152" s="13"/>
      <c r="MIY1152" s="13"/>
      <c r="MIZ1152" s="13"/>
      <c r="MJA1152" s="13"/>
      <c r="MJB1152" s="13"/>
      <c r="MJC1152" s="13"/>
      <c r="MJD1152" s="13"/>
      <c r="MJE1152" s="13"/>
      <c r="MJF1152" s="13"/>
      <c r="MJG1152" s="13"/>
      <c r="MJH1152" s="13"/>
      <c r="MJI1152" s="13"/>
      <c r="MJJ1152" s="13"/>
      <c r="MJK1152" s="13"/>
      <c r="MJL1152" s="13"/>
      <c r="MJM1152" s="13"/>
      <c r="MJN1152" s="13"/>
      <c r="MJO1152" s="13"/>
      <c r="MJP1152" s="13"/>
      <c r="MJQ1152" s="13"/>
      <c r="MJR1152" s="13"/>
      <c r="MJS1152" s="13"/>
      <c r="MJT1152" s="13"/>
      <c r="MJU1152" s="13"/>
      <c r="MJV1152" s="13"/>
      <c r="MJW1152" s="13"/>
      <c r="MJX1152" s="13"/>
      <c r="MJY1152" s="13"/>
      <c r="MJZ1152" s="13"/>
      <c r="MKA1152" s="13"/>
      <c r="MKB1152" s="13"/>
      <c r="MKC1152" s="13"/>
      <c r="MKD1152" s="13"/>
      <c r="MKE1152" s="13"/>
      <c r="MKF1152" s="13"/>
      <c r="MKG1152" s="13"/>
      <c r="MKH1152" s="13"/>
      <c r="MKI1152" s="13"/>
      <c r="MKJ1152" s="13"/>
      <c r="MKK1152" s="13"/>
      <c r="MKL1152" s="13"/>
      <c r="MKM1152" s="13"/>
      <c r="MKN1152" s="13"/>
      <c r="MKO1152" s="13"/>
      <c r="MKP1152" s="13"/>
      <c r="MKQ1152" s="13"/>
      <c r="MKR1152" s="13"/>
      <c r="MKS1152" s="13"/>
      <c r="MKT1152" s="13"/>
      <c r="MKU1152" s="13"/>
      <c r="MKV1152" s="13"/>
      <c r="MKW1152" s="13"/>
      <c r="MKX1152" s="13"/>
      <c r="MKY1152" s="13"/>
      <c r="MKZ1152" s="13"/>
      <c r="MLA1152" s="13"/>
      <c r="MLB1152" s="13"/>
      <c r="MLC1152" s="13"/>
      <c r="MLD1152" s="13"/>
      <c r="MLE1152" s="13"/>
      <c r="MLF1152" s="13"/>
      <c r="MLG1152" s="13"/>
      <c r="MLH1152" s="13"/>
      <c r="MLI1152" s="13"/>
      <c r="MLJ1152" s="13"/>
      <c r="MLK1152" s="13"/>
      <c r="MLL1152" s="13"/>
      <c r="MLM1152" s="13"/>
      <c r="MLN1152" s="13"/>
      <c r="MLO1152" s="13"/>
      <c r="MLP1152" s="13"/>
      <c r="MLQ1152" s="13"/>
      <c r="MLR1152" s="13"/>
      <c r="MLS1152" s="13"/>
      <c r="MLT1152" s="13"/>
      <c r="MLU1152" s="13"/>
      <c r="MLV1152" s="13"/>
      <c r="MLW1152" s="13"/>
      <c r="MLX1152" s="13"/>
      <c r="MLY1152" s="13"/>
      <c r="MLZ1152" s="13"/>
      <c r="MMA1152" s="13"/>
      <c r="MMB1152" s="13"/>
      <c r="MMC1152" s="13"/>
      <c r="MMD1152" s="13"/>
      <c r="MME1152" s="13"/>
      <c r="MMF1152" s="13"/>
      <c r="MMG1152" s="13"/>
      <c r="MMH1152" s="13"/>
      <c r="MMI1152" s="13"/>
      <c r="MMJ1152" s="13"/>
      <c r="MMK1152" s="13"/>
      <c r="MML1152" s="13"/>
      <c r="MMM1152" s="13"/>
      <c r="MMN1152" s="13"/>
      <c r="MMO1152" s="13"/>
      <c r="MMP1152" s="13"/>
      <c r="MMQ1152" s="13"/>
      <c r="MMR1152" s="13"/>
      <c r="MMS1152" s="13"/>
      <c r="MMT1152" s="13"/>
      <c r="MMU1152" s="13"/>
      <c r="MMV1152" s="13"/>
      <c r="MMW1152" s="13"/>
      <c r="MMX1152" s="13"/>
      <c r="MMY1152" s="13"/>
      <c r="MMZ1152" s="13"/>
      <c r="MNA1152" s="13"/>
      <c r="MNB1152" s="13"/>
      <c r="MNC1152" s="13"/>
      <c r="MND1152" s="13"/>
      <c r="MNE1152" s="13"/>
      <c r="MNF1152" s="13"/>
      <c r="MNG1152" s="13"/>
      <c r="MNH1152" s="13"/>
      <c r="MNI1152" s="13"/>
      <c r="MNJ1152" s="13"/>
      <c r="MNK1152" s="13"/>
      <c r="MNL1152" s="13"/>
      <c r="MNM1152" s="13"/>
      <c r="MNN1152" s="13"/>
      <c r="MNO1152" s="13"/>
      <c r="MNP1152" s="13"/>
      <c r="MNQ1152" s="13"/>
      <c r="MNR1152" s="13"/>
      <c r="MNS1152" s="13"/>
      <c r="MNT1152" s="13"/>
      <c r="MNU1152" s="13"/>
      <c r="MNV1152" s="13"/>
      <c r="MNW1152" s="13"/>
      <c r="MNX1152" s="13"/>
      <c r="MNY1152" s="13"/>
      <c r="MNZ1152" s="13"/>
      <c r="MOA1152" s="13"/>
      <c r="MOB1152" s="13"/>
      <c r="MOC1152" s="13"/>
      <c r="MOD1152" s="13"/>
      <c r="MOE1152" s="13"/>
      <c r="MOF1152" s="13"/>
      <c r="MOG1152" s="13"/>
      <c r="MOH1152" s="13"/>
      <c r="MOI1152" s="13"/>
      <c r="MOJ1152" s="13"/>
      <c r="MOK1152" s="13"/>
      <c r="MOL1152" s="13"/>
      <c r="MOM1152" s="13"/>
      <c r="MON1152" s="13"/>
      <c r="MOO1152" s="13"/>
      <c r="MOP1152" s="13"/>
      <c r="MOQ1152" s="13"/>
      <c r="MOR1152" s="13"/>
      <c r="MOS1152" s="13"/>
      <c r="MOT1152" s="13"/>
      <c r="MOU1152" s="13"/>
      <c r="MOV1152" s="13"/>
      <c r="MOW1152" s="13"/>
      <c r="MOX1152" s="13"/>
      <c r="MOY1152" s="13"/>
      <c r="MOZ1152" s="13"/>
      <c r="MPA1152" s="13"/>
      <c r="MPB1152" s="13"/>
      <c r="MPC1152" s="13"/>
      <c r="MPD1152" s="13"/>
      <c r="MPE1152" s="13"/>
      <c r="MPF1152" s="13"/>
      <c r="MPG1152" s="13"/>
      <c r="MPH1152" s="13"/>
      <c r="MPI1152" s="13"/>
      <c r="MPJ1152" s="13"/>
      <c r="MPK1152" s="13"/>
      <c r="MPL1152" s="13"/>
      <c r="MPM1152" s="13"/>
      <c r="MPN1152" s="13"/>
      <c r="MPO1152" s="13"/>
      <c r="MPP1152" s="13"/>
      <c r="MPQ1152" s="13"/>
      <c r="MPR1152" s="13"/>
      <c r="MPS1152" s="13"/>
      <c r="MPT1152" s="13"/>
      <c r="MPU1152" s="13"/>
      <c r="MPV1152" s="13"/>
      <c r="MPW1152" s="13"/>
      <c r="MPX1152" s="13"/>
      <c r="MPY1152" s="13"/>
      <c r="MPZ1152" s="13"/>
      <c r="MQA1152" s="13"/>
      <c r="MQB1152" s="13"/>
      <c r="MQC1152" s="13"/>
      <c r="MQD1152" s="13"/>
      <c r="MQE1152" s="13"/>
      <c r="MQF1152" s="13"/>
      <c r="MQG1152" s="13"/>
      <c r="MQH1152" s="13"/>
      <c r="MQI1152" s="13"/>
      <c r="MQJ1152" s="13"/>
      <c r="MQK1152" s="13"/>
      <c r="MQL1152" s="13"/>
      <c r="MQM1152" s="13"/>
      <c r="MQN1152" s="13"/>
      <c r="MQO1152" s="13"/>
      <c r="MQP1152" s="13"/>
      <c r="MQQ1152" s="13"/>
      <c r="MQR1152" s="13"/>
      <c r="MQS1152" s="13"/>
      <c r="MQT1152" s="13"/>
      <c r="MQU1152" s="13"/>
      <c r="MQV1152" s="13"/>
      <c r="MQW1152" s="13"/>
      <c r="MQX1152" s="13"/>
      <c r="MQY1152" s="13"/>
      <c r="MQZ1152" s="13"/>
      <c r="MRA1152" s="13"/>
      <c r="MRB1152" s="13"/>
      <c r="MRC1152" s="13"/>
      <c r="MRD1152" s="13"/>
      <c r="MRE1152" s="13"/>
      <c r="MRF1152" s="13"/>
      <c r="MRG1152" s="13"/>
      <c r="MRH1152" s="13"/>
      <c r="MRI1152" s="13"/>
      <c r="MRJ1152" s="13"/>
      <c r="MRK1152" s="13"/>
      <c r="MRL1152" s="13"/>
      <c r="MRM1152" s="13"/>
      <c r="MRN1152" s="13"/>
      <c r="MRO1152" s="13"/>
      <c r="MRP1152" s="13"/>
      <c r="MRQ1152" s="13"/>
      <c r="MRR1152" s="13"/>
      <c r="MRS1152" s="13"/>
      <c r="MRT1152" s="13"/>
      <c r="MRU1152" s="13"/>
      <c r="MRV1152" s="13"/>
      <c r="MRW1152" s="13"/>
      <c r="MRX1152" s="13"/>
      <c r="MRY1152" s="13"/>
      <c r="MRZ1152" s="13"/>
      <c r="MSA1152" s="13"/>
      <c r="MSB1152" s="13"/>
      <c r="MSC1152" s="13"/>
      <c r="MSD1152" s="13"/>
      <c r="MSE1152" s="13"/>
      <c r="MSF1152" s="13"/>
      <c r="MSG1152" s="13"/>
      <c r="MSH1152" s="13"/>
      <c r="MSI1152" s="13"/>
      <c r="MSJ1152" s="13"/>
      <c r="MSK1152" s="13"/>
      <c r="MSL1152" s="13"/>
      <c r="MSM1152" s="13"/>
      <c r="MSN1152" s="13"/>
      <c r="MSO1152" s="13"/>
      <c r="MSP1152" s="13"/>
      <c r="MSQ1152" s="13"/>
      <c r="MSR1152" s="13"/>
      <c r="MSS1152" s="13"/>
      <c r="MST1152" s="13"/>
      <c r="MSU1152" s="13"/>
      <c r="MSV1152" s="13"/>
      <c r="MSW1152" s="13"/>
      <c r="MSX1152" s="13"/>
      <c r="MSY1152" s="13"/>
      <c r="MSZ1152" s="13"/>
      <c r="MTA1152" s="13"/>
      <c r="MTB1152" s="13"/>
      <c r="MTC1152" s="13"/>
      <c r="MTD1152" s="13"/>
      <c r="MTE1152" s="13"/>
      <c r="MTF1152" s="13"/>
      <c r="MTG1152" s="13"/>
      <c r="MTH1152" s="13"/>
      <c r="MTI1152" s="13"/>
      <c r="MTJ1152" s="13"/>
      <c r="MTK1152" s="13"/>
      <c r="MTL1152" s="13"/>
      <c r="MTM1152" s="13"/>
      <c r="MTN1152" s="13"/>
      <c r="MTO1152" s="13"/>
      <c r="MTP1152" s="13"/>
      <c r="MTQ1152" s="13"/>
      <c r="MTR1152" s="13"/>
      <c r="MTS1152" s="13"/>
      <c r="MTT1152" s="13"/>
      <c r="MTU1152" s="13"/>
      <c r="MTV1152" s="13"/>
      <c r="MTW1152" s="13"/>
      <c r="MTX1152" s="13"/>
      <c r="MTY1152" s="13"/>
      <c r="MTZ1152" s="13"/>
      <c r="MUA1152" s="13"/>
      <c r="MUB1152" s="13"/>
      <c r="MUC1152" s="13"/>
      <c r="MUD1152" s="13"/>
      <c r="MUE1152" s="13"/>
      <c r="MUF1152" s="13"/>
      <c r="MUG1152" s="13"/>
      <c r="MUH1152" s="13"/>
      <c r="MUI1152" s="13"/>
      <c r="MUJ1152" s="13"/>
      <c r="MUK1152" s="13"/>
      <c r="MUL1152" s="13"/>
      <c r="MUM1152" s="13"/>
      <c r="MUN1152" s="13"/>
      <c r="MUO1152" s="13"/>
      <c r="MUP1152" s="13"/>
      <c r="MUQ1152" s="13"/>
      <c r="MUR1152" s="13"/>
      <c r="MUS1152" s="13"/>
      <c r="MUT1152" s="13"/>
      <c r="MUU1152" s="13"/>
      <c r="MUV1152" s="13"/>
      <c r="MUW1152" s="13"/>
      <c r="MUX1152" s="13"/>
      <c r="MUY1152" s="13"/>
      <c r="MUZ1152" s="13"/>
      <c r="MVA1152" s="13"/>
      <c r="MVB1152" s="13"/>
      <c r="MVC1152" s="13"/>
      <c r="MVD1152" s="13"/>
      <c r="MVE1152" s="13"/>
      <c r="MVF1152" s="13"/>
      <c r="MVG1152" s="13"/>
      <c r="MVH1152" s="13"/>
      <c r="MVI1152" s="13"/>
      <c r="MVJ1152" s="13"/>
      <c r="MVK1152" s="13"/>
      <c r="MVL1152" s="13"/>
      <c r="MVM1152" s="13"/>
      <c r="MVN1152" s="13"/>
      <c r="MVO1152" s="13"/>
      <c r="MVP1152" s="13"/>
      <c r="MVQ1152" s="13"/>
      <c r="MVR1152" s="13"/>
      <c r="MVS1152" s="13"/>
      <c r="MVT1152" s="13"/>
      <c r="MVU1152" s="13"/>
      <c r="MVV1152" s="13"/>
      <c r="MVW1152" s="13"/>
      <c r="MVX1152" s="13"/>
      <c r="MVY1152" s="13"/>
      <c r="MVZ1152" s="13"/>
      <c r="MWA1152" s="13"/>
      <c r="MWB1152" s="13"/>
      <c r="MWC1152" s="13"/>
      <c r="MWD1152" s="13"/>
      <c r="MWE1152" s="13"/>
      <c r="MWF1152" s="13"/>
      <c r="MWG1152" s="13"/>
      <c r="MWH1152" s="13"/>
      <c r="MWI1152" s="13"/>
      <c r="MWJ1152" s="13"/>
      <c r="MWK1152" s="13"/>
      <c r="MWL1152" s="13"/>
      <c r="MWM1152" s="13"/>
      <c r="MWN1152" s="13"/>
      <c r="MWO1152" s="13"/>
      <c r="MWP1152" s="13"/>
      <c r="MWQ1152" s="13"/>
      <c r="MWR1152" s="13"/>
      <c r="MWS1152" s="13"/>
      <c r="MWT1152" s="13"/>
      <c r="MWU1152" s="13"/>
      <c r="MWV1152" s="13"/>
      <c r="MWW1152" s="13"/>
      <c r="MWX1152" s="13"/>
      <c r="MWY1152" s="13"/>
      <c r="MWZ1152" s="13"/>
      <c r="MXA1152" s="13"/>
      <c r="MXB1152" s="13"/>
      <c r="MXC1152" s="13"/>
      <c r="MXD1152" s="13"/>
      <c r="MXE1152" s="13"/>
      <c r="MXF1152" s="13"/>
      <c r="MXG1152" s="13"/>
      <c r="MXH1152" s="13"/>
      <c r="MXI1152" s="13"/>
      <c r="MXJ1152" s="13"/>
      <c r="MXK1152" s="13"/>
      <c r="MXL1152" s="13"/>
      <c r="MXM1152" s="13"/>
      <c r="MXN1152" s="13"/>
      <c r="MXO1152" s="13"/>
      <c r="MXP1152" s="13"/>
      <c r="MXQ1152" s="13"/>
      <c r="MXR1152" s="13"/>
      <c r="MXS1152" s="13"/>
      <c r="MXT1152" s="13"/>
      <c r="MXU1152" s="13"/>
      <c r="MXV1152" s="13"/>
      <c r="MXW1152" s="13"/>
      <c r="MXX1152" s="13"/>
      <c r="MXY1152" s="13"/>
      <c r="MXZ1152" s="13"/>
      <c r="MYA1152" s="13"/>
      <c r="MYB1152" s="13"/>
      <c r="MYC1152" s="13"/>
      <c r="MYD1152" s="13"/>
      <c r="MYE1152" s="13"/>
      <c r="MYF1152" s="13"/>
      <c r="MYG1152" s="13"/>
      <c r="MYH1152" s="13"/>
      <c r="MYI1152" s="13"/>
      <c r="MYJ1152" s="13"/>
      <c r="MYK1152" s="13"/>
      <c r="MYL1152" s="13"/>
      <c r="MYM1152" s="13"/>
      <c r="MYN1152" s="13"/>
      <c r="MYO1152" s="13"/>
      <c r="MYP1152" s="13"/>
      <c r="MYQ1152" s="13"/>
      <c r="MYR1152" s="13"/>
      <c r="MYS1152" s="13"/>
      <c r="MYT1152" s="13"/>
      <c r="MYU1152" s="13"/>
      <c r="MYV1152" s="13"/>
      <c r="MYW1152" s="13"/>
      <c r="MYX1152" s="13"/>
      <c r="MYY1152" s="13"/>
      <c r="MYZ1152" s="13"/>
      <c r="MZA1152" s="13"/>
      <c r="MZB1152" s="13"/>
      <c r="MZC1152" s="13"/>
      <c r="MZD1152" s="13"/>
      <c r="MZE1152" s="13"/>
      <c r="MZF1152" s="13"/>
      <c r="MZG1152" s="13"/>
      <c r="MZH1152" s="13"/>
      <c r="MZI1152" s="13"/>
      <c r="MZJ1152" s="13"/>
      <c r="MZK1152" s="13"/>
      <c r="MZL1152" s="13"/>
      <c r="MZM1152" s="13"/>
      <c r="MZN1152" s="13"/>
      <c r="MZO1152" s="13"/>
      <c r="MZP1152" s="13"/>
      <c r="MZQ1152" s="13"/>
      <c r="MZR1152" s="13"/>
      <c r="MZS1152" s="13"/>
      <c r="MZT1152" s="13"/>
      <c r="MZU1152" s="13"/>
      <c r="MZV1152" s="13"/>
      <c r="MZW1152" s="13"/>
      <c r="MZX1152" s="13"/>
      <c r="MZY1152" s="13"/>
      <c r="MZZ1152" s="13"/>
      <c r="NAA1152" s="13"/>
      <c r="NAB1152" s="13"/>
      <c r="NAC1152" s="13"/>
      <c r="NAD1152" s="13"/>
      <c r="NAE1152" s="13"/>
      <c r="NAF1152" s="13"/>
      <c r="NAG1152" s="13"/>
      <c r="NAH1152" s="13"/>
      <c r="NAI1152" s="13"/>
      <c r="NAJ1152" s="13"/>
      <c r="NAK1152" s="13"/>
      <c r="NAL1152" s="13"/>
      <c r="NAM1152" s="13"/>
      <c r="NAN1152" s="13"/>
      <c r="NAO1152" s="13"/>
      <c r="NAP1152" s="13"/>
      <c r="NAQ1152" s="13"/>
      <c r="NAR1152" s="13"/>
      <c r="NAS1152" s="13"/>
      <c r="NAT1152" s="13"/>
      <c r="NAU1152" s="13"/>
      <c r="NAV1152" s="13"/>
      <c r="NAW1152" s="13"/>
      <c r="NAX1152" s="13"/>
      <c r="NAY1152" s="13"/>
      <c r="NAZ1152" s="13"/>
      <c r="NBA1152" s="13"/>
      <c r="NBB1152" s="13"/>
      <c r="NBC1152" s="13"/>
      <c r="NBD1152" s="13"/>
      <c r="NBE1152" s="13"/>
      <c r="NBF1152" s="13"/>
      <c r="NBG1152" s="13"/>
      <c r="NBH1152" s="13"/>
      <c r="NBI1152" s="13"/>
      <c r="NBJ1152" s="13"/>
      <c r="NBK1152" s="13"/>
      <c r="NBL1152" s="13"/>
      <c r="NBM1152" s="13"/>
      <c r="NBN1152" s="13"/>
      <c r="NBO1152" s="13"/>
      <c r="NBP1152" s="13"/>
      <c r="NBQ1152" s="13"/>
      <c r="NBR1152" s="13"/>
      <c r="NBS1152" s="13"/>
      <c r="NBT1152" s="13"/>
      <c r="NBU1152" s="13"/>
      <c r="NBV1152" s="13"/>
      <c r="NBW1152" s="13"/>
      <c r="NBX1152" s="13"/>
      <c r="NBY1152" s="13"/>
      <c r="NBZ1152" s="13"/>
      <c r="NCA1152" s="13"/>
      <c r="NCB1152" s="13"/>
      <c r="NCC1152" s="13"/>
      <c r="NCD1152" s="13"/>
      <c r="NCE1152" s="13"/>
      <c r="NCF1152" s="13"/>
      <c r="NCG1152" s="13"/>
      <c r="NCH1152" s="13"/>
      <c r="NCI1152" s="13"/>
      <c r="NCJ1152" s="13"/>
      <c r="NCK1152" s="13"/>
      <c r="NCL1152" s="13"/>
      <c r="NCM1152" s="13"/>
      <c r="NCN1152" s="13"/>
      <c r="NCO1152" s="13"/>
      <c r="NCP1152" s="13"/>
      <c r="NCQ1152" s="13"/>
      <c r="NCR1152" s="13"/>
      <c r="NCS1152" s="13"/>
      <c r="NCT1152" s="13"/>
      <c r="NCU1152" s="13"/>
      <c r="NCV1152" s="13"/>
      <c r="NCW1152" s="13"/>
      <c r="NCX1152" s="13"/>
      <c r="NCY1152" s="13"/>
      <c r="NCZ1152" s="13"/>
      <c r="NDA1152" s="13"/>
      <c r="NDB1152" s="13"/>
      <c r="NDC1152" s="13"/>
      <c r="NDD1152" s="13"/>
      <c r="NDE1152" s="13"/>
      <c r="NDF1152" s="13"/>
      <c r="NDG1152" s="13"/>
      <c r="NDH1152" s="13"/>
      <c r="NDI1152" s="13"/>
      <c r="NDJ1152" s="13"/>
      <c r="NDK1152" s="13"/>
      <c r="NDL1152" s="13"/>
      <c r="NDM1152" s="13"/>
      <c r="NDN1152" s="13"/>
      <c r="NDO1152" s="13"/>
      <c r="NDP1152" s="13"/>
      <c r="NDQ1152" s="13"/>
      <c r="NDR1152" s="13"/>
      <c r="NDS1152" s="13"/>
      <c r="NDT1152" s="13"/>
      <c r="NDU1152" s="13"/>
      <c r="NDV1152" s="13"/>
      <c r="NDW1152" s="13"/>
      <c r="NDX1152" s="13"/>
      <c r="NDY1152" s="13"/>
      <c r="NDZ1152" s="13"/>
      <c r="NEA1152" s="13"/>
      <c r="NEB1152" s="13"/>
      <c r="NEC1152" s="13"/>
      <c r="NED1152" s="13"/>
      <c r="NEE1152" s="13"/>
      <c r="NEF1152" s="13"/>
      <c r="NEG1152" s="13"/>
      <c r="NEH1152" s="13"/>
      <c r="NEI1152" s="13"/>
      <c r="NEJ1152" s="13"/>
      <c r="NEK1152" s="13"/>
      <c r="NEL1152" s="13"/>
      <c r="NEM1152" s="13"/>
      <c r="NEN1152" s="13"/>
      <c r="NEO1152" s="13"/>
      <c r="NEP1152" s="13"/>
      <c r="NEQ1152" s="13"/>
      <c r="NER1152" s="13"/>
      <c r="NES1152" s="13"/>
      <c r="NET1152" s="13"/>
      <c r="NEU1152" s="13"/>
      <c r="NEV1152" s="13"/>
      <c r="NEW1152" s="13"/>
      <c r="NEX1152" s="13"/>
      <c r="NEY1152" s="13"/>
      <c r="NEZ1152" s="13"/>
      <c r="NFA1152" s="13"/>
      <c r="NFB1152" s="13"/>
      <c r="NFC1152" s="13"/>
      <c r="NFD1152" s="13"/>
      <c r="NFE1152" s="13"/>
      <c r="NFF1152" s="13"/>
      <c r="NFG1152" s="13"/>
      <c r="NFH1152" s="13"/>
      <c r="NFI1152" s="13"/>
      <c r="NFJ1152" s="13"/>
      <c r="NFK1152" s="13"/>
      <c r="NFL1152" s="13"/>
      <c r="NFM1152" s="13"/>
      <c r="NFN1152" s="13"/>
      <c r="NFO1152" s="13"/>
      <c r="NFP1152" s="13"/>
      <c r="NFQ1152" s="13"/>
      <c r="NFR1152" s="13"/>
      <c r="NFS1152" s="13"/>
      <c r="NFT1152" s="13"/>
      <c r="NFU1152" s="13"/>
      <c r="NFV1152" s="13"/>
      <c r="NFW1152" s="13"/>
      <c r="NFX1152" s="13"/>
      <c r="NFY1152" s="13"/>
      <c r="NFZ1152" s="13"/>
      <c r="NGA1152" s="13"/>
      <c r="NGB1152" s="13"/>
      <c r="NGC1152" s="13"/>
      <c r="NGD1152" s="13"/>
      <c r="NGE1152" s="13"/>
      <c r="NGF1152" s="13"/>
      <c r="NGG1152" s="13"/>
      <c r="NGH1152" s="13"/>
      <c r="NGI1152" s="13"/>
      <c r="NGJ1152" s="13"/>
      <c r="NGK1152" s="13"/>
      <c r="NGL1152" s="13"/>
      <c r="NGM1152" s="13"/>
      <c r="NGN1152" s="13"/>
      <c r="NGO1152" s="13"/>
      <c r="NGP1152" s="13"/>
      <c r="NGQ1152" s="13"/>
      <c r="NGR1152" s="13"/>
      <c r="NGS1152" s="13"/>
      <c r="NGT1152" s="13"/>
      <c r="NGU1152" s="13"/>
      <c r="NGV1152" s="13"/>
      <c r="NGW1152" s="13"/>
      <c r="NGX1152" s="13"/>
      <c r="NGY1152" s="13"/>
      <c r="NGZ1152" s="13"/>
      <c r="NHA1152" s="13"/>
      <c r="NHB1152" s="13"/>
      <c r="NHC1152" s="13"/>
      <c r="NHD1152" s="13"/>
      <c r="NHE1152" s="13"/>
      <c r="NHF1152" s="13"/>
      <c r="NHG1152" s="13"/>
      <c r="NHH1152" s="13"/>
      <c r="NHI1152" s="13"/>
      <c r="NHJ1152" s="13"/>
      <c r="NHK1152" s="13"/>
      <c r="NHL1152" s="13"/>
      <c r="NHM1152" s="13"/>
      <c r="NHN1152" s="13"/>
      <c r="NHO1152" s="13"/>
      <c r="NHP1152" s="13"/>
      <c r="NHQ1152" s="13"/>
      <c r="NHR1152" s="13"/>
      <c r="NHS1152" s="13"/>
      <c r="NHT1152" s="13"/>
      <c r="NHU1152" s="13"/>
      <c r="NHV1152" s="13"/>
      <c r="NHW1152" s="13"/>
      <c r="NHX1152" s="13"/>
      <c r="NHY1152" s="13"/>
      <c r="NHZ1152" s="13"/>
      <c r="NIA1152" s="13"/>
      <c r="NIB1152" s="13"/>
      <c r="NIC1152" s="13"/>
      <c r="NID1152" s="13"/>
      <c r="NIE1152" s="13"/>
      <c r="NIF1152" s="13"/>
      <c r="NIG1152" s="13"/>
      <c r="NIH1152" s="13"/>
      <c r="NII1152" s="13"/>
      <c r="NIJ1152" s="13"/>
      <c r="NIK1152" s="13"/>
      <c r="NIL1152" s="13"/>
      <c r="NIM1152" s="13"/>
      <c r="NIN1152" s="13"/>
      <c r="NIO1152" s="13"/>
      <c r="NIP1152" s="13"/>
      <c r="NIQ1152" s="13"/>
      <c r="NIR1152" s="13"/>
      <c r="NIS1152" s="13"/>
      <c r="NIT1152" s="13"/>
      <c r="NIU1152" s="13"/>
      <c r="NIV1152" s="13"/>
      <c r="NIW1152" s="13"/>
      <c r="NIX1152" s="13"/>
      <c r="NIY1152" s="13"/>
      <c r="NIZ1152" s="13"/>
      <c r="NJA1152" s="13"/>
      <c r="NJB1152" s="13"/>
      <c r="NJC1152" s="13"/>
      <c r="NJD1152" s="13"/>
      <c r="NJE1152" s="13"/>
      <c r="NJF1152" s="13"/>
      <c r="NJG1152" s="13"/>
      <c r="NJH1152" s="13"/>
      <c r="NJI1152" s="13"/>
      <c r="NJJ1152" s="13"/>
      <c r="NJK1152" s="13"/>
      <c r="NJL1152" s="13"/>
      <c r="NJM1152" s="13"/>
      <c r="NJN1152" s="13"/>
      <c r="NJO1152" s="13"/>
      <c r="NJP1152" s="13"/>
      <c r="NJQ1152" s="13"/>
      <c r="NJR1152" s="13"/>
      <c r="NJS1152" s="13"/>
      <c r="NJT1152" s="13"/>
      <c r="NJU1152" s="13"/>
      <c r="NJV1152" s="13"/>
      <c r="NJW1152" s="13"/>
      <c r="NJX1152" s="13"/>
      <c r="NJY1152" s="13"/>
      <c r="NJZ1152" s="13"/>
      <c r="NKA1152" s="13"/>
      <c r="NKB1152" s="13"/>
      <c r="NKC1152" s="13"/>
      <c r="NKD1152" s="13"/>
      <c r="NKE1152" s="13"/>
      <c r="NKF1152" s="13"/>
      <c r="NKG1152" s="13"/>
      <c r="NKH1152" s="13"/>
      <c r="NKI1152" s="13"/>
      <c r="NKJ1152" s="13"/>
      <c r="NKK1152" s="13"/>
      <c r="NKL1152" s="13"/>
      <c r="NKM1152" s="13"/>
      <c r="NKN1152" s="13"/>
      <c r="NKO1152" s="13"/>
      <c r="NKP1152" s="13"/>
      <c r="NKQ1152" s="13"/>
      <c r="NKR1152" s="13"/>
      <c r="NKS1152" s="13"/>
      <c r="NKT1152" s="13"/>
      <c r="NKU1152" s="13"/>
      <c r="NKV1152" s="13"/>
      <c r="NKW1152" s="13"/>
      <c r="NKX1152" s="13"/>
      <c r="NKY1152" s="13"/>
      <c r="NKZ1152" s="13"/>
      <c r="NLA1152" s="13"/>
      <c r="NLB1152" s="13"/>
      <c r="NLC1152" s="13"/>
      <c r="NLD1152" s="13"/>
      <c r="NLE1152" s="13"/>
      <c r="NLF1152" s="13"/>
      <c r="NLG1152" s="13"/>
      <c r="NLH1152" s="13"/>
      <c r="NLI1152" s="13"/>
      <c r="NLJ1152" s="13"/>
      <c r="NLK1152" s="13"/>
      <c r="NLL1152" s="13"/>
      <c r="NLM1152" s="13"/>
      <c r="NLN1152" s="13"/>
      <c r="NLO1152" s="13"/>
      <c r="NLP1152" s="13"/>
      <c r="NLQ1152" s="13"/>
      <c r="NLR1152" s="13"/>
      <c r="NLS1152" s="13"/>
      <c r="NLT1152" s="13"/>
      <c r="NLU1152" s="13"/>
      <c r="NLV1152" s="13"/>
      <c r="NLW1152" s="13"/>
      <c r="NLX1152" s="13"/>
      <c r="NLY1152" s="13"/>
      <c r="NLZ1152" s="13"/>
      <c r="NMA1152" s="13"/>
      <c r="NMB1152" s="13"/>
      <c r="NMC1152" s="13"/>
      <c r="NMD1152" s="13"/>
      <c r="NME1152" s="13"/>
      <c r="NMF1152" s="13"/>
      <c r="NMG1152" s="13"/>
      <c r="NMH1152" s="13"/>
      <c r="NMI1152" s="13"/>
      <c r="NMJ1152" s="13"/>
      <c r="NMK1152" s="13"/>
      <c r="NML1152" s="13"/>
      <c r="NMM1152" s="13"/>
      <c r="NMN1152" s="13"/>
      <c r="NMO1152" s="13"/>
      <c r="NMP1152" s="13"/>
      <c r="NMQ1152" s="13"/>
      <c r="NMR1152" s="13"/>
      <c r="NMS1152" s="13"/>
      <c r="NMT1152" s="13"/>
      <c r="NMU1152" s="13"/>
      <c r="NMV1152" s="13"/>
      <c r="NMW1152" s="13"/>
      <c r="NMX1152" s="13"/>
      <c r="NMY1152" s="13"/>
      <c r="NMZ1152" s="13"/>
      <c r="NNA1152" s="13"/>
      <c r="NNB1152" s="13"/>
      <c r="NNC1152" s="13"/>
      <c r="NND1152" s="13"/>
      <c r="NNE1152" s="13"/>
      <c r="NNF1152" s="13"/>
      <c r="NNG1152" s="13"/>
      <c r="NNH1152" s="13"/>
      <c r="NNI1152" s="13"/>
      <c r="NNJ1152" s="13"/>
      <c r="NNK1152" s="13"/>
      <c r="NNL1152" s="13"/>
      <c r="NNM1152" s="13"/>
      <c r="NNN1152" s="13"/>
      <c r="NNO1152" s="13"/>
      <c r="NNP1152" s="13"/>
      <c r="NNQ1152" s="13"/>
      <c r="NNR1152" s="13"/>
      <c r="NNS1152" s="13"/>
      <c r="NNT1152" s="13"/>
      <c r="NNU1152" s="13"/>
      <c r="NNV1152" s="13"/>
      <c r="NNW1152" s="13"/>
      <c r="NNX1152" s="13"/>
      <c r="NNY1152" s="13"/>
      <c r="NNZ1152" s="13"/>
      <c r="NOA1152" s="13"/>
      <c r="NOB1152" s="13"/>
      <c r="NOC1152" s="13"/>
      <c r="NOD1152" s="13"/>
      <c r="NOE1152" s="13"/>
      <c r="NOF1152" s="13"/>
      <c r="NOG1152" s="13"/>
      <c r="NOH1152" s="13"/>
      <c r="NOI1152" s="13"/>
      <c r="NOJ1152" s="13"/>
      <c r="NOK1152" s="13"/>
      <c r="NOL1152" s="13"/>
      <c r="NOM1152" s="13"/>
      <c r="NON1152" s="13"/>
      <c r="NOO1152" s="13"/>
      <c r="NOP1152" s="13"/>
      <c r="NOQ1152" s="13"/>
      <c r="NOR1152" s="13"/>
      <c r="NOS1152" s="13"/>
      <c r="NOT1152" s="13"/>
      <c r="NOU1152" s="13"/>
      <c r="NOV1152" s="13"/>
      <c r="NOW1152" s="13"/>
      <c r="NOX1152" s="13"/>
      <c r="NOY1152" s="13"/>
      <c r="NOZ1152" s="13"/>
      <c r="NPA1152" s="13"/>
      <c r="NPB1152" s="13"/>
      <c r="NPC1152" s="13"/>
      <c r="NPD1152" s="13"/>
      <c r="NPE1152" s="13"/>
      <c r="NPF1152" s="13"/>
      <c r="NPG1152" s="13"/>
      <c r="NPH1152" s="13"/>
      <c r="NPI1152" s="13"/>
      <c r="NPJ1152" s="13"/>
      <c r="NPK1152" s="13"/>
      <c r="NPL1152" s="13"/>
      <c r="NPM1152" s="13"/>
      <c r="NPN1152" s="13"/>
      <c r="NPO1152" s="13"/>
      <c r="NPP1152" s="13"/>
      <c r="NPQ1152" s="13"/>
      <c r="NPR1152" s="13"/>
      <c r="NPS1152" s="13"/>
      <c r="NPT1152" s="13"/>
      <c r="NPU1152" s="13"/>
      <c r="NPV1152" s="13"/>
      <c r="NPW1152" s="13"/>
      <c r="NPX1152" s="13"/>
      <c r="NPY1152" s="13"/>
      <c r="NPZ1152" s="13"/>
      <c r="NQA1152" s="13"/>
      <c r="NQB1152" s="13"/>
      <c r="NQC1152" s="13"/>
      <c r="NQD1152" s="13"/>
      <c r="NQE1152" s="13"/>
      <c r="NQF1152" s="13"/>
      <c r="NQG1152" s="13"/>
      <c r="NQH1152" s="13"/>
      <c r="NQI1152" s="13"/>
      <c r="NQJ1152" s="13"/>
      <c r="NQK1152" s="13"/>
      <c r="NQL1152" s="13"/>
      <c r="NQM1152" s="13"/>
      <c r="NQN1152" s="13"/>
      <c r="NQO1152" s="13"/>
      <c r="NQP1152" s="13"/>
      <c r="NQQ1152" s="13"/>
      <c r="NQR1152" s="13"/>
      <c r="NQS1152" s="13"/>
      <c r="NQT1152" s="13"/>
      <c r="NQU1152" s="13"/>
      <c r="NQV1152" s="13"/>
      <c r="NQW1152" s="13"/>
      <c r="NQX1152" s="13"/>
      <c r="NQY1152" s="13"/>
      <c r="NQZ1152" s="13"/>
      <c r="NRA1152" s="13"/>
      <c r="NRB1152" s="13"/>
      <c r="NRC1152" s="13"/>
      <c r="NRD1152" s="13"/>
      <c r="NRE1152" s="13"/>
      <c r="NRF1152" s="13"/>
      <c r="NRG1152" s="13"/>
      <c r="NRH1152" s="13"/>
      <c r="NRI1152" s="13"/>
      <c r="NRJ1152" s="13"/>
      <c r="NRK1152" s="13"/>
      <c r="NRL1152" s="13"/>
      <c r="NRM1152" s="13"/>
      <c r="NRN1152" s="13"/>
      <c r="NRO1152" s="13"/>
      <c r="NRP1152" s="13"/>
      <c r="NRQ1152" s="13"/>
      <c r="NRR1152" s="13"/>
      <c r="NRS1152" s="13"/>
      <c r="NRT1152" s="13"/>
      <c r="NRU1152" s="13"/>
      <c r="NRV1152" s="13"/>
      <c r="NRW1152" s="13"/>
      <c r="NRX1152" s="13"/>
      <c r="NRY1152" s="13"/>
      <c r="NRZ1152" s="13"/>
      <c r="NSA1152" s="13"/>
      <c r="NSB1152" s="13"/>
      <c r="NSC1152" s="13"/>
      <c r="NSD1152" s="13"/>
      <c r="NSE1152" s="13"/>
      <c r="NSF1152" s="13"/>
      <c r="NSG1152" s="13"/>
      <c r="NSH1152" s="13"/>
      <c r="NSI1152" s="13"/>
      <c r="NSJ1152" s="13"/>
      <c r="NSK1152" s="13"/>
      <c r="NSL1152" s="13"/>
      <c r="NSM1152" s="13"/>
      <c r="NSN1152" s="13"/>
      <c r="NSO1152" s="13"/>
      <c r="NSP1152" s="13"/>
      <c r="NSQ1152" s="13"/>
      <c r="NSR1152" s="13"/>
      <c r="NSS1152" s="13"/>
      <c r="NST1152" s="13"/>
      <c r="NSU1152" s="13"/>
      <c r="NSV1152" s="13"/>
      <c r="NSW1152" s="13"/>
      <c r="NSX1152" s="13"/>
      <c r="NSY1152" s="13"/>
      <c r="NSZ1152" s="13"/>
      <c r="NTA1152" s="13"/>
      <c r="NTB1152" s="13"/>
      <c r="NTC1152" s="13"/>
      <c r="NTD1152" s="13"/>
      <c r="NTE1152" s="13"/>
      <c r="NTF1152" s="13"/>
      <c r="NTG1152" s="13"/>
      <c r="NTH1152" s="13"/>
      <c r="NTI1152" s="13"/>
      <c r="NTJ1152" s="13"/>
      <c r="NTK1152" s="13"/>
      <c r="NTL1152" s="13"/>
      <c r="NTM1152" s="13"/>
      <c r="NTN1152" s="13"/>
      <c r="NTO1152" s="13"/>
      <c r="NTP1152" s="13"/>
      <c r="NTQ1152" s="13"/>
      <c r="NTR1152" s="13"/>
      <c r="NTS1152" s="13"/>
      <c r="NTT1152" s="13"/>
      <c r="NTU1152" s="13"/>
      <c r="NTV1152" s="13"/>
      <c r="NTW1152" s="13"/>
      <c r="NTX1152" s="13"/>
      <c r="NTY1152" s="13"/>
      <c r="NTZ1152" s="13"/>
      <c r="NUA1152" s="13"/>
      <c r="NUB1152" s="13"/>
      <c r="NUC1152" s="13"/>
      <c r="NUD1152" s="13"/>
      <c r="NUE1152" s="13"/>
      <c r="NUF1152" s="13"/>
      <c r="NUG1152" s="13"/>
      <c r="NUH1152" s="13"/>
      <c r="NUI1152" s="13"/>
      <c r="NUJ1152" s="13"/>
      <c r="NUK1152" s="13"/>
      <c r="NUL1152" s="13"/>
      <c r="NUM1152" s="13"/>
      <c r="NUN1152" s="13"/>
      <c r="NUO1152" s="13"/>
      <c r="NUP1152" s="13"/>
      <c r="NUQ1152" s="13"/>
      <c r="NUR1152" s="13"/>
      <c r="NUS1152" s="13"/>
      <c r="NUT1152" s="13"/>
      <c r="NUU1152" s="13"/>
      <c r="NUV1152" s="13"/>
      <c r="NUW1152" s="13"/>
      <c r="NUX1152" s="13"/>
      <c r="NUY1152" s="13"/>
      <c r="NUZ1152" s="13"/>
      <c r="NVA1152" s="13"/>
      <c r="NVB1152" s="13"/>
      <c r="NVC1152" s="13"/>
      <c r="NVD1152" s="13"/>
      <c r="NVE1152" s="13"/>
      <c r="NVF1152" s="13"/>
      <c r="NVG1152" s="13"/>
      <c r="NVH1152" s="13"/>
      <c r="NVI1152" s="13"/>
      <c r="NVJ1152" s="13"/>
      <c r="NVK1152" s="13"/>
      <c r="NVL1152" s="13"/>
      <c r="NVM1152" s="13"/>
      <c r="NVN1152" s="13"/>
      <c r="NVO1152" s="13"/>
      <c r="NVP1152" s="13"/>
      <c r="NVQ1152" s="13"/>
      <c r="NVR1152" s="13"/>
      <c r="NVS1152" s="13"/>
      <c r="NVT1152" s="13"/>
      <c r="NVU1152" s="13"/>
      <c r="NVV1152" s="13"/>
      <c r="NVW1152" s="13"/>
      <c r="NVX1152" s="13"/>
      <c r="NVY1152" s="13"/>
      <c r="NVZ1152" s="13"/>
      <c r="NWA1152" s="13"/>
      <c r="NWB1152" s="13"/>
      <c r="NWC1152" s="13"/>
      <c r="NWD1152" s="13"/>
      <c r="NWE1152" s="13"/>
      <c r="NWF1152" s="13"/>
      <c r="NWG1152" s="13"/>
      <c r="NWH1152" s="13"/>
      <c r="NWI1152" s="13"/>
      <c r="NWJ1152" s="13"/>
      <c r="NWK1152" s="13"/>
      <c r="NWL1152" s="13"/>
      <c r="NWM1152" s="13"/>
      <c r="NWN1152" s="13"/>
      <c r="NWO1152" s="13"/>
      <c r="NWP1152" s="13"/>
      <c r="NWQ1152" s="13"/>
      <c r="NWR1152" s="13"/>
      <c r="NWS1152" s="13"/>
      <c r="NWT1152" s="13"/>
      <c r="NWU1152" s="13"/>
      <c r="NWV1152" s="13"/>
      <c r="NWW1152" s="13"/>
      <c r="NWX1152" s="13"/>
      <c r="NWY1152" s="13"/>
      <c r="NWZ1152" s="13"/>
      <c r="NXA1152" s="13"/>
      <c r="NXB1152" s="13"/>
      <c r="NXC1152" s="13"/>
      <c r="NXD1152" s="13"/>
      <c r="NXE1152" s="13"/>
      <c r="NXF1152" s="13"/>
      <c r="NXG1152" s="13"/>
      <c r="NXH1152" s="13"/>
      <c r="NXI1152" s="13"/>
      <c r="NXJ1152" s="13"/>
      <c r="NXK1152" s="13"/>
      <c r="NXL1152" s="13"/>
      <c r="NXM1152" s="13"/>
      <c r="NXN1152" s="13"/>
      <c r="NXO1152" s="13"/>
      <c r="NXP1152" s="13"/>
      <c r="NXQ1152" s="13"/>
      <c r="NXR1152" s="13"/>
      <c r="NXS1152" s="13"/>
      <c r="NXT1152" s="13"/>
      <c r="NXU1152" s="13"/>
      <c r="NXV1152" s="13"/>
      <c r="NXW1152" s="13"/>
      <c r="NXX1152" s="13"/>
      <c r="NXY1152" s="13"/>
      <c r="NXZ1152" s="13"/>
      <c r="NYA1152" s="13"/>
      <c r="NYB1152" s="13"/>
      <c r="NYC1152" s="13"/>
      <c r="NYD1152" s="13"/>
      <c r="NYE1152" s="13"/>
      <c r="NYF1152" s="13"/>
      <c r="NYG1152" s="13"/>
      <c r="NYH1152" s="13"/>
      <c r="NYI1152" s="13"/>
      <c r="NYJ1152" s="13"/>
      <c r="NYK1152" s="13"/>
      <c r="NYL1152" s="13"/>
      <c r="NYM1152" s="13"/>
      <c r="NYN1152" s="13"/>
      <c r="NYO1152" s="13"/>
      <c r="NYP1152" s="13"/>
      <c r="NYQ1152" s="13"/>
      <c r="NYR1152" s="13"/>
      <c r="NYS1152" s="13"/>
      <c r="NYT1152" s="13"/>
      <c r="NYU1152" s="13"/>
      <c r="NYV1152" s="13"/>
      <c r="NYW1152" s="13"/>
      <c r="NYX1152" s="13"/>
      <c r="NYY1152" s="13"/>
      <c r="NYZ1152" s="13"/>
      <c r="NZA1152" s="13"/>
      <c r="NZB1152" s="13"/>
      <c r="NZC1152" s="13"/>
      <c r="NZD1152" s="13"/>
      <c r="NZE1152" s="13"/>
      <c r="NZF1152" s="13"/>
      <c r="NZG1152" s="13"/>
      <c r="NZH1152" s="13"/>
      <c r="NZI1152" s="13"/>
      <c r="NZJ1152" s="13"/>
      <c r="NZK1152" s="13"/>
      <c r="NZL1152" s="13"/>
      <c r="NZM1152" s="13"/>
      <c r="NZN1152" s="13"/>
      <c r="NZO1152" s="13"/>
      <c r="NZP1152" s="13"/>
      <c r="NZQ1152" s="13"/>
      <c r="NZR1152" s="13"/>
      <c r="NZS1152" s="13"/>
      <c r="NZT1152" s="13"/>
      <c r="NZU1152" s="13"/>
      <c r="NZV1152" s="13"/>
      <c r="NZW1152" s="13"/>
      <c r="NZX1152" s="13"/>
      <c r="NZY1152" s="13"/>
      <c r="NZZ1152" s="13"/>
      <c r="OAA1152" s="13"/>
      <c r="OAB1152" s="13"/>
      <c r="OAC1152" s="13"/>
      <c r="OAD1152" s="13"/>
      <c r="OAE1152" s="13"/>
      <c r="OAF1152" s="13"/>
      <c r="OAG1152" s="13"/>
      <c r="OAH1152" s="13"/>
      <c r="OAI1152" s="13"/>
      <c r="OAJ1152" s="13"/>
      <c r="OAK1152" s="13"/>
      <c r="OAL1152" s="13"/>
      <c r="OAM1152" s="13"/>
      <c r="OAN1152" s="13"/>
      <c r="OAO1152" s="13"/>
      <c r="OAP1152" s="13"/>
      <c r="OAQ1152" s="13"/>
      <c r="OAR1152" s="13"/>
      <c r="OAS1152" s="13"/>
      <c r="OAT1152" s="13"/>
      <c r="OAU1152" s="13"/>
      <c r="OAV1152" s="13"/>
      <c r="OAW1152" s="13"/>
      <c r="OAX1152" s="13"/>
      <c r="OAY1152" s="13"/>
      <c r="OAZ1152" s="13"/>
      <c r="OBA1152" s="13"/>
      <c r="OBB1152" s="13"/>
      <c r="OBC1152" s="13"/>
      <c r="OBD1152" s="13"/>
      <c r="OBE1152" s="13"/>
      <c r="OBF1152" s="13"/>
      <c r="OBG1152" s="13"/>
      <c r="OBH1152" s="13"/>
      <c r="OBI1152" s="13"/>
      <c r="OBJ1152" s="13"/>
      <c r="OBK1152" s="13"/>
      <c r="OBL1152" s="13"/>
      <c r="OBM1152" s="13"/>
      <c r="OBN1152" s="13"/>
      <c r="OBO1152" s="13"/>
      <c r="OBP1152" s="13"/>
      <c r="OBQ1152" s="13"/>
      <c r="OBR1152" s="13"/>
      <c r="OBS1152" s="13"/>
      <c r="OBT1152" s="13"/>
      <c r="OBU1152" s="13"/>
      <c r="OBV1152" s="13"/>
      <c r="OBW1152" s="13"/>
      <c r="OBX1152" s="13"/>
      <c r="OBY1152" s="13"/>
      <c r="OBZ1152" s="13"/>
      <c r="OCA1152" s="13"/>
      <c r="OCB1152" s="13"/>
      <c r="OCC1152" s="13"/>
      <c r="OCD1152" s="13"/>
      <c r="OCE1152" s="13"/>
      <c r="OCF1152" s="13"/>
      <c r="OCG1152" s="13"/>
      <c r="OCH1152" s="13"/>
      <c r="OCI1152" s="13"/>
      <c r="OCJ1152" s="13"/>
      <c r="OCK1152" s="13"/>
      <c r="OCL1152" s="13"/>
      <c r="OCM1152" s="13"/>
      <c r="OCN1152" s="13"/>
      <c r="OCO1152" s="13"/>
      <c r="OCP1152" s="13"/>
      <c r="OCQ1152" s="13"/>
      <c r="OCR1152" s="13"/>
      <c r="OCS1152" s="13"/>
      <c r="OCT1152" s="13"/>
      <c r="OCU1152" s="13"/>
      <c r="OCV1152" s="13"/>
      <c r="OCW1152" s="13"/>
      <c r="OCX1152" s="13"/>
      <c r="OCY1152" s="13"/>
      <c r="OCZ1152" s="13"/>
      <c r="ODA1152" s="13"/>
      <c r="ODB1152" s="13"/>
      <c r="ODC1152" s="13"/>
      <c r="ODD1152" s="13"/>
      <c r="ODE1152" s="13"/>
      <c r="ODF1152" s="13"/>
      <c r="ODG1152" s="13"/>
      <c r="ODH1152" s="13"/>
      <c r="ODI1152" s="13"/>
      <c r="ODJ1152" s="13"/>
      <c r="ODK1152" s="13"/>
      <c r="ODL1152" s="13"/>
      <c r="ODM1152" s="13"/>
      <c r="ODN1152" s="13"/>
      <c r="ODO1152" s="13"/>
      <c r="ODP1152" s="13"/>
      <c r="ODQ1152" s="13"/>
      <c r="ODR1152" s="13"/>
      <c r="ODS1152" s="13"/>
      <c r="ODT1152" s="13"/>
      <c r="ODU1152" s="13"/>
      <c r="ODV1152" s="13"/>
      <c r="ODW1152" s="13"/>
      <c r="ODX1152" s="13"/>
      <c r="ODY1152" s="13"/>
      <c r="ODZ1152" s="13"/>
      <c r="OEA1152" s="13"/>
      <c r="OEB1152" s="13"/>
      <c r="OEC1152" s="13"/>
      <c r="OED1152" s="13"/>
      <c r="OEE1152" s="13"/>
      <c r="OEF1152" s="13"/>
      <c r="OEG1152" s="13"/>
      <c r="OEH1152" s="13"/>
      <c r="OEI1152" s="13"/>
      <c r="OEJ1152" s="13"/>
      <c r="OEK1152" s="13"/>
      <c r="OEL1152" s="13"/>
      <c r="OEM1152" s="13"/>
      <c r="OEN1152" s="13"/>
      <c r="OEO1152" s="13"/>
      <c r="OEP1152" s="13"/>
      <c r="OEQ1152" s="13"/>
      <c r="OER1152" s="13"/>
      <c r="OES1152" s="13"/>
      <c r="OET1152" s="13"/>
      <c r="OEU1152" s="13"/>
      <c r="OEV1152" s="13"/>
      <c r="OEW1152" s="13"/>
      <c r="OEX1152" s="13"/>
      <c r="OEY1152" s="13"/>
      <c r="OEZ1152" s="13"/>
      <c r="OFA1152" s="13"/>
      <c r="OFB1152" s="13"/>
      <c r="OFC1152" s="13"/>
      <c r="OFD1152" s="13"/>
      <c r="OFE1152" s="13"/>
      <c r="OFF1152" s="13"/>
      <c r="OFG1152" s="13"/>
      <c r="OFH1152" s="13"/>
      <c r="OFI1152" s="13"/>
      <c r="OFJ1152" s="13"/>
      <c r="OFK1152" s="13"/>
      <c r="OFL1152" s="13"/>
      <c r="OFM1152" s="13"/>
      <c r="OFN1152" s="13"/>
      <c r="OFO1152" s="13"/>
      <c r="OFP1152" s="13"/>
      <c r="OFQ1152" s="13"/>
      <c r="OFR1152" s="13"/>
      <c r="OFS1152" s="13"/>
      <c r="OFT1152" s="13"/>
      <c r="OFU1152" s="13"/>
      <c r="OFV1152" s="13"/>
      <c r="OFW1152" s="13"/>
      <c r="OFX1152" s="13"/>
      <c r="OFY1152" s="13"/>
      <c r="OFZ1152" s="13"/>
      <c r="OGA1152" s="13"/>
      <c r="OGB1152" s="13"/>
      <c r="OGC1152" s="13"/>
      <c r="OGD1152" s="13"/>
      <c r="OGE1152" s="13"/>
      <c r="OGF1152" s="13"/>
      <c r="OGG1152" s="13"/>
      <c r="OGH1152" s="13"/>
      <c r="OGI1152" s="13"/>
      <c r="OGJ1152" s="13"/>
      <c r="OGK1152" s="13"/>
      <c r="OGL1152" s="13"/>
      <c r="OGM1152" s="13"/>
      <c r="OGN1152" s="13"/>
      <c r="OGO1152" s="13"/>
      <c r="OGP1152" s="13"/>
      <c r="OGQ1152" s="13"/>
      <c r="OGR1152" s="13"/>
      <c r="OGS1152" s="13"/>
      <c r="OGT1152" s="13"/>
      <c r="OGU1152" s="13"/>
      <c r="OGV1152" s="13"/>
      <c r="OGW1152" s="13"/>
      <c r="OGX1152" s="13"/>
      <c r="OGY1152" s="13"/>
      <c r="OGZ1152" s="13"/>
      <c r="OHA1152" s="13"/>
      <c r="OHB1152" s="13"/>
      <c r="OHC1152" s="13"/>
      <c r="OHD1152" s="13"/>
      <c r="OHE1152" s="13"/>
      <c r="OHF1152" s="13"/>
      <c r="OHG1152" s="13"/>
      <c r="OHH1152" s="13"/>
      <c r="OHI1152" s="13"/>
      <c r="OHJ1152" s="13"/>
      <c r="OHK1152" s="13"/>
      <c r="OHL1152" s="13"/>
      <c r="OHM1152" s="13"/>
      <c r="OHN1152" s="13"/>
      <c r="OHO1152" s="13"/>
      <c r="OHP1152" s="13"/>
      <c r="OHQ1152" s="13"/>
      <c r="OHR1152" s="13"/>
      <c r="OHS1152" s="13"/>
      <c r="OHT1152" s="13"/>
      <c r="OHU1152" s="13"/>
      <c r="OHV1152" s="13"/>
      <c r="OHW1152" s="13"/>
      <c r="OHX1152" s="13"/>
      <c r="OHY1152" s="13"/>
      <c r="OHZ1152" s="13"/>
      <c r="OIA1152" s="13"/>
      <c r="OIB1152" s="13"/>
      <c r="OIC1152" s="13"/>
      <c r="OID1152" s="13"/>
      <c r="OIE1152" s="13"/>
      <c r="OIF1152" s="13"/>
      <c r="OIG1152" s="13"/>
      <c r="OIH1152" s="13"/>
      <c r="OII1152" s="13"/>
      <c r="OIJ1152" s="13"/>
      <c r="OIK1152" s="13"/>
      <c r="OIL1152" s="13"/>
      <c r="OIM1152" s="13"/>
      <c r="OIN1152" s="13"/>
      <c r="OIO1152" s="13"/>
      <c r="OIP1152" s="13"/>
      <c r="OIQ1152" s="13"/>
      <c r="OIR1152" s="13"/>
      <c r="OIS1152" s="13"/>
      <c r="OIT1152" s="13"/>
      <c r="OIU1152" s="13"/>
      <c r="OIV1152" s="13"/>
      <c r="OIW1152" s="13"/>
      <c r="OIX1152" s="13"/>
      <c r="OIY1152" s="13"/>
      <c r="OIZ1152" s="13"/>
      <c r="OJA1152" s="13"/>
      <c r="OJB1152" s="13"/>
      <c r="OJC1152" s="13"/>
      <c r="OJD1152" s="13"/>
      <c r="OJE1152" s="13"/>
      <c r="OJF1152" s="13"/>
      <c r="OJG1152" s="13"/>
      <c r="OJH1152" s="13"/>
      <c r="OJI1152" s="13"/>
      <c r="OJJ1152" s="13"/>
      <c r="OJK1152" s="13"/>
      <c r="OJL1152" s="13"/>
      <c r="OJM1152" s="13"/>
      <c r="OJN1152" s="13"/>
      <c r="OJO1152" s="13"/>
      <c r="OJP1152" s="13"/>
      <c r="OJQ1152" s="13"/>
      <c r="OJR1152" s="13"/>
      <c r="OJS1152" s="13"/>
      <c r="OJT1152" s="13"/>
      <c r="OJU1152" s="13"/>
      <c r="OJV1152" s="13"/>
      <c r="OJW1152" s="13"/>
      <c r="OJX1152" s="13"/>
      <c r="OJY1152" s="13"/>
      <c r="OJZ1152" s="13"/>
      <c r="OKA1152" s="13"/>
      <c r="OKB1152" s="13"/>
      <c r="OKC1152" s="13"/>
      <c r="OKD1152" s="13"/>
      <c r="OKE1152" s="13"/>
      <c r="OKF1152" s="13"/>
      <c r="OKG1152" s="13"/>
      <c r="OKH1152" s="13"/>
      <c r="OKI1152" s="13"/>
      <c r="OKJ1152" s="13"/>
      <c r="OKK1152" s="13"/>
      <c r="OKL1152" s="13"/>
      <c r="OKM1152" s="13"/>
      <c r="OKN1152" s="13"/>
      <c r="OKO1152" s="13"/>
      <c r="OKP1152" s="13"/>
      <c r="OKQ1152" s="13"/>
      <c r="OKR1152" s="13"/>
      <c r="OKS1152" s="13"/>
      <c r="OKT1152" s="13"/>
      <c r="OKU1152" s="13"/>
      <c r="OKV1152" s="13"/>
      <c r="OKW1152" s="13"/>
      <c r="OKX1152" s="13"/>
      <c r="OKY1152" s="13"/>
      <c r="OKZ1152" s="13"/>
      <c r="OLA1152" s="13"/>
      <c r="OLB1152" s="13"/>
      <c r="OLC1152" s="13"/>
      <c r="OLD1152" s="13"/>
      <c r="OLE1152" s="13"/>
      <c r="OLF1152" s="13"/>
      <c r="OLG1152" s="13"/>
      <c r="OLH1152" s="13"/>
      <c r="OLI1152" s="13"/>
      <c r="OLJ1152" s="13"/>
      <c r="OLK1152" s="13"/>
      <c r="OLL1152" s="13"/>
      <c r="OLM1152" s="13"/>
      <c r="OLN1152" s="13"/>
      <c r="OLO1152" s="13"/>
      <c r="OLP1152" s="13"/>
      <c r="OLQ1152" s="13"/>
      <c r="OLR1152" s="13"/>
      <c r="OLS1152" s="13"/>
      <c r="OLT1152" s="13"/>
      <c r="OLU1152" s="13"/>
      <c r="OLV1152" s="13"/>
      <c r="OLW1152" s="13"/>
      <c r="OLX1152" s="13"/>
      <c r="OLY1152" s="13"/>
      <c r="OLZ1152" s="13"/>
      <c r="OMA1152" s="13"/>
      <c r="OMB1152" s="13"/>
      <c r="OMC1152" s="13"/>
      <c r="OMD1152" s="13"/>
      <c r="OME1152" s="13"/>
      <c r="OMF1152" s="13"/>
      <c r="OMG1152" s="13"/>
      <c r="OMH1152" s="13"/>
      <c r="OMI1152" s="13"/>
      <c r="OMJ1152" s="13"/>
      <c r="OMK1152" s="13"/>
      <c r="OML1152" s="13"/>
      <c r="OMM1152" s="13"/>
      <c r="OMN1152" s="13"/>
      <c r="OMO1152" s="13"/>
      <c r="OMP1152" s="13"/>
      <c r="OMQ1152" s="13"/>
      <c r="OMR1152" s="13"/>
      <c r="OMS1152" s="13"/>
      <c r="OMT1152" s="13"/>
      <c r="OMU1152" s="13"/>
      <c r="OMV1152" s="13"/>
      <c r="OMW1152" s="13"/>
      <c r="OMX1152" s="13"/>
      <c r="OMY1152" s="13"/>
      <c r="OMZ1152" s="13"/>
      <c r="ONA1152" s="13"/>
      <c r="ONB1152" s="13"/>
      <c r="ONC1152" s="13"/>
      <c r="OND1152" s="13"/>
      <c r="ONE1152" s="13"/>
      <c r="ONF1152" s="13"/>
      <c r="ONG1152" s="13"/>
      <c r="ONH1152" s="13"/>
      <c r="ONI1152" s="13"/>
      <c r="ONJ1152" s="13"/>
      <c r="ONK1152" s="13"/>
      <c r="ONL1152" s="13"/>
      <c r="ONM1152" s="13"/>
      <c r="ONN1152" s="13"/>
      <c r="ONO1152" s="13"/>
      <c r="ONP1152" s="13"/>
      <c r="ONQ1152" s="13"/>
      <c r="ONR1152" s="13"/>
      <c r="ONS1152" s="13"/>
      <c r="ONT1152" s="13"/>
      <c r="ONU1152" s="13"/>
      <c r="ONV1152" s="13"/>
      <c r="ONW1152" s="13"/>
      <c r="ONX1152" s="13"/>
      <c r="ONY1152" s="13"/>
      <c r="ONZ1152" s="13"/>
      <c r="OOA1152" s="13"/>
      <c r="OOB1152" s="13"/>
      <c r="OOC1152" s="13"/>
      <c r="OOD1152" s="13"/>
      <c r="OOE1152" s="13"/>
      <c r="OOF1152" s="13"/>
      <c r="OOG1152" s="13"/>
      <c r="OOH1152" s="13"/>
      <c r="OOI1152" s="13"/>
      <c r="OOJ1152" s="13"/>
      <c r="OOK1152" s="13"/>
      <c r="OOL1152" s="13"/>
      <c r="OOM1152" s="13"/>
      <c r="OON1152" s="13"/>
      <c r="OOO1152" s="13"/>
      <c r="OOP1152" s="13"/>
      <c r="OOQ1152" s="13"/>
      <c r="OOR1152" s="13"/>
      <c r="OOS1152" s="13"/>
      <c r="OOT1152" s="13"/>
      <c r="OOU1152" s="13"/>
      <c r="OOV1152" s="13"/>
      <c r="OOW1152" s="13"/>
      <c r="OOX1152" s="13"/>
      <c r="OOY1152" s="13"/>
      <c r="OOZ1152" s="13"/>
      <c r="OPA1152" s="13"/>
      <c r="OPB1152" s="13"/>
      <c r="OPC1152" s="13"/>
      <c r="OPD1152" s="13"/>
      <c r="OPE1152" s="13"/>
      <c r="OPF1152" s="13"/>
      <c r="OPG1152" s="13"/>
      <c r="OPH1152" s="13"/>
      <c r="OPI1152" s="13"/>
      <c r="OPJ1152" s="13"/>
      <c r="OPK1152" s="13"/>
      <c r="OPL1152" s="13"/>
      <c r="OPM1152" s="13"/>
      <c r="OPN1152" s="13"/>
      <c r="OPO1152" s="13"/>
      <c r="OPP1152" s="13"/>
      <c r="OPQ1152" s="13"/>
      <c r="OPR1152" s="13"/>
      <c r="OPS1152" s="13"/>
      <c r="OPT1152" s="13"/>
      <c r="OPU1152" s="13"/>
      <c r="OPV1152" s="13"/>
      <c r="OPW1152" s="13"/>
      <c r="OPX1152" s="13"/>
      <c r="OPY1152" s="13"/>
      <c r="OPZ1152" s="13"/>
      <c r="OQA1152" s="13"/>
      <c r="OQB1152" s="13"/>
      <c r="OQC1152" s="13"/>
      <c r="OQD1152" s="13"/>
      <c r="OQE1152" s="13"/>
      <c r="OQF1152" s="13"/>
      <c r="OQG1152" s="13"/>
      <c r="OQH1152" s="13"/>
      <c r="OQI1152" s="13"/>
      <c r="OQJ1152" s="13"/>
      <c r="OQK1152" s="13"/>
      <c r="OQL1152" s="13"/>
      <c r="OQM1152" s="13"/>
      <c r="OQN1152" s="13"/>
      <c r="OQO1152" s="13"/>
      <c r="OQP1152" s="13"/>
      <c r="OQQ1152" s="13"/>
      <c r="OQR1152" s="13"/>
      <c r="OQS1152" s="13"/>
      <c r="OQT1152" s="13"/>
      <c r="OQU1152" s="13"/>
      <c r="OQV1152" s="13"/>
      <c r="OQW1152" s="13"/>
      <c r="OQX1152" s="13"/>
      <c r="OQY1152" s="13"/>
      <c r="OQZ1152" s="13"/>
      <c r="ORA1152" s="13"/>
      <c r="ORB1152" s="13"/>
      <c r="ORC1152" s="13"/>
      <c r="ORD1152" s="13"/>
      <c r="ORE1152" s="13"/>
      <c r="ORF1152" s="13"/>
      <c r="ORG1152" s="13"/>
      <c r="ORH1152" s="13"/>
      <c r="ORI1152" s="13"/>
      <c r="ORJ1152" s="13"/>
      <c r="ORK1152" s="13"/>
      <c r="ORL1152" s="13"/>
      <c r="ORM1152" s="13"/>
      <c r="ORN1152" s="13"/>
      <c r="ORO1152" s="13"/>
      <c r="ORP1152" s="13"/>
      <c r="ORQ1152" s="13"/>
      <c r="ORR1152" s="13"/>
      <c r="ORS1152" s="13"/>
      <c r="ORT1152" s="13"/>
      <c r="ORU1152" s="13"/>
      <c r="ORV1152" s="13"/>
      <c r="ORW1152" s="13"/>
      <c r="ORX1152" s="13"/>
      <c r="ORY1152" s="13"/>
      <c r="ORZ1152" s="13"/>
      <c r="OSA1152" s="13"/>
      <c r="OSB1152" s="13"/>
      <c r="OSC1152" s="13"/>
      <c r="OSD1152" s="13"/>
      <c r="OSE1152" s="13"/>
      <c r="OSF1152" s="13"/>
      <c r="OSG1152" s="13"/>
      <c r="OSH1152" s="13"/>
      <c r="OSI1152" s="13"/>
      <c r="OSJ1152" s="13"/>
      <c r="OSK1152" s="13"/>
      <c r="OSL1152" s="13"/>
      <c r="OSM1152" s="13"/>
      <c r="OSN1152" s="13"/>
      <c r="OSO1152" s="13"/>
      <c r="OSP1152" s="13"/>
      <c r="OSQ1152" s="13"/>
      <c r="OSR1152" s="13"/>
      <c r="OSS1152" s="13"/>
      <c r="OST1152" s="13"/>
      <c r="OSU1152" s="13"/>
      <c r="OSV1152" s="13"/>
      <c r="OSW1152" s="13"/>
      <c r="OSX1152" s="13"/>
      <c r="OSY1152" s="13"/>
      <c r="OSZ1152" s="13"/>
      <c r="OTA1152" s="13"/>
      <c r="OTB1152" s="13"/>
      <c r="OTC1152" s="13"/>
      <c r="OTD1152" s="13"/>
      <c r="OTE1152" s="13"/>
      <c r="OTF1152" s="13"/>
      <c r="OTG1152" s="13"/>
      <c r="OTH1152" s="13"/>
      <c r="OTI1152" s="13"/>
      <c r="OTJ1152" s="13"/>
      <c r="OTK1152" s="13"/>
      <c r="OTL1152" s="13"/>
      <c r="OTM1152" s="13"/>
      <c r="OTN1152" s="13"/>
      <c r="OTO1152" s="13"/>
      <c r="OTP1152" s="13"/>
      <c r="OTQ1152" s="13"/>
      <c r="OTR1152" s="13"/>
      <c r="OTS1152" s="13"/>
      <c r="OTT1152" s="13"/>
      <c r="OTU1152" s="13"/>
      <c r="OTV1152" s="13"/>
      <c r="OTW1152" s="13"/>
      <c r="OTX1152" s="13"/>
      <c r="OTY1152" s="13"/>
      <c r="OTZ1152" s="13"/>
      <c r="OUA1152" s="13"/>
      <c r="OUB1152" s="13"/>
      <c r="OUC1152" s="13"/>
      <c r="OUD1152" s="13"/>
      <c r="OUE1152" s="13"/>
      <c r="OUF1152" s="13"/>
      <c r="OUG1152" s="13"/>
      <c r="OUH1152" s="13"/>
      <c r="OUI1152" s="13"/>
      <c r="OUJ1152" s="13"/>
      <c r="OUK1152" s="13"/>
      <c r="OUL1152" s="13"/>
      <c r="OUM1152" s="13"/>
      <c r="OUN1152" s="13"/>
      <c r="OUO1152" s="13"/>
      <c r="OUP1152" s="13"/>
      <c r="OUQ1152" s="13"/>
      <c r="OUR1152" s="13"/>
      <c r="OUS1152" s="13"/>
      <c r="OUT1152" s="13"/>
      <c r="OUU1152" s="13"/>
      <c r="OUV1152" s="13"/>
      <c r="OUW1152" s="13"/>
      <c r="OUX1152" s="13"/>
      <c r="OUY1152" s="13"/>
      <c r="OUZ1152" s="13"/>
      <c r="OVA1152" s="13"/>
      <c r="OVB1152" s="13"/>
      <c r="OVC1152" s="13"/>
      <c r="OVD1152" s="13"/>
      <c r="OVE1152" s="13"/>
      <c r="OVF1152" s="13"/>
      <c r="OVG1152" s="13"/>
      <c r="OVH1152" s="13"/>
      <c r="OVI1152" s="13"/>
      <c r="OVJ1152" s="13"/>
      <c r="OVK1152" s="13"/>
      <c r="OVL1152" s="13"/>
      <c r="OVM1152" s="13"/>
      <c r="OVN1152" s="13"/>
      <c r="OVO1152" s="13"/>
      <c r="OVP1152" s="13"/>
      <c r="OVQ1152" s="13"/>
      <c r="OVR1152" s="13"/>
      <c r="OVS1152" s="13"/>
      <c r="OVT1152" s="13"/>
      <c r="OVU1152" s="13"/>
      <c r="OVV1152" s="13"/>
      <c r="OVW1152" s="13"/>
      <c r="OVX1152" s="13"/>
      <c r="OVY1152" s="13"/>
      <c r="OVZ1152" s="13"/>
      <c r="OWA1152" s="13"/>
      <c r="OWB1152" s="13"/>
      <c r="OWC1152" s="13"/>
      <c r="OWD1152" s="13"/>
      <c r="OWE1152" s="13"/>
      <c r="OWF1152" s="13"/>
      <c r="OWG1152" s="13"/>
      <c r="OWH1152" s="13"/>
      <c r="OWI1152" s="13"/>
      <c r="OWJ1152" s="13"/>
      <c r="OWK1152" s="13"/>
      <c r="OWL1152" s="13"/>
      <c r="OWM1152" s="13"/>
      <c r="OWN1152" s="13"/>
      <c r="OWO1152" s="13"/>
      <c r="OWP1152" s="13"/>
      <c r="OWQ1152" s="13"/>
      <c r="OWR1152" s="13"/>
      <c r="OWS1152" s="13"/>
      <c r="OWT1152" s="13"/>
      <c r="OWU1152" s="13"/>
      <c r="OWV1152" s="13"/>
      <c r="OWW1152" s="13"/>
      <c r="OWX1152" s="13"/>
      <c r="OWY1152" s="13"/>
      <c r="OWZ1152" s="13"/>
      <c r="OXA1152" s="13"/>
      <c r="OXB1152" s="13"/>
      <c r="OXC1152" s="13"/>
      <c r="OXD1152" s="13"/>
      <c r="OXE1152" s="13"/>
      <c r="OXF1152" s="13"/>
      <c r="OXG1152" s="13"/>
      <c r="OXH1152" s="13"/>
      <c r="OXI1152" s="13"/>
      <c r="OXJ1152" s="13"/>
      <c r="OXK1152" s="13"/>
      <c r="OXL1152" s="13"/>
      <c r="OXM1152" s="13"/>
      <c r="OXN1152" s="13"/>
      <c r="OXO1152" s="13"/>
      <c r="OXP1152" s="13"/>
      <c r="OXQ1152" s="13"/>
      <c r="OXR1152" s="13"/>
      <c r="OXS1152" s="13"/>
      <c r="OXT1152" s="13"/>
      <c r="OXU1152" s="13"/>
      <c r="OXV1152" s="13"/>
      <c r="OXW1152" s="13"/>
      <c r="OXX1152" s="13"/>
      <c r="OXY1152" s="13"/>
      <c r="OXZ1152" s="13"/>
      <c r="OYA1152" s="13"/>
      <c r="OYB1152" s="13"/>
      <c r="OYC1152" s="13"/>
      <c r="OYD1152" s="13"/>
      <c r="OYE1152" s="13"/>
      <c r="OYF1152" s="13"/>
      <c r="OYG1152" s="13"/>
      <c r="OYH1152" s="13"/>
      <c r="OYI1152" s="13"/>
      <c r="OYJ1152" s="13"/>
      <c r="OYK1152" s="13"/>
      <c r="OYL1152" s="13"/>
      <c r="OYM1152" s="13"/>
      <c r="OYN1152" s="13"/>
      <c r="OYO1152" s="13"/>
      <c r="OYP1152" s="13"/>
      <c r="OYQ1152" s="13"/>
      <c r="OYR1152" s="13"/>
      <c r="OYS1152" s="13"/>
      <c r="OYT1152" s="13"/>
      <c r="OYU1152" s="13"/>
      <c r="OYV1152" s="13"/>
      <c r="OYW1152" s="13"/>
      <c r="OYX1152" s="13"/>
      <c r="OYY1152" s="13"/>
      <c r="OYZ1152" s="13"/>
      <c r="OZA1152" s="13"/>
      <c r="OZB1152" s="13"/>
      <c r="OZC1152" s="13"/>
      <c r="OZD1152" s="13"/>
      <c r="OZE1152" s="13"/>
      <c r="OZF1152" s="13"/>
      <c r="OZG1152" s="13"/>
      <c r="OZH1152" s="13"/>
      <c r="OZI1152" s="13"/>
      <c r="OZJ1152" s="13"/>
      <c r="OZK1152" s="13"/>
      <c r="OZL1152" s="13"/>
      <c r="OZM1152" s="13"/>
      <c r="OZN1152" s="13"/>
      <c r="OZO1152" s="13"/>
      <c r="OZP1152" s="13"/>
      <c r="OZQ1152" s="13"/>
      <c r="OZR1152" s="13"/>
      <c r="OZS1152" s="13"/>
      <c r="OZT1152" s="13"/>
      <c r="OZU1152" s="13"/>
      <c r="OZV1152" s="13"/>
      <c r="OZW1152" s="13"/>
      <c r="OZX1152" s="13"/>
      <c r="OZY1152" s="13"/>
      <c r="OZZ1152" s="13"/>
      <c r="PAA1152" s="13"/>
      <c r="PAB1152" s="13"/>
      <c r="PAC1152" s="13"/>
      <c r="PAD1152" s="13"/>
      <c r="PAE1152" s="13"/>
      <c r="PAF1152" s="13"/>
      <c r="PAG1152" s="13"/>
      <c r="PAH1152" s="13"/>
      <c r="PAI1152" s="13"/>
      <c r="PAJ1152" s="13"/>
      <c r="PAK1152" s="13"/>
      <c r="PAL1152" s="13"/>
      <c r="PAM1152" s="13"/>
      <c r="PAN1152" s="13"/>
      <c r="PAO1152" s="13"/>
      <c r="PAP1152" s="13"/>
      <c r="PAQ1152" s="13"/>
      <c r="PAR1152" s="13"/>
      <c r="PAS1152" s="13"/>
      <c r="PAT1152" s="13"/>
      <c r="PAU1152" s="13"/>
      <c r="PAV1152" s="13"/>
      <c r="PAW1152" s="13"/>
      <c r="PAX1152" s="13"/>
      <c r="PAY1152" s="13"/>
      <c r="PAZ1152" s="13"/>
      <c r="PBA1152" s="13"/>
      <c r="PBB1152" s="13"/>
      <c r="PBC1152" s="13"/>
      <c r="PBD1152" s="13"/>
      <c r="PBE1152" s="13"/>
      <c r="PBF1152" s="13"/>
      <c r="PBG1152" s="13"/>
      <c r="PBH1152" s="13"/>
      <c r="PBI1152" s="13"/>
      <c r="PBJ1152" s="13"/>
      <c r="PBK1152" s="13"/>
      <c r="PBL1152" s="13"/>
      <c r="PBM1152" s="13"/>
      <c r="PBN1152" s="13"/>
      <c r="PBO1152" s="13"/>
      <c r="PBP1152" s="13"/>
      <c r="PBQ1152" s="13"/>
      <c r="PBR1152" s="13"/>
      <c r="PBS1152" s="13"/>
      <c r="PBT1152" s="13"/>
      <c r="PBU1152" s="13"/>
      <c r="PBV1152" s="13"/>
      <c r="PBW1152" s="13"/>
      <c r="PBX1152" s="13"/>
      <c r="PBY1152" s="13"/>
      <c r="PBZ1152" s="13"/>
      <c r="PCA1152" s="13"/>
      <c r="PCB1152" s="13"/>
      <c r="PCC1152" s="13"/>
      <c r="PCD1152" s="13"/>
      <c r="PCE1152" s="13"/>
      <c r="PCF1152" s="13"/>
      <c r="PCG1152" s="13"/>
      <c r="PCH1152" s="13"/>
      <c r="PCI1152" s="13"/>
      <c r="PCJ1152" s="13"/>
      <c r="PCK1152" s="13"/>
      <c r="PCL1152" s="13"/>
      <c r="PCM1152" s="13"/>
      <c r="PCN1152" s="13"/>
      <c r="PCO1152" s="13"/>
      <c r="PCP1152" s="13"/>
      <c r="PCQ1152" s="13"/>
      <c r="PCR1152" s="13"/>
      <c r="PCS1152" s="13"/>
      <c r="PCT1152" s="13"/>
      <c r="PCU1152" s="13"/>
      <c r="PCV1152" s="13"/>
      <c r="PCW1152" s="13"/>
      <c r="PCX1152" s="13"/>
      <c r="PCY1152" s="13"/>
      <c r="PCZ1152" s="13"/>
      <c r="PDA1152" s="13"/>
      <c r="PDB1152" s="13"/>
      <c r="PDC1152" s="13"/>
      <c r="PDD1152" s="13"/>
      <c r="PDE1152" s="13"/>
      <c r="PDF1152" s="13"/>
      <c r="PDG1152" s="13"/>
      <c r="PDH1152" s="13"/>
      <c r="PDI1152" s="13"/>
      <c r="PDJ1152" s="13"/>
      <c r="PDK1152" s="13"/>
      <c r="PDL1152" s="13"/>
      <c r="PDM1152" s="13"/>
      <c r="PDN1152" s="13"/>
      <c r="PDO1152" s="13"/>
      <c r="PDP1152" s="13"/>
      <c r="PDQ1152" s="13"/>
      <c r="PDR1152" s="13"/>
      <c r="PDS1152" s="13"/>
      <c r="PDT1152" s="13"/>
      <c r="PDU1152" s="13"/>
      <c r="PDV1152" s="13"/>
      <c r="PDW1152" s="13"/>
      <c r="PDX1152" s="13"/>
      <c r="PDY1152" s="13"/>
      <c r="PDZ1152" s="13"/>
      <c r="PEA1152" s="13"/>
      <c r="PEB1152" s="13"/>
      <c r="PEC1152" s="13"/>
      <c r="PED1152" s="13"/>
      <c r="PEE1152" s="13"/>
      <c r="PEF1152" s="13"/>
      <c r="PEG1152" s="13"/>
      <c r="PEH1152" s="13"/>
      <c r="PEI1152" s="13"/>
      <c r="PEJ1152" s="13"/>
      <c r="PEK1152" s="13"/>
      <c r="PEL1152" s="13"/>
      <c r="PEM1152" s="13"/>
      <c r="PEN1152" s="13"/>
      <c r="PEO1152" s="13"/>
      <c r="PEP1152" s="13"/>
      <c r="PEQ1152" s="13"/>
      <c r="PER1152" s="13"/>
      <c r="PES1152" s="13"/>
      <c r="PET1152" s="13"/>
      <c r="PEU1152" s="13"/>
      <c r="PEV1152" s="13"/>
      <c r="PEW1152" s="13"/>
      <c r="PEX1152" s="13"/>
      <c r="PEY1152" s="13"/>
      <c r="PEZ1152" s="13"/>
      <c r="PFA1152" s="13"/>
      <c r="PFB1152" s="13"/>
      <c r="PFC1152" s="13"/>
      <c r="PFD1152" s="13"/>
      <c r="PFE1152" s="13"/>
      <c r="PFF1152" s="13"/>
      <c r="PFG1152" s="13"/>
      <c r="PFH1152" s="13"/>
      <c r="PFI1152" s="13"/>
      <c r="PFJ1152" s="13"/>
      <c r="PFK1152" s="13"/>
      <c r="PFL1152" s="13"/>
      <c r="PFM1152" s="13"/>
      <c r="PFN1152" s="13"/>
      <c r="PFO1152" s="13"/>
      <c r="PFP1152" s="13"/>
      <c r="PFQ1152" s="13"/>
      <c r="PFR1152" s="13"/>
      <c r="PFS1152" s="13"/>
      <c r="PFT1152" s="13"/>
      <c r="PFU1152" s="13"/>
      <c r="PFV1152" s="13"/>
      <c r="PFW1152" s="13"/>
      <c r="PFX1152" s="13"/>
      <c r="PFY1152" s="13"/>
      <c r="PFZ1152" s="13"/>
      <c r="PGA1152" s="13"/>
      <c r="PGB1152" s="13"/>
      <c r="PGC1152" s="13"/>
      <c r="PGD1152" s="13"/>
      <c r="PGE1152" s="13"/>
      <c r="PGF1152" s="13"/>
      <c r="PGG1152" s="13"/>
      <c r="PGH1152" s="13"/>
      <c r="PGI1152" s="13"/>
      <c r="PGJ1152" s="13"/>
      <c r="PGK1152" s="13"/>
      <c r="PGL1152" s="13"/>
      <c r="PGM1152" s="13"/>
      <c r="PGN1152" s="13"/>
      <c r="PGO1152" s="13"/>
      <c r="PGP1152" s="13"/>
      <c r="PGQ1152" s="13"/>
      <c r="PGR1152" s="13"/>
      <c r="PGS1152" s="13"/>
      <c r="PGT1152" s="13"/>
      <c r="PGU1152" s="13"/>
      <c r="PGV1152" s="13"/>
      <c r="PGW1152" s="13"/>
      <c r="PGX1152" s="13"/>
      <c r="PGY1152" s="13"/>
      <c r="PGZ1152" s="13"/>
      <c r="PHA1152" s="13"/>
      <c r="PHB1152" s="13"/>
      <c r="PHC1152" s="13"/>
      <c r="PHD1152" s="13"/>
      <c r="PHE1152" s="13"/>
      <c r="PHF1152" s="13"/>
      <c r="PHG1152" s="13"/>
      <c r="PHH1152" s="13"/>
      <c r="PHI1152" s="13"/>
      <c r="PHJ1152" s="13"/>
      <c r="PHK1152" s="13"/>
      <c r="PHL1152" s="13"/>
      <c r="PHM1152" s="13"/>
      <c r="PHN1152" s="13"/>
      <c r="PHO1152" s="13"/>
      <c r="PHP1152" s="13"/>
      <c r="PHQ1152" s="13"/>
      <c r="PHR1152" s="13"/>
      <c r="PHS1152" s="13"/>
      <c r="PHT1152" s="13"/>
      <c r="PHU1152" s="13"/>
      <c r="PHV1152" s="13"/>
      <c r="PHW1152" s="13"/>
      <c r="PHX1152" s="13"/>
      <c r="PHY1152" s="13"/>
      <c r="PHZ1152" s="13"/>
      <c r="PIA1152" s="13"/>
      <c r="PIB1152" s="13"/>
      <c r="PIC1152" s="13"/>
      <c r="PID1152" s="13"/>
      <c r="PIE1152" s="13"/>
      <c r="PIF1152" s="13"/>
      <c r="PIG1152" s="13"/>
      <c r="PIH1152" s="13"/>
      <c r="PII1152" s="13"/>
      <c r="PIJ1152" s="13"/>
      <c r="PIK1152" s="13"/>
      <c r="PIL1152" s="13"/>
      <c r="PIM1152" s="13"/>
      <c r="PIN1152" s="13"/>
      <c r="PIO1152" s="13"/>
      <c r="PIP1152" s="13"/>
      <c r="PIQ1152" s="13"/>
      <c r="PIR1152" s="13"/>
      <c r="PIS1152" s="13"/>
      <c r="PIT1152" s="13"/>
      <c r="PIU1152" s="13"/>
      <c r="PIV1152" s="13"/>
      <c r="PIW1152" s="13"/>
      <c r="PIX1152" s="13"/>
      <c r="PIY1152" s="13"/>
      <c r="PIZ1152" s="13"/>
      <c r="PJA1152" s="13"/>
      <c r="PJB1152" s="13"/>
      <c r="PJC1152" s="13"/>
      <c r="PJD1152" s="13"/>
      <c r="PJE1152" s="13"/>
      <c r="PJF1152" s="13"/>
      <c r="PJG1152" s="13"/>
      <c r="PJH1152" s="13"/>
      <c r="PJI1152" s="13"/>
      <c r="PJJ1152" s="13"/>
      <c r="PJK1152" s="13"/>
      <c r="PJL1152" s="13"/>
      <c r="PJM1152" s="13"/>
      <c r="PJN1152" s="13"/>
      <c r="PJO1152" s="13"/>
      <c r="PJP1152" s="13"/>
      <c r="PJQ1152" s="13"/>
      <c r="PJR1152" s="13"/>
      <c r="PJS1152" s="13"/>
      <c r="PJT1152" s="13"/>
      <c r="PJU1152" s="13"/>
      <c r="PJV1152" s="13"/>
      <c r="PJW1152" s="13"/>
      <c r="PJX1152" s="13"/>
      <c r="PJY1152" s="13"/>
      <c r="PJZ1152" s="13"/>
      <c r="PKA1152" s="13"/>
      <c r="PKB1152" s="13"/>
      <c r="PKC1152" s="13"/>
      <c r="PKD1152" s="13"/>
      <c r="PKE1152" s="13"/>
      <c r="PKF1152" s="13"/>
      <c r="PKG1152" s="13"/>
      <c r="PKH1152" s="13"/>
      <c r="PKI1152" s="13"/>
      <c r="PKJ1152" s="13"/>
      <c r="PKK1152" s="13"/>
      <c r="PKL1152" s="13"/>
      <c r="PKM1152" s="13"/>
      <c r="PKN1152" s="13"/>
      <c r="PKO1152" s="13"/>
      <c r="PKP1152" s="13"/>
      <c r="PKQ1152" s="13"/>
      <c r="PKR1152" s="13"/>
      <c r="PKS1152" s="13"/>
      <c r="PKT1152" s="13"/>
      <c r="PKU1152" s="13"/>
      <c r="PKV1152" s="13"/>
      <c r="PKW1152" s="13"/>
      <c r="PKX1152" s="13"/>
      <c r="PKY1152" s="13"/>
      <c r="PKZ1152" s="13"/>
      <c r="PLA1152" s="13"/>
      <c r="PLB1152" s="13"/>
      <c r="PLC1152" s="13"/>
      <c r="PLD1152" s="13"/>
      <c r="PLE1152" s="13"/>
      <c r="PLF1152" s="13"/>
      <c r="PLG1152" s="13"/>
      <c r="PLH1152" s="13"/>
      <c r="PLI1152" s="13"/>
      <c r="PLJ1152" s="13"/>
      <c r="PLK1152" s="13"/>
      <c r="PLL1152" s="13"/>
      <c r="PLM1152" s="13"/>
      <c r="PLN1152" s="13"/>
      <c r="PLO1152" s="13"/>
      <c r="PLP1152" s="13"/>
      <c r="PLQ1152" s="13"/>
      <c r="PLR1152" s="13"/>
      <c r="PLS1152" s="13"/>
      <c r="PLT1152" s="13"/>
      <c r="PLU1152" s="13"/>
      <c r="PLV1152" s="13"/>
      <c r="PLW1152" s="13"/>
      <c r="PLX1152" s="13"/>
      <c r="PLY1152" s="13"/>
      <c r="PLZ1152" s="13"/>
      <c r="PMA1152" s="13"/>
      <c r="PMB1152" s="13"/>
      <c r="PMC1152" s="13"/>
      <c r="PMD1152" s="13"/>
      <c r="PME1152" s="13"/>
      <c r="PMF1152" s="13"/>
      <c r="PMG1152" s="13"/>
      <c r="PMH1152" s="13"/>
      <c r="PMI1152" s="13"/>
      <c r="PMJ1152" s="13"/>
      <c r="PMK1152" s="13"/>
      <c r="PML1152" s="13"/>
      <c r="PMM1152" s="13"/>
      <c r="PMN1152" s="13"/>
      <c r="PMO1152" s="13"/>
      <c r="PMP1152" s="13"/>
      <c r="PMQ1152" s="13"/>
      <c r="PMR1152" s="13"/>
      <c r="PMS1152" s="13"/>
      <c r="PMT1152" s="13"/>
      <c r="PMU1152" s="13"/>
      <c r="PMV1152" s="13"/>
      <c r="PMW1152" s="13"/>
      <c r="PMX1152" s="13"/>
      <c r="PMY1152" s="13"/>
      <c r="PMZ1152" s="13"/>
      <c r="PNA1152" s="13"/>
      <c r="PNB1152" s="13"/>
      <c r="PNC1152" s="13"/>
      <c r="PND1152" s="13"/>
      <c r="PNE1152" s="13"/>
      <c r="PNF1152" s="13"/>
      <c r="PNG1152" s="13"/>
      <c r="PNH1152" s="13"/>
      <c r="PNI1152" s="13"/>
      <c r="PNJ1152" s="13"/>
      <c r="PNK1152" s="13"/>
      <c r="PNL1152" s="13"/>
      <c r="PNM1152" s="13"/>
      <c r="PNN1152" s="13"/>
      <c r="PNO1152" s="13"/>
      <c r="PNP1152" s="13"/>
      <c r="PNQ1152" s="13"/>
      <c r="PNR1152" s="13"/>
      <c r="PNS1152" s="13"/>
      <c r="PNT1152" s="13"/>
      <c r="PNU1152" s="13"/>
      <c r="PNV1152" s="13"/>
      <c r="PNW1152" s="13"/>
      <c r="PNX1152" s="13"/>
      <c r="PNY1152" s="13"/>
      <c r="PNZ1152" s="13"/>
      <c r="POA1152" s="13"/>
      <c r="POB1152" s="13"/>
      <c r="POC1152" s="13"/>
      <c r="POD1152" s="13"/>
      <c r="POE1152" s="13"/>
      <c r="POF1152" s="13"/>
      <c r="POG1152" s="13"/>
      <c r="POH1152" s="13"/>
      <c r="POI1152" s="13"/>
      <c r="POJ1152" s="13"/>
      <c r="POK1152" s="13"/>
      <c r="POL1152" s="13"/>
      <c r="POM1152" s="13"/>
      <c r="PON1152" s="13"/>
      <c r="POO1152" s="13"/>
      <c r="POP1152" s="13"/>
      <c r="POQ1152" s="13"/>
      <c r="POR1152" s="13"/>
      <c r="POS1152" s="13"/>
      <c r="POT1152" s="13"/>
      <c r="POU1152" s="13"/>
      <c r="POV1152" s="13"/>
      <c r="POW1152" s="13"/>
      <c r="POX1152" s="13"/>
      <c r="POY1152" s="13"/>
      <c r="POZ1152" s="13"/>
      <c r="PPA1152" s="13"/>
      <c r="PPB1152" s="13"/>
      <c r="PPC1152" s="13"/>
      <c r="PPD1152" s="13"/>
      <c r="PPE1152" s="13"/>
      <c r="PPF1152" s="13"/>
      <c r="PPG1152" s="13"/>
      <c r="PPH1152" s="13"/>
      <c r="PPI1152" s="13"/>
      <c r="PPJ1152" s="13"/>
      <c r="PPK1152" s="13"/>
      <c r="PPL1152" s="13"/>
      <c r="PPM1152" s="13"/>
      <c r="PPN1152" s="13"/>
      <c r="PPO1152" s="13"/>
      <c r="PPP1152" s="13"/>
      <c r="PPQ1152" s="13"/>
      <c r="PPR1152" s="13"/>
      <c r="PPS1152" s="13"/>
      <c r="PPT1152" s="13"/>
      <c r="PPU1152" s="13"/>
      <c r="PPV1152" s="13"/>
      <c r="PPW1152" s="13"/>
      <c r="PPX1152" s="13"/>
      <c r="PPY1152" s="13"/>
      <c r="PPZ1152" s="13"/>
      <c r="PQA1152" s="13"/>
      <c r="PQB1152" s="13"/>
      <c r="PQC1152" s="13"/>
      <c r="PQD1152" s="13"/>
      <c r="PQE1152" s="13"/>
      <c r="PQF1152" s="13"/>
      <c r="PQG1152" s="13"/>
      <c r="PQH1152" s="13"/>
      <c r="PQI1152" s="13"/>
      <c r="PQJ1152" s="13"/>
      <c r="PQK1152" s="13"/>
      <c r="PQL1152" s="13"/>
      <c r="PQM1152" s="13"/>
      <c r="PQN1152" s="13"/>
      <c r="PQO1152" s="13"/>
      <c r="PQP1152" s="13"/>
      <c r="PQQ1152" s="13"/>
      <c r="PQR1152" s="13"/>
      <c r="PQS1152" s="13"/>
      <c r="PQT1152" s="13"/>
      <c r="PQU1152" s="13"/>
      <c r="PQV1152" s="13"/>
      <c r="PQW1152" s="13"/>
      <c r="PQX1152" s="13"/>
      <c r="PQY1152" s="13"/>
      <c r="PQZ1152" s="13"/>
      <c r="PRA1152" s="13"/>
      <c r="PRB1152" s="13"/>
      <c r="PRC1152" s="13"/>
      <c r="PRD1152" s="13"/>
      <c r="PRE1152" s="13"/>
      <c r="PRF1152" s="13"/>
      <c r="PRG1152" s="13"/>
      <c r="PRH1152" s="13"/>
      <c r="PRI1152" s="13"/>
      <c r="PRJ1152" s="13"/>
      <c r="PRK1152" s="13"/>
      <c r="PRL1152" s="13"/>
      <c r="PRM1152" s="13"/>
      <c r="PRN1152" s="13"/>
      <c r="PRO1152" s="13"/>
      <c r="PRP1152" s="13"/>
      <c r="PRQ1152" s="13"/>
      <c r="PRR1152" s="13"/>
      <c r="PRS1152" s="13"/>
      <c r="PRT1152" s="13"/>
      <c r="PRU1152" s="13"/>
      <c r="PRV1152" s="13"/>
      <c r="PRW1152" s="13"/>
      <c r="PRX1152" s="13"/>
      <c r="PRY1152" s="13"/>
      <c r="PRZ1152" s="13"/>
      <c r="PSA1152" s="13"/>
      <c r="PSB1152" s="13"/>
      <c r="PSC1152" s="13"/>
      <c r="PSD1152" s="13"/>
      <c r="PSE1152" s="13"/>
      <c r="PSF1152" s="13"/>
      <c r="PSG1152" s="13"/>
      <c r="PSH1152" s="13"/>
      <c r="PSI1152" s="13"/>
      <c r="PSJ1152" s="13"/>
      <c r="PSK1152" s="13"/>
      <c r="PSL1152" s="13"/>
      <c r="PSM1152" s="13"/>
      <c r="PSN1152" s="13"/>
      <c r="PSO1152" s="13"/>
      <c r="PSP1152" s="13"/>
      <c r="PSQ1152" s="13"/>
      <c r="PSR1152" s="13"/>
      <c r="PSS1152" s="13"/>
      <c r="PST1152" s="13"/>
      <c r="PSU1152" s="13"/>
      <c r="PSV1152" s="13"/>
      <c r="PSW1152" s="13"/>
      <c r="PSX1152" s="13"/>
      <c r="PSY1152" s="13"/>
      <c r="PSZ1152" s="13"/>
      <c r="PTA1152" s="13"/>
      <c r="PTB1152" s="13"/>
      <c r="PTC1152" s="13"/>
      <c r="PTD1152" s="13"/>
      <c r="PTE1152" s="13"/>
      <c r="PTF1152" s="13"/>
      <c r="PTG1152" s="13"/>
      <c r="PTH1152" s="13"/>
      <c r="PTI1152" s="13"/>
      <c r="PTJ1152" s="13"/>
      <c r="PTK1152" s="13"/>
      <c r="PTL1152" s="13"/>
      <c r="PTM1152" s="13"/>
      <c r="PTN1152" s="13"/>
      <c r="PTO1152" s="13"/>
      <c r="PTP1152" s="13"/>
      <c r="PTQ1152" s="13"/>
      <c r="PTR1152" s="13"/>
      <c r="PTS1152" s="13"/>
      <c r="PTT1152" s="13"/>
      <c r="PTU1152" s="13"/>
      <c r="PTV1152" s="13"/>
      <c r="PTW1152" s="13"/>
      <c r="PTX1152" s="13"/>
      <c r="PTY1152" s="13"/>
      <c r="PTZ1152" s="13"/>
      <c r="PUA1152" s="13"/>
      <c r="PUB1152" s="13"/>
      <c r="PUC1152" s="13"/>
      <c r="PUD1152" s="13"/>
      <c r="PUE1152" s="13"/>
      <c r="PUF1152" s="13"/>
      <c r="PUG1152" s="13"/>
      <c r="PUH1152" s="13"/>
      <c r="PUI1152" s="13"/>
      <c r="PUJ1152" s="13"/>
      <c r="PUK1152" s="13"/>
      <c r="PUL1152" s="13"/>
      <c r="PUM1152" s="13"/>
      <c r="PUN1152" s="13"/>
      <c r="PUO1152" s="13"/>
      <c r="PUP1152" s="13"/>
      <c r="PUQ1152" s="13"/>
      <c r="PUR1152" s="13"/>
      <c r="PUS1152" s="13"/>
      <c r="PUT1152" s="13"/>
      <c r="PUU1152" s="13"/>
      <c r="PUV1152" s="13"/>
      <c r="PUW1152" s="13"/>
      <c r="PUX1152" s="13"/>
      <c r="PUY1152" s="13"/>
      <c r="PUZ1152" s="13"/>
      <c r="PVA1152" s="13"/>
      <c r="PVB1152" s="13"/>
      <c r="PVC1152" s="13"/>
      <c r="PVD1152" s="13"/>
      <c r="PVE1152" s="13"/>
      <c r="PVF1152" s="13"/>
      <c r="PVG1152" s="13"/>
      <c r="PVH1152" s="13"/>
      <c r="PVI1152" s="13"/>
      <c r="PVJ1152" s="13"/>
      <c r="PVK1152" s="13"/>
      <c r="PVL1152" s="13"/>
      <c r="PVM1152" s="13"/>
      <c r="PVN1152" s="13"/>
      <c r="PVO1152" s="13"/>
      <c r="PVP1152" s="13"/>
      <c r="PVQ1152" s="13"/>
      <c r="PVR1152" s="13"/>
      <c r="PVS1152" s="13"/>
      <c r="PVT1152" s="13"/>
      <c r="PVU1152" s="13"/>
      <c r="PVV1152" s="13"/>
      <c r="PVW1152" s="13"/>
      <c r="PVX1152" s="13"/>
      <c r="PVY1152" s="13"/>
      <c r="PVZ1152" s="13"/>
      <c r="PWA1152" s="13"/>
      <c r="PWB1152" s="13"/>
      <c r="PWC1152" s="13"/>
      <c r="PWD1152" s="13"/>
      <c r="PWE1152" s="13"/>
      <c r="PWF1152" s="13"/>
      <c r="PWG1152" s="13"/>
      <c r="PWH1152" s="13"/>
      <c r="PWI1152" s="13"/>
      <c r="PWJ1152" s="13"/>
      <c r="PWK1152" s="13"/>
      <c r="PWL1152" s="13"/>
      <c r="PWM1152" s="13"/>
      <c r="PWN1152" s="13"/>
      <c r="PWO1152" s="13"/>
      <c r="PWP1152" s="13"/>
      <c r="PWQ1152" s="13"/>
      <c r="PWR1152" s="13"/>
      <c r="PWS1152" s="13"/>
      <c r="PWT1152" s="13"/>
      <c r="PWU1152" s="13"/>
      <c r="PWV1152" s="13"/>
      <c r="PWW1152" s="13"/>
      <c r="PWX1152" s="13"/>
      <c r="PWY1152" s="13"/>
      <c r="PWZ1152" s="13"/>
      <c r="PXA1152" s="13"/>
      <c r="PXB1152" s="13"/>
      <c r="PXC1152" s="13"/>
      <c r="PXD1152" s="13"/>
      <c r="PXE1152" s="13"/>
      <c r="PXF1152" s="13"/>
      <c r="PXG1152" s="13"/>
      <c r="PXH1152" s="13"/>
      <c r="PXI1152" s="13"/>
      <c r="PXJ1152" s="13"/>
      <c r="PXK1152" s="13"/>
      <c r="PXL1152" s="13"/>
      <c r="PXM1152" s="13"/>
      <c r="PXN1152" s="13"/>
      <c r="PXO1152" s="13"/>
      <c r="PXP1152" s="13"/>
      <c r="PXQ1152" s="13"/>
      <c r="PXR1152" s="13"/>
      <c r="PXS1152" s="13"/>
      <c r="PXT1152" s="13"/>
      <c r="PXU1152" s="13"/>
      <c r="PXV1152" s="13"/>
      <c r="PXW1152" s="13"/>
      <c r="PXX1152" s="13"/>
      <c r="PXY1152" s="13"/>
      <c r="PXZ1152" s="13"/>
      <c r="PYA1152" s="13"/>
      <c r="PYB1152" s="13"/>
      <c r="PYC1152" s="13"/>
      <c r="PYD1152" s="13"/>
      <c r="PYE1152" s="13"/>
      <c r="PYF1152" s="13"/>
      <c r="PYG1152" s="13"/>
      <c r="PYH1152" s="13"/>
      <c r="PYI1152" s="13"/>
      <c r="PYJ1152" s="13"/>
      <c r="PYK1152" s="13"/>
      <c r="PYL1152" s="13"/>
      <c r="PYM1152" s="13"/>
      <c r="PYN1152" s="13"/>
      <c r="PYO1152" s="13"/>
      <c r="PYP1152" s="13"/>
      <c r="PYQ1152" s="13"/>
      <c r="PYR1152" s="13"/>
      <c r="PYS1152" s="13"/>
      <c r="PYT1152" s="13"/>
      <c r="PYU1152" s="13"/>
      <c r="PYV1152" s="13"/>
      <c r="PYW1152" s="13"/>
      <c r="PYX1152" s="13"/>
      <c r="PYY1152" s="13"/>
      <c r="PYZ1152" s="13"/>
      <c r="PZA1152" s="13"/>
      <c r="PZB1152" s="13"/>
      <c r="PZC1152" s="13"/>
      <c r="PZD1152" s="13"/>
      <c r="PZE1152" s="13"/>
      <c r="PZF1152" s="13"/>
      <c r="PZG1152" s="13"/>
      <c r="PZH1152" s="13"/>
      <c r="PZI1152" s="13"/>
      <c r="PZJ1152" s="13"/>
      <c r="PZK1152" s="13"/>
      <c r="PZL1152" s="13"/>
      <c r="PZM1152" s="13"/>
      <c r="PZN1152" s="13"/>
      <c r="PZO1152" s="13"/>
      <c r="PZP1152" s="13"/>
      <c r="PZQ1152" s="13"/>
      <c r="PZR1152" s="13"/>
      <c r="PZS1152" s="13"/>
      <c r="PZT1152" s="13"/>
      <c r="PZU1152" s="13"/>
      <c r="PZV1152" s="13"/>
      <c r="PZW1152" s="13"/>
      <c r="PZX1152" s="13"/>
      <c r="PZY1152" s="13"/>
      <c r="PZZ1152" s="13"/>
      <c r="QAA1152" s="13"/>
      <c r="QAB1152" s="13"/>
      <c r="QAC1152" s="13"/>
      <c r="QAD1152" s="13"/>
      <c r="QAE1152" s="13"/>
      <c r="QAF1152" s="13"/>
      <c r="QAG1152" s="13"/>
      <c r="QAH1152" s="13"/>
      <c r="QAI1152" s="13"/>
      <c r="QAJ1152" s="13"/>
      <c r="QAK1152" s="13"/>
      <c r="QAL1152" s="13"/>
      <c r="QAM1152" s="13"/>
      <c r="QAN1152" s="13"/>
      <c r="QAO1152" s="13"/>
      <c r="QAP1152" s="13"/>
      <c r="QAQ1152" s="13"/>
      <c r="QAR1152" s="13"/>
      <c r="QAS1152" s="13"/>
      <c r="QAT1152" s="13"/>
      <c r="QAU1152" s="13"/>
      <c r="QAV1152" s="13"/>
      <c r="QAW1152" s="13"/>
      <c r="QAX1152" s="13"/>
      <c r="QAY1152" s="13"/>
      <c r="QAZ1152" s="13"/>
      <c r="QBA1152" s="13"/>
      <c r="QBB1152" s="13"/>
      <c r="QBC1152" s="13"/>
      <c r="QBD1152" s="13"/>
      <c r="QBE1152" s="13"/>
      <c r="QBF1152" s="13"/>
      <c r="QBG1152" s="13"/>
      <c r="QBH1152" s="13"/>
      <c r="QBI1152" s="13"/>
      <c r="QBJ1152" s="13"/>
      <c r="QBK1152" s="13"/>
      <c r="QBL1152" s="13"/>
      <c r="QBM1152" s="13"/>
      <c r="QBN1152" s="13"/>
      <c r="QBO1152" s="13"/>
      <c r="QBP1152" s="13"/>
      <c r="QBQ1152" s="13"/>
      <c r="QBR1152" s="13"/>
      <c r="QBS1152" s="13"/>
      <c r="QBT1152" s="13"/>
      <c r="QBU1152" s="13"/>
      <c r="QBV1152" s="13"/>
      <c r="QBW1152" s="13"/>
      <c r="QBX1152" s="13"/>
      <c r="QBY1152" s="13"/>
      <c r="QBZ1152" s="13"/>
      <c r="QCA1152" s="13"/>
      <c r="QCB1152" s="13"/>
      <c r="QCC1152" s="13"/>
      <c r="QCD1152" s="13"/>
      <c r="QCE1152" s="13"/>
      <c r="QCF1152" s="13"/>
      <c r="QCG1152" s="13"/>
      <c r="QCH1152" s="13"/>
      <c r="QCI1152" s="13"/>
      <c r="QCJ1152" s="13"/>
      <c r="QCK1152" s="13"/>
      <c r="QCL1152" s="13"/>
      <c r="QCM1152" s="13"/>
      <c r="QCN1152" s="13"/>
      <c r="QCO1152" s="13"/>
      <c r="QCP1152" s="13"/>
      <c r="QCQ1152" s="13"/>
      <c r="QCR1152" s="13"/>
      <c r="QCS1152" s="13"/>
      <c r="QCT1152" s="13"/>
      <c r="QCU1152" s="13"/>
      <c r="QCV1152" s="13"/>
      <c r="QCW1152" s="13"/>
      <c r="QCX1152" s="13"/>
      <c r="QCY1152" s="13"/>
      <c r="QCZ1152" s="13"/>
      <c r="QDA1152" s="13"/>
      <c r="QDB1152" s="13"/>
      <c r="QDC1152" s="13"/>
      <c r="QDD1152" s="13"/>
      <c r="QDE1152" s="13"/>
      <c r="QDF1152" s="13"/>
      <c r="QDG1152" s="13"/>
      <c r="QDH1152" s="13"/>
      <c r="QDI1152" s="13"/>
      <c r="QDJ1152" s="13"/>
      <c r="QDK1152" s="13"/>
      <c r="QDL1152" s="13"/>
      <c r="QDM1152" s="13"/>
      <c r="QDN1152" s="13"/>
      <c r="QDO1152" s="13"/>
      <c r="QDP1152" s="13"/>
      <c r="QDQ1152" s="13"/>
      <c r="QDR1152" s="13"/>
      <c r="QDS1152" s="13"/>
      <c r="QDT1152" s="13"/>
      <c r="QDU1152" s="13"/>
      <c r="QDV1152" s="13"/>
      <c r="QDW1152" s="13"/>
      <c r="QDX1152" s="13"/>
      <c r="QDY1152" s="13"/>
      <c r="QDZ1152" s="13"/>
      <c r="QEA1152" s="13"/>
      <c r="QEB1152" s="13"/>
      <c r="QEC1152" s="13"/>
      <c r="QED1152" s="13"/>
      <c r="QEE1152" s="13"/>
      <c r="QEF1152" s="13"/>
      <c r="QEG1152" s="13"/>
      <c r="QEH1152" s="13"/>
      <c r="QEI1152" s="13"/>
      <c r="QEJ1152" s="13"/>
      <c r="QEK1152" s="13"/>
      <c r="QEL1152" s="13"/>
      <c r="QEM1152" s="13"/>
      <c r="QEN1152" s="13"/>
      <c r="QEO1152" s="13"/>
      <c r="QEP1152" s="13"/>
      <c r="QEQ1152" s="13"/>
      <c r="QER1152" s="13"/>
      <c r="QES1152" s="13"/>
      <c r="QET1152" s="13"/>
      <c r="QEU1152" s="13"/>
      <c r="QEV1152" s="13"/>
      <c r="QEW1152" s="13"/>
      <c r="QEX1152" s="13"/>
      <c r="QEY1152" s="13"/>
      <c r="QEZ1152" s="13"/>
      <c r="QFA1152" s="13"/>
      <c r="QFB1152" s="13"/>
      <c r="QFC1152" s="13"/>
      <c r="QFD1152" s="13"/>
      <c r="QFE1152" s="13"/>
      <c r="QFF1152" s="13"/>
      <c r="QFG1152" s="13"/>
      <c r="QFH1152" s="13"/>
      <c r="QFI1152" s="13"/>
      <c r="QFJ1152" s="13"/>
      <c r="QFK1152" s="13"/>
      <c r="QFL1152" s="13"/>
      <c r="QFM1152" s="13"/>
      <c r="QFN1152" s="13"/>
      <c r="QFO1152" s="13"/>
      <c r="QFP1152" s="13"/>
      <c r="QFQ1152" s="13"/>
      <c r="QFR1152" s="13"/>
      <c r="QFS1152" s="13"/>
      <c r="QFT1152" s="13"/>
      <c r="QFU1152" s="13"/>
      <c r="QFV1152" s="13"/>
      <c r="QFW1152" s="13"/>
      <c r="QFX1152" s="13"/>
      <c r="QFY1152" s="13"/>
      <c r="QFZ1152" s="13"/>
      <c r="QGA1152" s="13"/>
      <c r="QGB1152" s="13"/>
      <c r="QGC1152" s="13"/>
      <c r="QGD1152" s="13"/>
      <c r="QGE1152" s="13"/>
      <c r="QGF1152" s="13"/>
      <c r="QGG1152" s="13"/>
      <c r="QGH1152" s="13"/>
      <c r="QGI1152" s="13"/>
      <c r="QGJ1152" s="13"/>
      <c r="QGK1152" s="13"/>
      <c r="QGL1152" s="13"/>
      <c r="QGM1152" s="13"/>
      <c r="QGN1152" s="13"/>
      <c r="QGO1152" s="13"/>
      <c r="QGP1152" s="13"/>
      <c r="QGQ1152" s="13"/>
      <c r="QGR1152" s="13"/>
      <c r="QGS1152" s="13"/>
      <c r="QGT1152" s="13"/>
      <c r="QGU1152" s="13"/>
      <c r="QGV1152" s="13"/>
      <c r="QGW1152" s="13"/>
      <c r="QGX1152" s="13"/>
      <c r="QGY1152" s="13"/>
      <c r="QGZ1152" s="13"/>
      <c r="QHA1152" s="13"/>
      <c r="QHB1152" s="13"/>
      <c r="QHC1152" s="13"/>
      <c r="QHD1152" s="13"/>
      <c r="QHE1152" s="13"/>
      <c r="QHF1152" s="13"/>
      <c r="QHG1152" s="13"/>
      <c r="QHH1152" s="13"/>
      <c r="QHI1152" s="13"/>
      <c r="QHJ1152" s="13"/>
      <c r="QHK1152" s="13"/>
      <c r="QHL1152" s="13"/>
      <c r="QHM1152" s="13"/>
      <c r="QHN1152" s="13"/>
      <c r="QHO1152" s="13"/>
      <c r="QHP1152" s="13"/>
      <c r="QHQ1152" s="13"/>
      <c r="QHR1152" s="13"/>
      <c r="QHS1152" s="13"/>
      <c r="QHT1152" s="13"/>
      <c r="QHU1152" s="13"/>
      <c r="QHV1152" s="13"/>
      <c r="QHW1152" s="13"/>
      <c r="QHX1152" s="13"/>
      <c r="QHY1152" s="13"/>
      <c r="QHZ1152" s="13"/>
      <c r="QIA1152" s="13"/>
      <c r="QIB1152" s="13"/>
      <c r="QIC1152" s="13"/>
      <c r="QID1152" s="13"/>
      <c r="QIE1152" s="13"/>
      <c r="QIF1152" s="13"/>
      <c r="QIG1152" s="13"/>
      <c r="QIH1152" s="13"/>
      <c r="QII1152" s="13"/>
      <c r="QIJ1152" s="13"/>
      <c r="QIK1152" s="13"/>
      <c r="QIL1152" s="13"/>
      <c r="QIM1152" s="13"/>
      <c r="QIN1152" s="13"/>
      <c r="QIO1152" s="13"/>
      <c r="QIP1152" s="13"/>
      <c r="QIQ1152" s="13"/>
      <c r="QIR1152" s="13"/>
      <c r="QIS1152" s="13"/>
      <c r="QIT1152" s="13"/>
      <c r="QIU1152" s="13"/>
      <c r="QIV1152" s="13"/>
      <c r="QIW1152" s="13"/>
      <c r="QIX1152" s="13"/>
      <c r="QIY1152" s="13"/>
      <c r="QIZ1152" s="13"/>
      <c r="QJA1152" s="13"/>
      <c r="QJB1152" s="13"/>
      <c r="QJC1152" s="13"/>
      <c r="QJD1152" s="13"/>
      <c r="QJE1152" s="13"/>
      <c r="QJF1152" s="13"/>
      <c r="QJG1152" s="13"/>
      <c r="QJH1152" s="13"/>
      <c r="QJI1152" s="13"/>
      <c r="QJJ1152" s="13"/>
      <c r="QJK1152" s="13"/>
      <c r="QJL1152" s="13"/>
      <c r="QJM1152" s="13"/>
      <c r="QJN1152" s="13"/>
      <c r="QJO1152" s="13"/>
      <c r="QJP1152" s="13"/>
      <c r="QJQ1152" s="13"/>
      <c r="QJR1152" s="13"/>
      <c r="QJS1152" s="13"/>
      <c r="QJT1152" s="13"/>
      <c r="QJU1152" s="13"/>
      <c r="QJV1152" s="13"/>
      <c r="QJW1152" s="13"/>
      <c r="QJX1152" s="13"/>
      <c r="QJY1152" s="13"/>
      <c r="QJZ1152" s="13"/>
      <c r="QKA1152" s="13"/>
      <c r="QKB1152" s="13"/>
      <c r="QKC1152" s="13"/>
      <c r="QKD1152" s="13"/>
      <c r="QKE1152" s="13"/>
      <c r="QKF1152" s="13"/>
      <c r="QKG1152" s="13"/>
      <c r="QKH1152" s="13"/>
      <c r="QKI1152" s="13"/>
      <c r="QKJ1152" s="13"/>
      <c r="QKK1152" s="13"/>
      <c r="QKL1152" s="13"/>
      <c r="QKM1152" s="13"/>
      <c r="QKN1152" s="13"/>
      <c r="QKO1152" s="13"/>
      <c r="QKP1152" s="13"/>
      <c r="QKQ1152" s="13"/>
      <c r="QKR1152" s="13"/>
      <c r="QKS1152" s="13"/>
      <c r="QKT1152" s="13"/>
      <c r="QKU1152" s="13"/>
      <c r="QKV1152" s="13"/>
      <c r="QKW1152" s="13"/>
      <c r="QKX1152" s="13"/>
      <c r="QKY1152" s="13"/>
      <c r="QKZ1152" s="13"/>
      <c r="QLA1152" s="13"/>
      <c r="QLB1152" s="13"/>
      <c r="QLC1152" s="13"/>
      <c r="QLD1152" s="13"/>
      <c r="QLE1152" s="13"/>
      <c r="QLF1152" s="13"/>
      <c r="QLG1152" s="13"/>
      <c r="QLH1152" s="13"/>
      <c r="QLI1152" s="13"/>
      <c r="QLJ1152" s="13"/>
      <c r="QLK1152" s="13"/>
      <c r="QLL1152" s="13"/>
      <c r="QLM1152" s="13"/>
      <c r="QLN1152" s="13"/>
      <c r="QLO1152" s="13"/>
      <c r="QLP1152" s="13"/>
      <c r="QLQ1152" s="13"/>
      <c r="QLR1152" s="13"/>
      <c r="QLS1152" s="13"/>
      <c r="QLT1152" s="13"/>
      <c r="QLU1152" s="13"/>
      <c r="QLV1152" s="13"/>
      <c r="QLW1152" s="13"/>
      <c r="QLX1152" s="13"/>
      <c r="QLY1152" s="13"/>
      <c r="QLZ1152" s="13"/>
      <c r="QMA1152" s="13"/>
      <c r="QMB1152" s="13"/>
      <c r="QMC1152" s="13"/>
      <c r="QMD1152" s="13"/>
      <c r="QME1152" s="13"/>
      <c r="QMF1152" s="13"/>
      <c r="QMG1152" s="13"/>
      <c r="QMH1152" s="13"/>
      <c r="QMI1152" s="13"/>
      <c r="QMJ1152" s="13"/>
      <c r="QMK1152" s="13"/>
      <c r="QML1152" s="13"/>
      <c r="QMM1152" s="13"/>
      <c r="QMN1152" s="13"/>
      <c r="QMO1152" s="13"/>
      <c r="QMP1152" s="13"/>
      <c r="QMQ1152" s="13"/>
      <c r="QMR1152" s="13"/>
      <c r="QMS1152" s="13"/>
      <c r="QMT1152" s="13"/>
      <c r="QMU1152" s="13"/>
      <c r="QMV1152" s="13"/>
      <c r="QMW1152" s="13"/>
      <c r="QMX1152" s="13"/>
      <c r="QMY1152" s="13"/>
      <c r="QMZ1152" s="13"/>
      <c r="QNA1152" s="13"/>
      <c r="QNB1152" s="13"/>
      <c r="QNC1152" s="13"/>
      <c r="QND1152" s="13"/>
      <c r="QNE1152" s="13"/>
      <c r="QNF1152" s="13"/>
      <c r="QNG1152" s="13"/>
      <c r="QNH1152" s="13"/>
      <c r="QNI1152" s="13"/>
      <c r="QNJ1152" s="13"/>
      <c r="QNK1152" s="13"/>
      <c r="QNL1152" s="13"/>
      <c r="QNM1152" s="13"/>
      <c r="QNN1152" s="13"/>
      <c r="QNO1152" s="13"/>
      <c r="QNP1152" s="13"/>
      <c r="QNQ1152" s="13"/>
      <c r="QNR1152" s="13"/>
      <c r="QNS1152" s="13"/>
      <c r="QNT1152" s="13"/>
      <c r="QNU1152" s="13"/>
      <c r="QNV1152" s="13"/>
      <c r="QNW1152" s="13"/>
      <c r="QNX1152" s="13"/>
      <c r="QNY1152" s="13"/>
      <c r="QNZ1152" s="13"/>
      <c r="QOA1152" s="13"/>
      <c r="QOB1152" s="13"/>
      <c r="QOC1152" s="13"/>
      <c r="QOD1152" s="13"/>
      <c r="QOE1152" s="13"/>
      <c r="QOF1152" s="13"/>
      <c r="QOG1152" s="13"/>
      <c r="QOH1152" s="13"/>
      <c r="QOI1152" s="13"/>
      <c r="QOJ1152" s="13"/>
      <c r="QOK1152" s="13"/>
      <c r="QOL1152" s="13"/>
      <c r="QOM1152" s="13"/>
      <c r="QON1152" s="13"/>
      <c r="QOO1152" s="13"/>
      <c r="QOP1152" s="13"/>
      <c r="QOQ1152" s="13"/>
      <c r="QOR1152" s="13"/>
      <c r="QOS1152" s="13"/>
      <c r="QOT1152" s="13"/>
      <c r="QOU1152" s="13"/>
      <c r="QOV1152" s="13"/>
      <c r="QOW1152" s="13"/>
      <c r="QOX1152" s="13"/>
      <c r="QOY1152" s="13"/>
      <c r="QOZ1152" s="13"/>
      <c r="QPA1152" s="13"/>
      <c r="QPB1152" s="13"/>
      <c r="QPC1152" s="13"/>
      <c r="QPD1152" s="13"/>
      <c r="QPE1152" s="13"/>
      <c r="QPF1152" s="13"/>
      <c r="QPG1152" s="13"/>
      <c r="QPH1152" s="13"/>
      <c r="QPI1152" s="13"/>
      <c r="QPJ1152" s="13"/>
      <c r="QPK1152" s="13"/>
      <c r="QPL1152" s="13"/>
      <c r="QPM1152" s="13"/>
      <c r="QPN1152" s="13"/>
      <c r="QPO1152" s="13"/>
      <c r="QPP1152" s="13"/>
      <c r="QPQ1152" s="13"/>
      <c r="QPR1152" s="13"/>
      <c r="QPS1152" s="13"/>
      <c r="QPT1152" s="13"/>
      <c r="QPU1152" s="13"/>
      <c r="QPV1152" s="13"/>
      <c r="QPW1152" s="13"/>
      <c r="QPX1152" s="13"/>
      <c r="QPY1152" s="13"/>
      <c r="QPZ1152" s="13"/>
      <c r="QQA1152" s="13"/>
      <c r="QQB1152" s="13"/>
      <c r="QQC1152" s="13"/>
      <c r="QQD1152" s="13"/>
      <c r="QQE1152" s="13"/>
      <c r="QQF1152" s="13"/>
      <c r="QQG1152" s="13"/>
      <c r="QQH1152" s="13"/>
      <c r="QQI1152" s="13"/>
      <c r="QQJ1152" s="13"/>
      <c r="QQK1152" s="13"/>
      <c r="QQL1152" s="13"/>
      <c r="QQM1152" s="13"/>
      <c r="QQN1152" s="13"/>
      <c r="QQO1152" s="13"/>
      <c r="QQP1152" s="13"/>
      <c r="QQQ1152" s="13"/>
      <c r="QQR1152" s="13"/>
      <c r="QQS1152" s="13"/>
      <c r="QQT1152" s="13"/>
      <c r="QQU1152" s="13"/>
      <c r="QQV1152" s="13"/>
      <c r="QQW1152" s="13"/>
      <c r="QQX1152" s="13"/>
      <c r="QQY1152" s="13"/>
      <c r="QQZ1152" s="13"/>
      <c r="QRA1152" s="13"/>
      <c r="QRB1152" s="13"/>
      <c r="QRC1152" s="13"/>
      <c r="QRD1152" s="13"/>
      <c r="QRE1152" s="13"/>
      <c r="QRF1152" s="13"/>
      <c r="QRG1152" s="13"/>
      <c r="QRH1152" s="13"/>
      <c r="QRI1152" s="13"/>
      <c r="QRJ1152" s="13"/>
      <c r="QRK1152" s="13"/>
      <c r="QRL1152" s="13"/>
      <c r="QRM1152" s="13"/>
      <c r="QRN1152" s="13"/>
      <c r="QRO1152" s="13"/>
      <c r="QRP1152" s="13"/>
      <c r="QRQ1152" s="13"/>
      <c r="QRR1152" s="13"/>
      <c r="QRS1152" s="13"/>
      <c r="QRT1152" s="13"/>
      <c r="QRU1152" s="13"/>
      <c r="QRV1152" s="13"/>
      <c r="QRW1152" s="13"/>
      <c r="QRX1152" s="13"/>
      <c r="QRY1152" s="13"/>
      <c r="QRZ1152" s="13"/>
      <c r="QSA1152" s="13"/>
      <c r="QSB1152" s="13"/>
      <c r="QSC1152" s="13"/>
      <c r="QSD1152" s="13"/>
      <c r="QSE1152" s="13"/>
      <c r="QSF1152" s="13"/>
      <c r="QSG1152" s="13"/>
      <c r="QSH1152" s="13"/>
      <c r="QSI1152" s="13"/>
      <c r="QSJ1152" s="13"/>
      <c r="QSK1152" s="13"/>
      <c r="QSL1152" s="13"/>
      <c r="QSM1152" s="13"/>
      <c r="QSN1152" s="13"/>
      <c r="QSO1152" s="13"/>
      <c r="QSP1152" s="13"/>
      <c r="QSQ1152" s="13"/>
      <c r="QSR1152" s="13"/>
      <c r="QSS1152" s="13"/>
      <c r="QST1152" s="13"/>
      <c r="QSU1152" s="13"/>
      <c r="QSV1152" s="13"/>
      <c r="QSW1152" s="13"/>
      <c r="QSX1152" s="13"/>
      <c r="QSY1152" s="13"/>
      <c r="QSZ1152" s="13"/>
      <c r="QTA1152" s="13"/>
      <c r="QTB1152" s="13"/>
      <c r="QTC1152" s="13"/>
      <c r="QTD1152" s="13"/>
      <c r="QTE1152" s="13"/>
      <c r="QTF1152" s="13"/>
      <c r="QTG1152" s="13"/>
      <c r="QTH1152" s="13"/>
      <c r="QTI1152" s="13"/>
      <c r="QTJ1152" s="13"/>
      <c r="QTK1152" s="13"/>
      <c r="QTL1152" s="13"/>
      <c r="QTM1152" s="13"/>
      <c r="QTN1152" s="13"/>
      <c r="QTO1152" s="13"/>
      <c r="QTP1152" s="13"/>
      <c r="QTQ1152" s="13"/>
      <c r="QTR1152" s="13"/>
      <c r="QTS1152" s="13"/>
      <c r="QTT1152" s="13"/>
      <c r="QTU1152" s="13"/>
      <c r="QTV1152" s="13"/>
      <c r="QTW1152" s="13"/>
      <c r="QTX1152" s="13"/>
      <c r="QTY1152" s="13"/>
      <c r="QTZ1152" s="13"/>
      <c r="QUA1152" s="13"/>
      <c r="QUB1152" s="13"/>
      <c r="QUC1152" s="13"/>
      <c r="QUD1152" s="13"/>
      <c r="QUE1152" s="13"/>
      <c r="QUF1152" s="13"/>
      <c r="QUG1152" s="13"/>
      <c r="QUH1152" s="13"/>
      <c r="QUI1152" s="13"/>
      <c r="QUJ1152" s="13"/>
      <c r="QUK1152" s="13"/>
      <c r="QUL1152" s="13"/>
      <c r="QUM1152" s="13"/>
      <c r="QUN1152" s="13"/>
      <c r="QUO1152" s="13"/>
      <c r="QUP1152" s="13"/>
      <c r="QUQ1152" s="13"/>
      <c r="QUR1152" s="13"/>
      <c r="QUS1152" s="13"/>
      <c r="QUT1152" s="13"/>
      <c r="QUU1152" s="13"/>
      <c r="QUV1152" s="13"/>
      <c r="QUW1152" s="13"/>
      <c r="QUX1152" s="13"/>
      <c r="QUY1152" s="13"/>
      <c r="QUZ1152" s="13"/>
      <c r="QVA1152" s="13"/>
      <c r="QVB1152" s="13"/>
      <c r="QVC1152" s="13"/>
      <c r="QVD1152" s="13"/>
      <c r="QVE1152" s="13"/>
      <c r="QVF1152" s="13"/>
      <c r="QVG1152" s="13"/>
      <c r="QVH1152" s="13"/>
      <c r="QVI1152" s="13"/>
      <c r="QVJ1152" s="13"/>
      <c r="QVK1152" s="13"/>
      <c r="QVL1152" s="13"/>
      <c r="QVM1152" s="13"/>
      <c r="QVN1152" s="13"/>
      <c r="QVO1152" s="13"/>
      <c r="QVP1152" s="13"/>
      <c r="QVQ1152" s="13"/>
      <c r="QVR1152" s="13"/>
      <c r="QVS1152" s="13"/>
      <c r="QVT1152" s="13"/>
      <c r="QVU1152" s="13"/>
      <c r="QVV1152" s="13"/>
      <c r="QVW1152" s="13"/>
      <c r="QVX1152" s="13"/>
      <c r="QVY1152" s="13"/>
      <c r="QVZ1152" s="13"/>
      <c r="QWA1152" s="13"/>
      <c r="QWB1152" s="13"/>
      <c r="QWC1152" s="13"/>
      <c r="QWD1152" s="13"/>
      <c r="QWE1152" s="13"/>
      <c r="QWF1152" s="13"/>
      <c r="QWG1152" s="13"/>
      <c r="QWH1152" s="13"/>
      <c r="QWI1152" s="13"/>
      <c r="QWJ1152" s="13"/>
      <c r="QWK1152" s="13"/>
      <c r="QWL1152" s="13"/>
      <c r="QWM1152" s="13"/>
      <c r="QWN1152" s="13"/>
      <c r="QWO1152" s="13"/>
      <c r="QWP1152" s="13"/>
      <c r="QWQ1152" s="13"/>
      <c r="QWR1152" s="13"/>
      <c r="QWS1152" s="13"/>
      <c r="QWT1152" s="13"/>
      <c r="QWU1152" s="13"/>
      <c r="QWV1152" s="13"/>
      <c r="QWW1152" s="13"/>
      <c r="QWX1152" s="13"/>
      <c r="QWY1152" s="13"/>
      <c r="QWZ1152" s="13"/>
      <c r="QXA1152" s="13"/>
      <c r="QXB1152" s="13"/>
      <c r="QXC1152" s="13"/>
      <c r="QXD1152" s="13"/>
      <c r="QXE1152" s="13"/>
      <c r="QXF1152" s="13"/>
      <c r="QXG1152" s="13"/>
      <c r="QXH1152" s="13"/>
      <c r="QXI1152" s="13"/>
      <c r="QXJ1152" s="13"/>
      <c r="QXK1152" s="13"/>
      <c r="QXL1152" s="13"/>
      <c r="QXM1152" s="13"/>
      <c r="QXN1152" s="13"/>
      <c r="QXO1152" s="13"/>
      <c r="QXP1152" s="13"/>
      <c r="QXQ1152" s="13"/>
      <c r="QXR1152" s="13"/>
      <c r="QXS1152" s="13"/>
      <c r="QXT1152" s="13"/>
      <c r="QXU1152" s="13"/>
      <c r="QXV1152" s="13"/>
      <c r="QXW1152" s="13"/>
      <c r="QXX1152" s="13"/>
      <c r="QXY1152" s="13"/>
      <c r="QXZ1152" s="13"/>
      <c r="QYA1152" s="13"/>
      <c r="QYB1152" s="13"/>
      <c r="QYC1152" s="13"/>
      <c r="QYD1152" s="13"/>
      <c r="QYE1152" s="13"/>
      <c r="QYF1152" s="13"/>
      <c r="QYG1152" s="13"/>
      <c r="QYH1152" s="13"/>
      <c r="QYI1152" s="13"/>
      <c r="QYJ1152" s="13"/>
      <c r="QYK1152" s="13"/>
      <c r="QYL1152" s="13"/>
      <c r="QYM1152" s="13"/>
      <c r="QYN1152" s="13"/>
      <c r="QYO1152" s="13"/>
      <c r="QYP1152" s="13"/>
      <c r="QYQ1152" s="13"/>
      <c r="QYR1152" s="13"/>
      <c r="QYS1152" s="13"/>
      <c r="QYT1152" s="13"/>
      <c r="QYU1152" s="13"/>
      <c r="QYV1152" s="13"/>
      <c r="QYW1152" s="13"/>
      <c r="QYX1152" s="13"/>
      <c r="QYY1152" s="13"/>
      <c r="QYZ1152" s="13"/>
      <c r="QZA1152" s="13"/>
      <c r="QZB1152" s="13"/>
      <c r="QZC1152" s="13"/>
      <c r="QZD1152" s="13"/>
      <c r="QZE1152" s="13"/>
      <c r="QZF1152" s="13"/>
      <c r="QZG1152" s="13"/>
      <c r="QZH1152" s="13"/>
      <c r="QZI1152" s="13"/>
      <c r="QZJ1152" s="13"/>
      <c r="QZK1152" s="13"/>
      <c r="QZL1152" s="13"/>
      <c r="QZM1152" s="13"/>
      <c r="QZN1152" s="13"/>
      <c r="QZO1152" s="13"/>
      <c r="QZP1152" s="13"/>
      <c r="QZQ1152" s="13"/>
      <c r="QZR1152" s="13"/>
      <c r="QZS1152" s="13"/>
      <c r="QZT1152" s="13"/>
      <c r="QZU1152" s="13"/>
      <c r="QZV1152" s="13"/>
      <c r="QZW1152" s="13"/>
      <c r="QZX1152" s="13"/>
      <c r="QZY1152" s="13"/>
      <c r="QZZ1152" s="13"/>
      <c r="RAA1152" s="13"/>
      <c r="RAB1152" s="13"/>
      <c r="RAC1152" s="13"/>
      <c r="RAD1152" s="13"/>
      <c r="RAE1152" s="13"/>
      <c r="RAF1152" s="13"/>
      <c r="RAG1152" s="13"/>
      <c r="RAH1152" s="13"/>
      <c r="RAI1152" s="13"/>
      <c r="RAJ1152" s="13"/>
      <c r="RAK1152" s="13"/>
      <c r="RAL1152" s="13"/>
      <c r="RAM1152" s="13"/>
      <c r="RAN1152" s="13"/>
      <c r="RAO1152" s="13"/>
      <c r="RAP1152" s="13"/>
      <c r="RAQ1152" s="13"/>
      <c r="RAR1152" s="13"/>
      <c r="RAS1152" s="13"/>
      <c r="RAT1152" s="13"/>
      <c r="RAU1152" s="13"/>
      <c r="RAV1152" s="13"/>
      <c r="RAW1152" s="13"/>
      <c r="RAX1152" s="13"/>
      <c r="RAY1152" s="13"/>
      <c r="RAZ1152" s="13"/>
      <c r="RBA1152" s="13"/>
      <c r="RBB1152" s="13"/>
      <c r="RBC1152" s="13"/>
      <c r="RBD1152" s="13"/>
      <c r="RBE1152" s="13"/>
      <c r="RBF1152" s="13"/>
      <c r="RBG1152" s="13"/>
      <c r="RBH1152" s="13"/>
      <c r="RBI1152" s="13"/>
      <c r="RBJ1152" s="13"/>
      <c r="RBK1152" s="13"/>
      <c r="RBL1152" s="13"/>
      <c r="RBM1152" s="13"/>
      <c r="RBN1152" s="13"/>
      <c r="RBO1152" s="13"/>
      <c r="RBP1152" s="13"/>
      <c r="RBQ1152" s="13"/>
      <c r="RBR1152" s="13"/>
      <c r="RBS1152" s="13"/>
      <c r="RBT1152" s="13"/>
      <c r="RBU1152" s="13"/>
      <c r="RBV1152" s="13"/>
      <c r="RBW1152" s="13"/>
      <c r="RBX1152" s="13"/>
      <c r="RBY1152" s="13"/>
      <c r="RBZ1152" s="13"/>
      <c r="RCA1152" s="13"/>
      <c r="RCB1152" s="13"/>
      <c r="RCC1152" s="13"/>
      <c r="RCD1152" s="13"/>
      <c r="RCE1152" s="13"/>
      <c r="RCF1152" s="13"/>
      <c r="RCG1152" s="13"/>
      <c r="RCH1152" s="13"/>
      <c r="RCI1152" s="13"/>
      <c r="RCJ1152" s="13"/>
      <c r="RCK1152" s="13"/>
      <c r="RCL1152" s="13"/>
      <c r="RCM1152" s="13"/>
      <c r="RCN1152" s="13"/>
      <c r="RCO1152" s="13"/>
      <c r="RCP1152" s="13"/>
      <c r="RCQ1152" s="13"/>
      <c r="RCR1152" s="13"/>
      <c r="RCS1152" s="13"/>
      <c r="RCT1152" s="13"/>
      <c r="RCU1152" s="13"/>
      <c r="RCV1152" s="13"/>
      <c r="RCW1152" s="13"/>
      <c r="RCX1152" s="13"/>
      <c r="RCY1152" s="13"/>
      <c r="RCZ1152" s="13"/>
      <c r="RDA1152" s="13"/>
      <c r="RDB1152" s="13"/>
      <c r="RDC1152" s="13"/>
      <c r="RDD1152" s="13"/>
      <c r="RDE1152" s="13"/>
      <c r="RDF1152" s="13"/>
      <c r="RDG1152" s="13"/>
      <c r="RDH1152" s="13"/>
      <c r="RDI1152" s="13"/>
      <c r="RDJ1152" s="13"/>
      <c r="RDK1152" s="13"/>
      <c r="RDL1152" s="13"/>
      <c r="RDM1152" s="13"/>
      <c r="RDN1152" s="13"/>
      <c r="RDO1152" s="13"/>
      <c r="RDP1152" s="13"/>
      <c r="RDQ1152" s="13"/>
      <c r="RDR1152" s="13"/>
      <c r="RDS1152" s="13"/>
      <c r="RDT1152" s="13"/>
      <c r="RDU1152" s="13"/>
      <c r="RDV1152" s="13"/>
      <c r="RDW1152" s="13"/>
      <c r="RDX1152" s="13"/>
      <c r="RDY1152" s="13"/>
      <c r="RDZ1152" s="13"/>
      <c r="REA1152" s="13"/>
      <c r="REB1152" s="13"/>
      <c r="REC1152" s="13"/>
      <c r="RED1152" s="13"/>
      <c r="REE1152" s="13"/>
      <c r="REF1152" s="13"/>
      <c r="REG1152" s="13"/>
      <c r="REH1152" s="13"/>
      <c r="REI1152" s="13"/>
      <c r="REJ1152" s="13"/>
      <c r="REK1152" s="13"/>
      <c r="REL1152" s="13"/>
      <c r="REM1152" s="13"/>
      <c r="REN1152" s="13"/>
      <c r="REO1152" s="13"/>
      <c r="REP1152" s="13"/>
      <c r="REQ1152" s="13"/>
      <c r="RER1152" s="13"/>
      <c r="RES1152" s="13"/>
      <c r="RET1152" s="13"/>
      <c r="REU1152" s="13"/>
      <c r="REV1152" s="13"/>
      <c r="REW1152" s="13"/>
      <c r="REX1152" s="13"/>
      <c r="REY1152" s="13"/>
      <c r="REZ1152" s="13"/>
      <c r="RFA1152" s="13"/>
      <c r="RFB1152" s="13"/>
      <c r="RFC1152" s="13"/>
      <c r="RFD1152" s="13"/>
      <c r="RFE1152" s="13"/>
      <c r="RFF1152" s="13"/>
      <c r="RFG1152" s="13"/>
      <c r="RFH1152" s="13"/>
      <c r="RFI1152" s="13"/>
      <c r="RFJ1152" s="13"/>
      <c r="RFK1152" s="13"/>
      <c r="RFL1152" s="13"/>
      <c r="RFM1152" s="13"/>
      <c r="RFN1152" s="13"/>
      <c r="RFO1152" s="13"/>
      <c r="RFP1152" s="13"/>
      <c r="RFQ1152" s="13"/>
      <c r="RFR1152" s="13"/>
      <c r="RFS1152" s="13"/>
      <c r="RFT1152" s="13"/>
      <c r="RFU1152" s="13"/>
      <c r="RFV1152" s="13"/>
      <c r="RFW1152" s="13"/>
      <c r="RFX1152" s="13"/>
      <c r="RFY1152" s="13"/>
      <c r="RFZ1152" s="13"/>
      <c r="RGA1152" s="13"/>
      <c r="RGB1152" s="13"/>
      <c r="RGC1152" s="13"/>
      <c r="RGD1152" s="13"/>
      <c r="RGE1152" s="13"/>
      <c r="RGF1152" s="13"/>
      <c r="RGG1152" s="13"/>
      <c r="RGH1152" s="13"/>
      <c r="RGI1152" s="13"/>
      <c r="RGJ1152" s="13"/>
      <c r="RGK1152" s="13"/>
      <c r="RGL1152" s="13"/>
      <c r="RGM1152" s="13"/>
      <c r="RGN1152" s="13"/>
      <c r="RGO1152" s="13"/>
      <c r="RGP1152" s="13"/>
      <c r="RGQ1152" s="13"/>
      <c r="RGR1152" s="13"/>
      <c r="RGS1152" s="13"/>
      <c r="RGT1152" s="13"/>
      <c r="RGU1152" s="13"/>
      <c r="RGV1152" s="13"/>
      <c r="RGW1152" s="13"/>
      <c r="RGX1152" s="13"/>
      <c r="RGY1152" s="13"/>
      <c r="RGZ1152" s="13"/>
      <c r="RHA1152" s="13"/>
      <c r="RHB1152" s="13"/>
      <c r="RHC1152" s="13"/>
      <c r="RHD1152" s="13"/>
      <c r="RHE1152" s="13"/>
      <c r="RHF1152" s="13"/>
      <c r="RHG1152" s="13"/>
      <c r="RHH1152" s="13"/>
      <c r="RHI1152" s="13"/>
      <c r="RHJ1152" s="13"/>
      <c r="RHK1152" s="13"/>
      <c r="RHL1152" s="13"/>
      <c r="RHM1152" s="13"/>
      <c r="RHN1152" s="13"/>
      <c r="RHO1152" s="13"/>
      <c r="RHP1152" s="13"/>
      <c r="RHQ1152" s="13"/>
      <c r="RHR1152" s="13"/>
      <c r="RHS1152" s="13"/>
      <c r="RHT1152" s="13"/>
      <c r="RHU1152" s="13"/>
      <c r="RHV1152" s="13"/>
      <c r="RHW1152" s="13"/>
      <c r="RHX1152" s="13"/>
      <c r="RHY1152" s="13"/>
      <c r="RHZ1152" s="13"/>
      <c r="RIA1152" s="13"/>
      <c r="RIB1152" s="13"/>
      <c r="RIC1152" s="13"/>
      <c r="RID1152" s="13"/>
      <c r="RIE1152" s="13"/>
      <c r="RIF1152" s="13"/>
      <c r="RIG1152" s="13"/>
      <c r="RIH1152" s="13"/>
      <c r="RII1152" s="13"/>
      <c r="RIJ1152" s="13"/>
      <c r="RIK1152" s="13"/>
      <c r="RIL1152" s="13"/>
      <c r="RIM1152" s="13"/>
      <c r="RIN1152" s="13"/>
      <c r="RIO1152" s="13"/>
      <c r="RIP1152" s="13"/>
      <c r="RIQ1152" s="13"/>
      <c r="RIR1152" s="13"/>
      <c r="RIS1152" s="13"/>
      <c r="RIT1152" s="13"/>
      <c r="RIU1152" s="13"/>
      <c r="RIV1152" s="13"/>
      <c r="RIW1152" s="13"/>
      <c r="RIX1152" s="13"/>
      <c r="RIY1152" s="13"/>
      <c r="RIZ1152" s="13"/>
      <c r="RJA1152" s="13"/>
      <c r="RJB1152" s="13"/>
      <c r="RJC1152" s="13"/>
      <c r="RJD1152" s="13"/>
      <c r="RJE1152" s="13"/>
      <c r="RJF1152" s="13"/>
      <c r="RJG1152" s="13"/>
      <c r="RJH1152" s="13"/>
      <c r="RJI1152" s="13"/>
      <c r="RJJ1152" s="13"/>
      <c r="RJK1152" s="13"/>
      <c r="RJL1152" s="13"/>
      <c r="RJM1152" s="13"/>
      <c r="RJN1152" s="13"/>
      <c r="RJO1152" s="13"/>
      <c r="RJP1152" s="13"/>
      <c r="RJQ1152" s="13"/>
      <c r="RJR1152" s="13"/>
      <c r="RJS1152" s="13"/>
      <c r="RJT1152" s="13"/>
      <c r="RJU1152" s="13"/>
      <c r="RJV1152" s="13"/>
      <c r="RJW1152" s="13"/>
      <c r="RJX1152" s="13"/>
      <c r="RJY1152" s="13"/>
      <c r="RJZ1152" s="13"/>
      <c r="RKA1152" s="13"/>
      <c r="RKB1152" s="13"/>
      <c r="RKC1152" s="13"/>
      <c r="RKD1152" s="13"/>
      <c r="RKE1152" s="13"/>
      <c r="RKF1152" s="13"/>
      <c r="RKG1152" s="13"/>
      <c r="RKH1152" s="13"/>
      <c r="RKI1152" s="13"/>
      <c r="RKJ1152" s="13"/>
      <c r="RKK1152" s="13"/>
      <c r="RKL1152" s="13"/>
      <c r="RKM1152" s="13"/>
      <c r="RKN1152" s="13"/>
      <c r="RKO1152" s="13"/>
      <c r="RKP1152" s="13"/>
      <c r="RKQ1152" s="13"/>
      <c r="RKR1152" s="13"/>
      <c r="RKS1152" s="13"/>
      <c r="RKT1152" s="13"/>
      <c r="RKU1152" s="13"/>
      <c r="RKV1152" s="13"/>
      <c r="RKW1152" s="13"/>
      <c r="RKX1152" s="13"/>
      <c r="RKY1152" s="13"/>
      <c r="RKZ1152" s="13"/>
      <c r="RLA1152" s="13"/>
      <c r="RLB1152" s="13"/>
      <c r="RLC1152" s="13"/>
      <c r="RLD1152" s="13"/>
      <c r="RLE1152" s="13"/>
      <c r="RLF1152" s="13"/>
      <c r="RLG1152" s="13"/>
      <c r="RLH1152" s="13"/>
      <c r="RLI1152" s="13"/>
      <c r="RLJ1152" s="13"/>
      <c r="RLK1152" s="13"/>
      <c r="RLL1152" s="13"/>
      <c r="RLM1152" s="13"/>
      <c r="RLN1152" s="13"/>
      <c r="RLO1152" s="13"/>
      <c r="RLP1152" s="13"/>
      <c r="RLQ1152" s="13"/>
      <c r="RLR1152" s="13"/>
      <c r="RLS1152" s="13"/>
      <c r="RLT1152" s="13"/>
      <c r="RLU1152" s="13"/>
      <c r="RLV1152" s="13"/>
      <c r="RLW1152" s="13"/>
      <c r="RLX1152" s="13"/>
      <c r="RLY1152" s="13"/>
      <c r="RLZ1152" s="13"/>
      <c r="RMA1152" s="13"/>
      <c r="RMB1152" s="13"/>
      <c r="RMC1152" s="13"/>
      <c r="RMD1152" s="13"/>
      <c r="RME1152" s="13"/>
      <c r="RMF1152" s="13"/>
      <c r="RMG1152" s="13"/>
      <c r="RMH1152" s="13"/>
      <c r="RMI1152" s="13"/>
      <c r="RMJ1152" s="13"/>
      <c r="RMK1152" s="13"/>
      <c r="RML1152" s="13"/>
      <c r="RMM1152" s="13"/>
      <c r="RMN1152" s="13"/>
      <c r="RMO1152" s="13"/>
      <c r="RMP1152" s="13"/>
      <c r="RMQ1152" s="13"/>
      <c r="RMR1152" s="13"/>
      <c r="RMS1152" s="13"/>
      <c r="RMT1152" s="13"/>
      <c r="RMU1152" s="13"/>
      <c r="RMV1152" s="13"/>
      <c r="RMW1152" s="13"/>
      <c r="RMX1152" s="13"/>
      <c r="RMY1152" s="13"/>
      <c r="RMZ1152" s="13"/>
      <c r="RNA1152" s="13"/>
      <c r="RNB1152" s="13"/>
      <c r="RNC1152" s="13"/>
      <c r="RND1152" s="13"/>
      <c r="RNE1152" s="13"/>
      <c r="RNF1152" s="13"/>
      <c r="RNG1152" s="13"/>
      <c r="RNH1152" s="13"/>
      <c r="RNI1152" s="13"/>
      <c r="RNJ1152" s="13"/>
      <c r="RNK1152" s="13"/>
      <c r="RNL1152" s="13"/>
      <c r="RNM1152" s="13"/>
      <c r="RNN1152" s="13"/>
      <c r="RNO1152" s="13"/>
      <c r="RNP1152" s="13"/>
      <c r="RNQ1152" s="13"/>
      <c r="RNR1152" s="13"/>
      <c r="RNS1152" s="13"/>
      <c r="RNT1152" s="13"/>
      <c r="RNU1152" s="13"/>
      <c r="RNV1152" s="13"/>
      <c r="RNW1152" s="13"/>
      <c r="RNX1152" s="13"/>
      <c r="RNY1152" s="13"/>
      <c r="RNZ1152" s="13"/>
      <c r="ROA1152" s="13"/>
      <c r="ROB1152" s="13"/>
      <c r="ROC1152" s="13"/>
      <c r="ROD1152" s="13"/>
      <c r="ROE1152" s="13"/>
      <c r="ROF1152" s="13"/>
      <c r="ROG1152" s="13"/>
      <c r="ROH1152" s="13"/>
      <c r="ROI1152" s="13"/>
      <c r="ROJ1152" s="13"/>
      <c r="ROK1152" s="13"/>
      <c r="ROL1152" s="13"/>
      <c r="ROM1152" s="13"/>
      <c r="RON1152" s="13"/>
      <c r="ROO1152" s="13"/>
      <c r="ROP1152" s="13"/>
      <c r="ROQ1152" s="13"/>
      <c r="ROR1152" s="13"/>
      <c r="ROS1152" s="13"/>
      <c r="ROT1152" s="13"/>
      <c r="ROU1152" s="13"/>
      <c r="ROV1152" s="13"/>
      <c r="ROW1152" s="13"/>
      <c r="ROX1152" s="13"/>
      <c r="ROY1152" s="13"/>
      <c r="ROZ1152" s="13"/>
      <c r="RPA1152" s="13"/>
      <c r="RPB1152" s="13"/>
      <c r="RPC1152" s="13"/>
      <c r="RPD1152" s="13"/>
      <c r="RPE1152" s="13"/>
      <c r="RPF1152" s="13"/>
      <c r="RPG1152" s="13"/>
      <c r="RPH1152" s="13"/>
      <c r="RPI1152" s="13"/>
      <c r="RPJ1152" s="13"/>
      <c r="RPK1152" s="13"/>
      <c r="RPL1152" s="13"/>
      <c r="RPM1152" s="13"/>
      <c r="RPN1152" s="13"/>
      <c r="RPO1152" s="13"/>
      <c r="RPP1152" s="13"/>
      <c r="RPQ1152" s="13"/>
      <c r="RPR1152" s="13"/>
      <c r="RPS1152" s="13"/>
      <c r="RPT1152" s="13"/>
      <c r="RPU1152" s="13"/>
      <c r="RPV1152" s="13"/>
      <c r="RPW1152" s="13"/>
      <c r="RPX1152" s="13"/>
      <c r="RPY1152" s="13"/>
      <c r="RPZ1152" s="13"/>
      <c r="RQA1152" s="13"/>
      <c r="RQB1152" s="13"/>
      <c r="RQC1152" s="13"/>
      <c r="RQD1152" s="13"/>
      <c r="RQE1152" s="13"/>
      <c r="RQF1152" s="13"/>
      <c r="RQG1152" s="13"/>
      <c r="RQH1152" s="13"/>
      <c r="RQI1152" s="13"/>
      <c r="RQJ1152" s="13"/>
      <c r="RQK1152" s="13"/>
      <c r="RQL1152" s="13"/>
      <c r="RQM1152" s="13"/>
      <c r="RQN1152" s="13"/>
      <c r="RQO1152" s="13"/>
      <c r="RQP1152" s="13"/>
      <c r="RQQ1152" s="13"/>
      <c r="RQR1152" s="13"/>
      <c r="RQS1152" s="13"/>
      <c r="RQT1152" s="13"/>
      <c r="RQU1152" s="13"/>
      <c r="RQV1152" s="13"/>
      <c r="RQW1152" s="13"/>
      <c r="RQX1152" s="13"/>
      <c r="RQY1152" s="13"/>
      <c r="RQZ1152" s="13"/>
      <c r="RRA1152" s="13"/>
      <c r="RRB1152" s="13"/>
      <c r="RRC1152" s="13"/>
      <c r="RRD1152" s="13"/>
      <c r="RRE1152" s="13"/>
      <c r="RRF1152" s="13"/>
      <c r="RRG1152" s="13"/>
      <c r="RRH1152" s="13"/>
      <c r="RRI1152" s="13"/>
      <c r="RRJ1152" s="13"/>
      <c r="RRK1152" s="13"/>
      <c r="RRL1152" s="13"/>
      <c r="RRM1152" s="13"/>
      <c r="RRN1152" s="13"/>
      <c r="RRO1152" s="13"/>
      <c r="RRP1152" s="13"/>
      <c r="RRQ1152" s="13"/>
      <c r="RRR1152" s="13"/>
      <c r="RRS1152" s="13"/>
      <c r="RRT1152" s="13"/>
      <c r="RRU1152" s="13"/>
      <c r="RRV1152" s="13"/>
      <c r="RRW1152" s="13"/>
      <c r="RRX1152" s="13"/>
      <c r="RRY1152" s="13"/>
      <c r="RRZ1152" s="13"/>
      <c r="RSA1152" s="13"/>
      <c r="RSB1152" s="13"/>
      <c r="RSC1152" s="13"/>
      <c r="RSD1152" s="13"/>
      <c r="RSE1152" s="13"/>
      <c r="RSF1152" s="13"/>
      <c r="RSG1152" s="13"/>
      <c r="RSH1152" s="13"/>
      <c r="RSI1152" s="13"/>
      <c r="RSJ1152" s="13"/>
      <c r="RSK1152" s="13"/>
      <c r="RSL1152" s="13"/>
      <c r="RSM1152" s="13"/>
      <c r="RSN1152" s="13"/>
      <c r="RSO1152" s="13"/>
      <c r="RSP1152" s="13"/>
      <c r="RSQ1152" s="13"/>
      <c r="RSR1152" s="13"/>
      <c r="RSS1152" s="13"/>
      <c r="RST1152" s="13"/>
      <c r="RSU1152" s="13"/>
      <c r="RSV1152" s="13"/>
      <c r="RSW1152" s="13"/>
      <c r="RSX1152" s="13"/>
      <c r="RSY1152" s="13"/>
      <c r="RSZ1152" s="13"/>
      <c r="RTA1152" s="13"/>
      <c r="RTB1152" s="13"/>
      <c r="RTC1152" s="13"/>
      <c r="RTD1152" s="13"/>
      <c r="RTE1152" s="13"/>
      <c r="RTF1152" s="13"/>
      <c r="RTG1152" s="13"/>
      <c r="RTH1152" s="13"/>
      <c r="RTI1152" s="13"/>
      <c r="RTJ1152" s="13"/>
      <c r="RTK1152" s="13"/>
      <c r="RTL1152" s="13"/>
      <c r="RTM1152" s="13"/>
      <c r="RTN1152" s="13"/>
      <c r="RTO1152" s="13"/>
      <c r="RTP1152" s="13"/>
      <c r="RTQ1152" s="13"/>
      <c r="RTR1152" s="13"/>
      <c r="RTS1152" s="13"/>
      <c r="RTT1152" s="13"/>
      <c r="RTU1152" s="13"/>
      <c r="RTV1152" s="13"/>
      <c r="RTW1152" s="13"/>
      <c r="RTX1152" s="13"/>
      <c r="RTY1152" s="13"/>
      <c r="RTZ1152" s="13"/>
      <c r="RUA1152" s="13"/>
      <c r="RUB1152" s="13"/>
      <c r="RUC1152" s="13"/>
      <c r="RUD1152" s="13"/>
      <c r="RUE1152" s="13"/>
      <c r="RUF1152" s="13"/>
      <c r="RUG1152" s="13"/>
      <c r="RUH1152" s="13"/>
      <c r="RUI1152" s="13"/>
      <c r="RUJ1152" s="13"/>
      <c r="RUK1152" s="13"/>
      <c r="RUL1152" s="13"/>
      <c r="RUM1152" s="13"/>
      <c r="RUN1152" s="13"/>
      <c r="RUO1152" s="13"/>
      <c r="RUP1152" s="13"/>
      <c r="RUQ1152" s="13"/>
      <c r="RUR1152" s="13"/>
      <c r="RUS1152" s="13"/>
      <c r="RUT1152" s="13"/>
      <c r="RUU1152" s="13"/>
      <c r="RUV1152" s="13"/>
      <c r="RUW1152" s="13"/>
      <c r="RUX1152" s="13"/>
      <c r="RUY1152" s="13"/>
      <c r="RUZ1152" s="13"/>
      <c r="RVA1152" s="13"/>
      <c r="RVB1152" s="13"/>
      <c r="RVC1152" s="13"/>
      <c r="RVD1152" s="13"/>
      <c r="RVE1152" s="13"/>
      <c r="RVF1152" s="13"/>
      <c r="RVG1152" s="13"/>
      <c r="RVH1152" s="13"/>
      <c r="RVI1152" s="13"/>
      <c r="RVJ1152" s="13"/>
      <c r="RVK1152" s="13"/>
      <c r="RVL1152" s="13"/>
      <c r="RVM1152" s="13"/>
      <c r="RVN1152" s="13"/>
      <c r="RVO1152" s="13"/>
      <c r="RVP1152" s="13"/>
      <c r="RVQ1152" s="13"/>
      <c r="RVR1152" s="13"/>
      <c r="RVS1152" s="13"/>
      <c r="RVT1152" s="13"/>
      <c r="RVU1152" s="13"/>
      <c r="RVV1152" s="13"/>
      <c r="RVW1152" s="13"/>
      <c r="RVX1152" s="13"/>
      <c r="RVY1152" s="13"/>
      <c r="RVZ1152" s="13"/>
      <c r="RWA1152" s="13"/>
      <c r="RWB1152" s="13"/>
      <c r="RWC1152" s="13"/>
      <c r="RWD1152" s="13"/>
      <c r="RWE1152" s="13"/>
      <c r="RWF1152" s="13"/>
      <c r="RWG1152" s="13"/>
      <c r="RWH1152" s="13"/>
      <c r="RWI1152" s="13"/>
      <c r="RWJ1152" s="13"/>
      <c r="RWK1152" s="13"/>
      <c r="RWL1152" s="13"/>
      <c r="RWM1152" s="13"/>
      <c r="RWN1152" s="13"/>
      <c r="RWO1152" s="13"/>
      <c r="RWP1152" s="13"/>
      <c r="RWQ1152" s="13"/>
      <c r="RWR1152" s="13"/>
      <c r="RWS1152" s="13"/>
      <c r="RWT1152" s="13"/>
      <c r="RWU1152" s="13"/>
      <c r="RWV1152" s="13"/>
      <c r="RWW1152" s="13"/>
      <c r="RWX1152" s="13"/>
      <c r="RWY1152" s="13"/>
      <c r="RWZ1152" s="13"/>
      <c r="RXA1152" s="13"/>
      <c r="RXB1152" s="13"/>
      <c r="RXC1152" s="13"/>
      <c r="RXD1152" s="13"/>
      <c r="RXE1152" s="13"/>
      <c r="RXF1152" s="13"/>
      <c r="RXG1152" s="13"/>
      <c r="RXH1152" s="13"/>
      <c r="RXI1152" s="13"/>
      <c r="RXJ1152" s="13"/>
      <c r="RXK1152" s="13"/>
      <c r="RXL1152" s="13"/>
      <c r="RXM1152" s="13"/>
      <c r="RXN1152" s="13"/>
      <c r="RXO1152" s="13"/>
      <c r="RXP1152" s="13"/>
      <c r="RXQ1152" s="13"/>
      <c r="RXR1152" s="13"/>
      <c r="RXS1152" s="13"/>
      <c r="RXT1152" s="13"/>
      <c r="RXU1152" s="13"/>
      <c r="RXV1152" s="13"/>
      <c r="RXW1152" s="13"/>
      <c r="RXX1152" s="13"/>
      <c r="RXY1152" s="13"/>
      <c r="RXZ1152" s="13"/>
      <c r="RYA1152" s="13"/>
      <c r="RYB1152" s="13"/>
      <c r="RYC1152" s="13"/>
      <c r="RYD1152" s="13"/>
      <c r="RYE1152" s="13"/>
      <c r="RYF1152" s="13"/>
      <c r="RYG1152" s="13"/>
      <c r="RYH1152" s="13"/>
      <c r="RYI1152" s="13"/>
      <c r="RYJ1152" s="13"/>
      <c r="RYK1152" s="13"/>
      <c r="RYL1152" s="13"/>
      <c r="RYM1152" s="13"/>
      <c r="RYN1152" s="13"/>
      <c r="RYO1152" s="13"/>
      <c r="RYP1152" s="13"/>
      <c r="RYQ1152" s="13"/>
      <c r="RYR1152" s="13"/>
      <c r="RYS1152" s="13"/>
      <c r="RYT1152" s="13"/>
      <c r="RYU1152" s="13"/>
      <c r="RYV1152" s="13"/>
      <c r="RYW1152" s="13"/>
      <c r="RYX1152" s="13"/>
      <c r="RYY1152" s="13"/>
      <c r="RYZ1152" s="13"/>
      <c r="RZA1152" s="13"/>
      <c r="RZB1152" s="13"/>
      <c r="RZC1152" s="13"/>
      <c r="RZD1152" s="13"/>
      <c r="RZE1152" s="13"/>
      <c r="RZF1152" s="13"/>
      <c r="RZG1152" s="13"/>
      <c r="RZH1152" s="13"/>
      <c r="RZI1152" s="13"/>
      <c r="RZJ1152" s="13"/>
      <c r="RZK1152" s="13"/>
      <c r="RZL1152" s="13"/>
      <c r="RZM1152" s="13"/>
      <c r="RZN1152" s="13"/>
      <c r="RZO1152" s="13"/>
      <c r="RZP1152" s="13"/>
      <c r="RZQ1152" s="13"/>
      <c r="RZR1152" s="13"/>
      <c r="RZS1152" s="13"/>
      <c r="RZT1152" s="13"/>
      <c r="RZU1152" s="13"/>
      <c r="RZV1152" s="13"/>
      <c r="RZW1152" s="13"/>
      <c r="RZX1152" s="13"/>
      <c r="RZY1152" s="13"/>
      <c r="RZZ1152" s="13"/>
      <c r="SAA1152" s="13"/>
      <c r="SAB1152" s="13"/>
      <c r="SAC1152" s="13"/>
      <c r="SAD1152" s="13"/>
      <c r="SAE1152" s="13"/>
      <c r="SAF1152" s="13"/>
      <c r="SAG1152" s="13"/>
      <c r="SAH1152" s="13"/>
      <c r="SAI1152" s="13"/>
      <c r="SAJ1152" s="13"/>
      <c r="SAK1152" s="13"/>
      <c r="SAL1152" s="13"/>
      <c r="SAM1152" s="13"/>
      <c r="SAN1152" s="13"/>
      <c r="SAO1152" s="13"/>
      <c r="SAP1152" s="13"/>
      <c r="SAQ1152" s="13"/>
      <c r="SAR1152" s="13"/>
      <c r="SAS1152" s="13"/>
      <c r="SAT1152" s="13"/>
      <c r="SAU1152" s="13"/>
      <c r="SAV1152" s="13"/>
      <c r="SAW1152" s="13"/>
      <c r="SAX1152" s="13"/>
      <c r="SAY1152" s="13"/>
      <c r="SAZ1152" s="13"/>
      <c r="SBA1152" s="13"/>
      <c r="SBB1152" s="13"/>
      <c r="SBC1152" s="13"/>
      <c r="SBD1152" s="13"/>
      <c r="SBE1152" s="13"/>
      <c r="SBF1152" s="13"/>
      <c r="SBG1152" s="13"/>
      <c r="SBH1152" s="13"/>
      <c r="SBI1152" s="13"/>
      <c r="SBJ1152" s="13"/>
      <c r="SBK1152" s="13"/>
      <c r="SBL1152" s="13"/>
      <c r="SBM1152" s="13"/>
      <c r="SBN1152" s="13"/>
      <c r="SBO1152" s="13"/>
      <c r="SBP1152" s="13"/>
      <c r="SBQ1152" s="13"/>
      <c r="SBR1152" s="13"/>
      <c r="SBS1152" s="13"/>
      <c r="SBT1152" s="13"/>
      <c r="SBU1152" s="13"/>
      <c r="SBV1152" s="13"/>
      <c r="SBW1152" s="13"/>
      <c r="SBX1152" s="13"/>
      <c r="SBY1152" s="13"/>
      <c r="SBZ1152" s="13"/>
      <c r="SCA1152" s="13"/>
      <c r="SCB1152" s="13"/>
      <c r="SCC1152" s="13"/>
      <c r="SCD1152" s="13"/>
      <c r="SCE1152" s="13"/>
      <c r="SCF1152" s="13"/>
      <c r="SCG1152" s="13"/>
      <c r="SCH1152" s="13"/>
      <c r="SCI1152" s="13"/>
      <c r="SCJ1152" s="13"/>
      <c r="SCK1152" s="13"/>
      <c r="SCL1152" s="13"/>
      <c r="SCM1152" s="13"/>
      <c r="SCN1152" s="13"/>
      <c r="SCO1152" s="13"/>
      <c r="SCP1152" s="13"/>
      <c r="SCQ1152" s="13"/>
      <c r="SCR1152" s="13"/>
      <c r="SCS1152" s="13"/>
      <c r="SCT1152" s="13"/>
      <c r="SCU1152" s="13"/>
      <c r="SCV1152" s="13"/>
      <c r="SCW1152" s="13"/>
      <c r="SCX1152" s="13"/>
      <c r="SCY1152" s="13"/>
      <c r="SCZ1152" s="13"/>
      <c r="SDA1152" s="13"/>
      <c r="SDB1152" s="13"/>
      <c r="SDC1152" s="13"/>
      <c r="SDD1152" s="13"/>
      <c r="SDE1152" s="13"/>
      <c r="SDF1152" s="13"/>
      <c r="SDG1152" s="13"/>
      <c r="SDH1152" s="13"/>
      <c r="SDI1152" s="13"/>
      <c r="SDJ1152" s="13"/>
      <c r="SDK1152" s="13"/>
      <c r="SDL1152" s="13"/>
      <c r="SDM1152" s="13"/>
      <c r="SDN1152" s="13"/>
      <c r="SDO1152" s="13"/>
      <c r="SDP1152" s="13"/>
      <c r="SDQ1152" s="13"/>
      <c r="SDR1152" s="13"/>
      <c r="SDS1152" s="13"/>
      <c r="SDT1152" s="13"/>
      <c r="SDU1152" s="13"/>
      <c r="SDV1152" s="13"/>
      <c r="SDW1152" s="13"/>
      <c r="SDX1152" s="13"/>
      <c r="SDY1152" s="13"/>
      <c r="SDZ1152" s="13"/>
      <c r="SEA1152" s="13"/>
      <c r="SEB1152" s="13"/>
      <c r="SEC1152" s="13"/>
      <c r="SED1152" s="13"/>
      <c r="SEE1152" s="13"/>
      <c r="SEF1152" s="13"/>
      <c r="SEG1152" s="13"/>
      <c r="SEH1152" s="13"/>
      <c r="SEI1152" s="13"/>
      <c r="SEJ1152" s="13"/>
      <c r="SEK1152" s="13"/>
      <c r="SEL1152" s="13"/>
      <c r="SEM1152" s="13"/>
      <c r="SEN1152" s="13"/>
      <c r="SEO1152" s="13"/>
      <c r="SEP1152" s="13"/>
      <c r="SEQ1152" s="13"/>
      <c r="SER1152" s="13"/>
      <c r="SES1152" s="13"/>
      <c r="SET1152" s="13"/>
      <c r="SEU1152" s="13"/>
      <c r="SEV1152" s="13"/>
      <c r="SEW1152" s="13"/>
      <c r="SEX1152" s="13"/>
      <c r="SEY1152" s="13"/>
      <c r="SEZ1152" s="13"/>
      <c r="SFA1152" s="13"/>
      <c r="SFB1152" s="13"/>
      <c r="SFC1152" s="13"/>
      <c r="SFD1152" s="13"/>
      <c r="SFE1152" s="13"/>
      <c r="SFF1152" s="13"/>
      <c r="SFG1152" s="13"/>
      <c r="SFH1152" s="13"/>
      <c r="SFI1152" s="13"/>
      <c r="SFJ1152" s="13"/>
      <c r="SFK1152" s="13"/>
      <c r="SFL1152" s="13"/>
      <c r="SFM1152" s="13"/>
      <c r="SFN1152" s="13"/>
      <c r="SFO1152" s="13"/>
      <c r="SFP1152" s="13"/>
      <c r="SFQ1152" s="13"/>
      <c r="SFR1152" s="13"/>
      <c r="SFS1152" s="13"/>
      <c r="SFT1152" s="13"/>
      <c r="SFU1152" s="13"/>
      <c r="SFV1152" s="13"/>
      <c r="SFW1152" s="13"/>
      <c r="SFX1152" s="13"/>
      <c r="SFY1152" s="13"/>
      <c r="SFZ1152" s="13"/>
      <c r="SGA1152" s="13"/>
      <c r="SGB1152" s="13"/>
      <c r="SGC1152" s="13"/>
      <c r="SGD1152" s="13"/>
      <c r="SGE1152" s="13"/>
      <c r="SGF1152" s="13"/>
      <c r="SGG1152" s="13"/>
      <c r="SGH1152" s="13"/>
      <c r="SGI1152" s="13"/>
      <c r="SGJ1152" s="13"/>
      <c r="SGK1152" s="13"/>
      <c r="SGL1152" s="13"/>
      <c r="SGM1152" s="13"/>
      <c r="SGN1152" s="13"/>
      <c r="SGO1152" s="13"/>
      <c r="SGP1152" s="13"/>
      <c r="SGQ1152" s="13"/>
      <c r="SGR1152" s="13"/>
      <c r="SGS1152" s="13"/>
      <c r="SGT1152" s="13"/>
      <c r="SGU1152" s="13"/>
      <c r="SGV1152" s="13"/>
      <c r="SGW1152" s="13"/>
      <c r="SGX1152" s="13"/>
      <c r="SGY1152" s="13"/>
      <c r="SGZ1152" s="13"/>
      <c r="SHA1152" s="13"/>
      <c r="SHB1152" s="13"/>
      <c r="SHC1152" s="13"/>
      <c r="SHD1152" s="13"/>
      <c r="SHE1152" s="13"/>
      <c r="SHF1152" s="13"/>
      <c r="SHG1152" s="13"/>
      <c r="SHH1152" s="13"/>
      <c r="SHI1152" s="13"/>
      <c r="SHJ1152" s="13"/>
      <c r="SHK1152" s="13"/>
      <c r="SHL1152" s="13"/>
      <c r="SHM1152" s="13"/>
      <c r="SHN1152" s="13"/>
      <c r="SHO1152" s="13"/>
      <c r="SHP1152" s="13"/>
      <c r="SHQ1152" s="13"/>
      <c r="SHR1152" s="13"/>
      <c r="SHS1152" s="13"/>
      <c r="SHT1152" s="13"/>
      <c r="SHU1152" s="13"/>
      <c r="SHV1152" s="13"/>
      <c r="SHW1152" s="13"/>
      <c r="SHX1152" s="13"/>
      <c r="SHY1152" s="13"/>
      <c r="SHZ1152" s="13"/>
      <c r="SIA1152" s="13"/>
      <c r="SIB1152" s="13"/>
      <c r="SIC1152" s="13"/>
      <c r="SID1152" s="13"/>
      <c r="SIE1152" s="13"/>
      <c r="SIF1152" s="13"/>
      <c r="SIG1152" s="13"/>
      <c r="SIH1152" s="13"/>
      <c r="SII1152" s="13"/>
      <c r="SIJ1152" s="13"/>
      <c r="SIK1152" s="13"/>
      <c r="SIL1152" s="13"/>
      <c r="SIM1152" s="13"/>
      <c r="SIN1152" s="13"/>
      <c r="SIO1152" s="13"/>
      <c r="SIP1152" s="13"/>
      <c r="SIQ1152" s="13"/>
      <c r="SIR1152" s="13"/>
      <c r="SIS1152" s="13"/>
      <c r="SIT1152" s="13"/>
      <c r="SIU1152" s="13"/>
      <c r="SIV1152" s="13"/>
      <c r="SIW1152" s="13"/>
      <c r="SIX1152" s="13"/>
      <c r="SIY1152" s="13"/>
      <c r="SIZ1152" s="13"/>
      <c r="SJA1152" s="13"/>
      <c r="SJB1152" s="13"/>
      <c r="SJC1152" s="13"/>
      <c r="SJD1152" s="13"/>
      <c r="SJE1152" s="13"/>
      <c r="SJF1152" s="13"/>
      <c r="SJG1152" s="13"/>
      <c r="SJH1152" s="13"/>
      <c r="SJI1152" s="13"/>
      <c r="SJJ1152" s="13"/>
      <c r="SJK1152" s="13"/>
      <c r="SJL1152" s="13"/>
      <c r="SJM1152" s="13"/>
      <c r="SJN1152" s="13"/>
      <c r="SJO1152" s="13"/>
      <c r="SJP1152" s="13"/>
      <c r="SJQ1152" s="13"/>
      <c r="SJR1152" s="13"/>
      <c r="SJS1152" s="13"/>
      <c r="SJT1152" s="13"/>
      <c r="SJU1152" s="13"/>
      <c r="SJV1152" s="13"/>
      <c r="SJW1152" s="13"/>
      <c r="SJX1152" s="13"/>
      <c r="SJY1152" s="13"/>
      <c r="SJZ1152" s="13"/>
      <c r="SKA1152" s="13"/>
      <c r="SKB1152" s="13"/>
      <c r="SKC1152" s="13"/>
      <c r="SKD1152" s="13"/>
      <c r="SKE1152" s="13"/>
      <c r="SKF1152" s="13"/>
      <c r="SKG1152" s="13"/>
      <c r="SKH1152" s="13"/>
      <c r="SKI1152" s="13"/>
      <c r="SKJ1152" s="13"/>
      <c r="SKK1152" s="13"/>
      <c r="SKL1152" s="13"/>
      <c r="SKM1152" s="13"/>
      <c r="SKN1152" s="13"/>
      <c r="SKO1152" s="13"/>
      <c r="SKP1152" s="13"/>
      <c r="SKQ1152" s="13"/>
      <c r="SKR1152" s="13"/>
      <c r="SKS1152" s="13"/>
      <c r="SKT1152" s="13"/>
      <c r="SKU1152" s="13"/>
      <c r="SKV1152" s="13"/>
      <c r="SKW1152" s="13"/>
      <c r="SKX1152" s="13"/>
      <c r="SKY1152" s="13"/>
      <c r="SKZ1152" s="13"/>
      <c r="SLA1152" s="13"/>
      <c r="SLB1152" s="13"/>
      <c r="SLC1152" s="13"/>
      <c r="SLD1152" s="13"/>
      <c r="SLE1152" s="13"/>
      <c r="SLF1152" s="13"/>
      <c r="SLG1152" s="13"/>
      <c r="SLH1152" s="13"/>
      <c r="SLI1152" s="13"/>
      <c r="SLJ1152" s="13"/>
      <c r="SLK1152" s="13"/>
      <c r="SLL1152" s="13"/>
      <c r="SLM1152" s="13"/>
      <c r="SLN1152" s="13"/>
      <c r="SLO1152" s="13"/>
      <c r="SLP1152" s="13"/>
      <c r="SLQ1152" s="13"/>
      <c r="SLR1152" s="13"/>
      <c r="SLS1152" s="13"/>
      <c r="SLT1152" s="13"/>
      <c r="SLU1152" s="13"/>
      <c r="SLV1152" s="13"/>
      <c r="SLW1152" s="13"/>
      <c r="SLX1152" s="13"/>
      <c r="SLY1152" s="13"/>
      <c r="SLZ1152" s="13"/>
      <c r="SMA1152" s="13"/>
      <c r="SMB1152" s="13"/>
      <c r="SMC1152" s="13"/>
      <c r="SMD1152" s="13"/>
      <c r="SME1152" s="13"/>
      <c r="SMF1152" s="13"/>
      <c r="SMG1152" s="13"/>
      <c r="SMH1152" s="13"/>
      <c r="SMI1152" s="13"/>
      <c r="SMJ1152" s="13"/>
      <c r="SMK1152" s="13"/>
      <c r="SML1152" s="13"/>
      <c r="SMM1152" s="13"/>
      <c r="SMN1152" s="13"/>
      <c r="SMO1152" s="13"/>
      <c r="SMP1152" s="13"/>
      <c r="SMQ1152" s="13"/>
      <c r="SMR1152" s="13"/>
      <c r="SMS1152" s="13"/>
      <c r="SMT1152" s="13"/>
      <c r="SMU1152" s="13"/>
      <c r="SMV1152" s="13"/>
      <c r="SMW1152" s="13"/>
      <c r="SMX1152" s="13"/>
      <c r="SMY1152" s="13"/>
      <c r="SMZ1152" s="13"/>
      <c r="SNA1152" s="13"/>
      <c r="SNB1152" s="13"/>
      <c r="SNC1152" s="13"/>
      <c r="SND1152" s="13"/>
      <c r="SNE1152" s="13"/>
      <c r="SNF1152" s="13"/>
      <c r="SNG1152" s="13"/>
      <c r="SNH1152" s="13"/>
      <c r="SNI1152" s="13"/>
      <c r="SNJ1152" s="13"/>
      <c r="SNK1152" s="13"/>
      <c r="SNL1152" s="13"/>
      <c r="SNM1152" s="13"/>
      <c r="SNN1152" s="13"/>
      <c r="SNO1152" s="13"/>
      <c r="SNP1152" s="13"/>
      <c r="SNQ1152" s="13"/>
      <c r="SNR1152" s="13"/>
      <c r="SNS1152" s="13"/>
      <c r="SNT1152" s="13"/>
      <c r="SNU1152" s="13"/>
      <c r="SNV1152" s="13"/>
      <c r="SNW1152" s="13"/>
      <c r="SNX1152" s="13"/>
      <c r="SNY1152" s="13"/>
      <c r="SNZ1152" s="13"/>
      <c r="SOA1152" s="13"/>
      <c r="SOB1152" s="13"/>
      <c r="SOC1152" s="13"/>
      <c r="SOD1152" s="13"/>
      <c r="SOE1152" s="13"/>
      <c r="SOF1152" s="13"/>
      <c r="SOG1152" s="13"/>
      <c r="SOH1152" s="13"/>
      <c r="SOI1152" s="13"/>
      <c r="SOJ1152" s="13"/>
      <c r="SOK1152" s="13"/>
      <c r="SOL1152" s="13"/>
      <c r="SOM1152" s="13"/>
      <c r="SON1152" s="13"/>
      <c r="SOO1152" s="13"/>
      <c r="SOP1152" s="13"/>
      <c r="SOQ1152" s="13"/>
      <c r="SOR1152" s="13"/>
      <c r="SOS1152" s="13"/>
      <c r="SOT1152" s="13"/>
      <c r="SOU1152" s="13"/>
      <c r="SOV1152" s="13"/>
      <c r="SOW1152" s="13"/>
      <c r="SOX1152" s="13"/>
      <c r="SOY1152" s="13"/>
      <c r="SOZ1152" s="13"/>
      <c r="SPA1152" s="13"/>
      <c r="SPB1152" s="13"/>
      <c r="SPC1152" s="13"/>
      <c r="SPD1152" s="13"/>
      <c r="SPE1152" s="13"/>
      <c r="SPF1152" s="13"/>
      <c r="SPG1152" s="13"/>
      <c r="SPH1152" s="13"/>
      <c r="SPI1152" s="13"/>
      <c r="SPJ1152" s="13"/>
      <c r="SPK1152" s="13"/>
      <c r="SPL1152" s="13"/>
      <c r="SPM1152" s="13"/>
      <c r="SPN1152" s="13"/>
      <c r="SPO1152" s="13"/>
      <c r="SPP1152" s="13"/>
      <c r="SPQ1152" s="13"/>
      <c r="SPR1152" s="13"/>
      <c r="SPS1152" s="13"/>
      <c r="SPT1152" s="13"/>
      <c r="SPU1152" s="13"/>
      <c r="SPV1152" s="13"/>
      <c r="SPW1152" s="13"/>
      <c r="SPX1152" s="13"/>
      <c r="SPY1152" s="13"/>
      <c r="SPZ1152" s="13"/>
      <c r="SQA1152" s="13"/>
      <c r="SQB1152" s="13"/>
      <c r="SQC1152" s="13"/>
      <c r="SQD1152" s="13"/>
      <c r="SQE1152" s="13"/>
      <c r="SQF1152" s="13"/>
      <c r="SQG1152" s="13"/>
      <c r="SQH1152" s="13"/>
      <c r="SQI1152" s="13"/>
      <c r="SQJ1152" s="13"/>
      <c r="SQK1152" s="13"/>
      <c r="SQL1152" s="13"/>
      <c r="SQM1152" s="13"/>
      <c r="SQN1152" s="13"/>
      <c r="SQO1152" s="13"/>
      <c r="SQP1152" s="13"/>
      <c r="SQQ1152" s="13"/>
      <c r="SQR1152" s="13"/>
      <c r="SQS1152" s="13"/>
      <c r="SQT1152" s="13"/>
      <c r="SQU1152" s="13"/>
      <c r="SQV1152" s="13"/>
      <c r="SQW1152" s="13"/>
      <c r="SQX1152" s="13"/>
      <c r="SQY1152" s="13"/>
      <c r="SQZ1152" s="13"/>
      <c r="SRA1152" s="13"/>
      <c r="SRB1152" s="13"/>
      <c r="SRC1152" s="13"/>
      <c r="SRD1152" s="13"/>
      <c r="SRE1152" s="13"/>
      <c r="SRF1152" s="13"/>
      <c r="SRG1152" s="13"/>
      <c r="SRH1152" s="13"/>
      <c r="SRI1152" s="13"/>
      <c r="SRJ1152" s="13"/>
      <c r="SRK1152" s="13"/>
      <c r="SRL1152" s="13"/>
      <c r="SRM1152" s="13"/>
      <c r="SRN1152" s="13"/>
      <c r="SRO1152" s="13"/>
      <c r="SRP1152" s="13"/>
      <c r="SRQ1152" s="13"/>
      <c r="SRR1152" s="13"/>
      <c r="SRS1152" s="13"/>
      <c r="SRT1152" s="13"/>
      <c r="SRU1152" s="13"/>
      <c r="SRV1152" s="13"/>
      <c r="SRW1152" s="13"/>
      <c r="SRX1152" s="13"/>
      <c r="SRY1152" s="13"/>
      <c r="SRZ1152" s="13"/>
      <c r="SSA1152" s="13"/>
      <c r="SSB1152" s="13"/>
      <c r="SSC1152" s="13"/>
      <c r="SSD1152" s="13"/>
      <c r="SSE1152" s="13"/>
      <c r="SSF1152" s="13"/>
      <c r="SSG1152" s="13"/>
      <c r="SSH1152" s="13"/>
      <c r="SSI1152" s="13"/>
      <c r="SSJ1152" s="13"/>
      <c r="SSK1152" s="13"/>
      <c r="SSL1152" s="13"/>
      <c r="SSM1152" s="13"/>
      <c r="SSN1152" s="13"/>
      <c r="SSO1152" s="13"/>
      <c r="SSP1152" s="13"/>
      <c r="SSQ1152" s="13"/>
      <c r="SSR1152" s="13"/>
      <c r="SSS1152" s="13"/>
      <c r="SST1152" s="13"/>
      <c r="SSU1152" s="13"/>
      <c r="SSV1152" s="13"/>
      <c r="SSW1152" s="13"/>
      <c r="SSX1152" s="13"/>
      <c r="SSY1152" s="13"/>
      <c r="SSZ1152" s="13"/>
      <c r="STA1152" s="13"/>
      <c r="STB1152" s="13"/>
      <c r="STC1152" s="13"/>
      <c r="STD1152" s="13"/>
      <c r="STE1152" s="13"/>
      <c r="STF1152" s="13"/>
      <c r="STG1152" s="13"/>
      <c r="STH1152" s="13"/>
      <c r="STI1152" s="13"/>
      <c r="STJ1152" s="13"/>
      <c r="STK1152" s="13"/>
      <c r="STL1152" s="13"/>
      <c r="STM1152" s="13"/>
      <c r="STN1152" s="13"/>
      <c r="STO1152" s="13"/>
      <c r="STP1152" s="13"/>
      <c r="STQ1152" s="13"/>
      <c r="STR1152" s="13"/>
      <c r="STS1152" s="13"/>
      <c r="STT1152" s="13"/>
      <c r="STU1152" s="13"/>
      <c r="STV1152" s="13"/>
      <c r="STW1152" s="13"/>
      <c r="STX1152" s="13"/>
      <c r="STY1152" s="13"/>
      <c r="STZ1152" s="13"/>
      <c r="SUA1152" s="13"/>
      <c r="SUB1152" s="13"/>
      <c r="SUC1152" s="13"/>
      <c r="SUD1152" s="13"/>
      <c r="SUE1152" s="13"/>
      <c r="SUF1152" s="13"/>
      <c r="SUG1152" s="13"/>
      <c r="SUH1152" s="13"/>
      <c r="SUI1152" s="13"/>
      <c r="SUJ1152" s="13"/>
      <c r="SUK1152" s="13"/>
      <c r="SUL1152" s="13"/>
      <c r="SUM1152" s="13"/>
      <c r="SUN1152" s="13"/>
      <c r="SUO1152" s="13"/>
      <c r="SUP1152" s="13"/>
      <c r="SUQ1152" s="13"/>
      <c r="SUR1152" s="13"/>
      <c r="SUS1152" s="13"/>
      <c r="SUT1152" s="13"/>
      <c r="SUU1152" s="13"/>
      <c r="SUV1152" s="13"/>
      <c r="SUW1152" s="13"/>
      <c r="SUX1152" s="13"/>
      <c r="SUY1152" s="13"/>
      <c r="SUZ1152" s="13"/>
      <c r="SVA1152" s="13"/>
      <c r="SVB1152" s="13"/>
      <c r="SVC1152" s="13"/>
      <c r="SVD1152" s="13"/>
      <c r="SVE1152" s="13"/>
      <c r="SVF1152" s="13"/>
      <c r="SVG1152" s="13"/>
      <c r="SVH1152" s="13"/>
      <c r="SVI1152" s="13"/>
      <c r="SVJ1152" s="13"/>
      <c r="SVK1152" s="13"/>
      <c r="SVL1152" s="13"/>
      <c r="SVM1152" s="13"/>
      <c r="SVN1152" s="13"/>
      <c r="SVO1152" s="13"/>
      <c r="SVP1152" s="13"/>
      <c r="SVQ1152" s="13"/>
      <c r="SVR1152" s="13"/>
      <c r="SVS1152" s="13"/>
      <c r="SVT1152" s="13"/>
      <c r="SVU1152" s="13"/>
      <c r="SVV1152" s="13"/>
      <c r="SVW1152" s="13"/>
      <c r="SVX1152" s="13"/>
      <c r="SVY1152" s="13"/>
      <c r="SVZ1152" s="13"/>
      <c r="SWA1152" s="13"/>
      <c r="SWB1152" s="13"/>
      <c r="SWC1152" s="13"/>
      <c r="SWD1152" s="13"/>
      <c r="SWE1152" s="13"/>
      <c r="SWF1152" s="13"/>
      <c r="SWG1152" s="13"/>
      <c r="SWH1152" s="13"/>
      <c r="SWI1152" s="13"/>
      <c r="SWJ1152" s="13"/>
      <c r="SWK1152" s="13"/>
      <c r="SWL1152" s="13"/>
      <c r="SWM1152" s="13"/>
      <c r="SWN1152" s="13"/>
      <c r="SWO1152" s="13"/>
      <c r="SWP1152" s="13"/>
      <c r="SWQ1152" s="13"/>
      <c r="SWR1152" s="13"/>
      <c r="SWS1152" s="13"/>
      <c r="SWT1152" s="13"/>
      <c r="SWU1152" s="13"/>
      <c r="SWV1152" s="13"/>
      <c r="SWW1152" s="13"/>
      <c r="SWX1152" s="13"/>
      <c r="SWY1152" s="13"/>
      <c r="SWZ1152" s="13"/>
      <c r="SXA1152" s="13"/>
      <c r="SXB1152" s="13"/>
      <c r="SXC1152" s="13"/>
      <c r="SXD1152" s="13"/>
      <c r="SXE1152" s="13"/>
      <c r="SXF1152" s="13"/>
      <c r="SXG1152" s="13"/>
      <c r="SXH1152" s="13"/>
      <c r="SXI1152" s="13"/>
      <c r="SXJ1152" s="13"/>
      <c r="SXK1152" s="13"/>
      <c r="SXL1152" s="13"/>
      <c r="SXM1152" s="13"/>
      <c r="SXN1152" s="13"/>
      <c r="SXO1152" s="13"/>
      <c r="SXP1152" s="13"/>
      <c r="SXQ1152" s="13"/>
      <c r="SXR1152" s="13"/>
      <c r="SXS1152" s="13"/>
      <c r="SXT1152" s="13"/>
      <c r="SXU1152" s="13"/>
      <c r="SXV1152" s="13"/>
      <c r="SXW1152" s="13"/>
      <c r="SXX1152" s="13"/>
      <c r="SXY1152" s="13"/>
      <c r="SXZ1152" s="13"/>
      <c r="SYA1152" s="13"/>
      <c r="SYB1152" s="13"/>
      <c r="SYC1152" s="13"/>
      <c r="SYD1152" s="13"/>
      <c r="SYE1152" s="13"/>
      <c r="SYF1152" s="13"/>
      <c r="SYG1152" s="13"/>
      <c r="SYH1152" s="13"/>
      <c r="SYI1152" s="13"/>
      <c r="SYJ1152" s="13"/>
      <c r="SYK1152" s="13"/>
      <c r="SYL1152" s="13"/>
      <c r="SYM1152" s="13"/>
      <c r="SYN1152" s="13"/>
      <c r="SYO1152" s="13"/>
      <c r="SYP1152" s="13"/>
      <c r="SYQ1152" s="13"/>
      <c r="SYR1152" s="13"/>
      <c r="SYS1152" s="13"/>
      <c r="SYT1152" s="13"/>
      <c r="SYU1152" s="13"/>
      <c r="SYV1152" s="13"/>
      <c r="SYW1152" s="13"/>
      <c r="SYX1152" s="13"/>
      <c r="SYY1152" s="13"/>
      <c r="SYZ1152" s="13"/>
      <c r="SZA1152" s="13"/>
      <c r="SZB1152" s="13"/>
      <c r="SZC1152" s="13"/>
      <c r="SZD1152" s="13"/>
      <c r="SZE1152" s="13"/>
      <c r="SZF1152" s="13"/>
      <c r="SZG1152" s="13"/>
      <c r="SZH1152" s="13"/>
      <c r="SZI1152" s="13"/>
      <c r="SZJ1152" s="13"/>
      <c r="SZK1152" s="13"/>
      <c r="SZL1152" s="13"/>
      <c r="SZM1152" s="13"/>
      <c r="SZN1152" s="13"/>
      <c r="SZO1152" s="13"/>
      <c r="SZP1152" s="13"/>
      <c r="SZQ1152" s="13"/>
      <c r="SZR1152" s="13"/>
      <c r="SZS1152" s="13"/>
      <c r="SZT1152" s="13"/>
      <c r="SZU1152" s="13"/>
      <c r="SZV1152" s="13"/>
      <c r="SZW1152" s="13"/>
      <c r="SZX1152" s="13"/>
      <c r="SZY1152" s="13"/>
      <c r="SZZ1152" s="13"/>
      <c r="TAA1152" s="13"/>
      <c r="TAB1152" s="13"/>
      <c r="TAC1152" s="13"/>
      <c r="TAD1152" s="13"/>
      <c r="TAE1152" s="13"/>
      <c r="TAF1152" s="13"/>
      <c r="TAG1152" s="13"/>
      <c r="TAH1152" s="13"/>
      <c r="TAI1152" s="13"/>
      <c r="TAJ1152" s="13"/>
      <c r="TAK1152" s="13"/>
      <c r="TAL1152" s="13"/>
      <c r="TAM1152" s="13"/>
      <c r="TAN1152" s="13"/>
      <c r="TAO1152" s="13"/>
      <c r="TAP1152" s="13"/>
      <c r="TAQ1152" s="13"/>
      <c r="TAR1152" s="13"/>
      <c r="TAS1152" s="13"/>
      <c r="TAT1152" s="13"/>
      <c r="TAU1152" s="13"/>
      <c r="TAV1152" s="13"/>
      <c r="TAW1152" s="13"/>
      <c r="TAX1152" s="13"/>
      <c r="TAY1152" s="13"/>
      <c r="TAZ1152" s="13"/>
      <c r="TBA1152" s="13"/>
      <c r="TBB1152" s="13"/>
      <c r="TBC1152" s="13"/>
      <c r="TBD1152" s="13"/>
      <c r="TBE1152" s="13"/>
      <c r="TBF1152" s="13"/>
      <c r="TBG1152" s="13"/>
      <c r="TBH1152" s="13"/>
      <c r="TBI1152" s="13"/>
      <c r="TBJ1152" s="13"/>
      <c r="TBK1152" s="13"/>
      <c r="TBL1152" s="13"/>
      <c r="TBM1152" s="13"/>
      <c r="TBN1152" s="13"/>
      <c r="TBO1152" s="13"/>
      <c r="TBP1152" s="13"/>
      <c r="TBQ1152" s="13"/>
      <c r="TBR1152" s="13"/>
      <c r="TBS1152" s="13"/>
      <c r="TBT1152" s="13"/>
      <c r="TBU1152" s="13"/>
      <c r="TBV1152" s="13"/>
      <c r="TBW1152" s="13"/>
      <c r="TBX1152" s="13"/>
      <c r="TBY1152" s="13"/>
      <c r="TBZ1152" s="13"/>
      <c r="TCA1152" s="13"/>
      <c r="TCB1152" s="13"/>
      <c r="TCC1152" s="13"/>
      <c r="TCD1152" s="13"/>
      <c r="TCE1152" s="13"/>
      <c r="TCF1152" s="13"/>
      <c r="TCG1152" s="13"/>
      <c r="TCH1152" s="13"/>
      <c r="TCI1152" s="13"/>
      <c r="TCJ1152" s="13"/>
      <c r="TCK1152" s="13"/>
      <c r="TCL1152" s="13"/>
      <c r="TCM1152" s="13"/>
      <c r="TCN1152" s="13"/>
      <c r="TCO1152" s="13"/>
      <c r="TCP1152" s="13"/>
      <c r="TCQ1152" s="13"/>
      <c r="TCR1152" s="13"/>
      <c r="TCS1152" s="13"/>
      <c r="TCT1152" s="13"/>
      <c r="TCU1152" s="13"/>
      <c r="TCV1152" s="13"/>
      <c r="TCW1152" s="13"/>
      <c r="TCX1152" s="13"/>
      <c r="TCY1152" s="13"/>
      <c r="TCZ1152" s="13"/>
      <c r="TDA1152" s="13"/>
      <c r="TDB1152" s="13"/>
      <c r="TDC1152" s="13"/>
      <c r="TDD1152" s="13"/>
      <c r="TDE1152" s="13"/>
      <c r="TDF1152" s="13"/>
      <c r="TDG1152" s="13"/>
      <c r="TDH1152" s="13"/>
      <c r="TDI1152" s="13"/>
      <c r="TDJ1152" s="13"/>
      <c r="TDK1152" s="13"/>
      <c r="TDL1152" s="13"/>
      <c r="TDM1152" s="13"/>
      <c r="TDN1152" s="13"/>
      <c r="TDO1152" s="13"/>
      <c r="TDP1152" s="13"/>
      <c r="TDQ1152" s="13"/>
      <c r="TDR1152" s="13"/>
      <c r="TDS1152" s="13"/>
      <c r="TDT1152" s="13"/>
      <c r="TDU1152" s="13"/>
      <c r="TDV1152" s="13"/>
      <c r="TDW1152" s="13"/>
      <c r="TDX1152" s="13"/>
      <c r="TDY1152" s="13"/>
      <c r="TDZ1152" s="13"/>
      <c r="TEA1152" s="13"/>
      <c r="TEB1152" s="13"/>
      <c r="TEC1152" s="13"/>
      <c r="TED1152" s="13"/>
      <c r="TEE1152" s="13"/>
      <c r="TEF1152" s="13"/>
      <c r="TEG1152" s="13"/>
      <c r="TEH1152" s="13"/>
      <c r="TEI1152" s="13"/>
      <c r="TEJ1152" s="13"/>
      <c r="TEK1152" s="13"/>
      <c r="TEL1152" s="13"/>
      <c r="TEM1152" s="13"/>
      <c r="TEN1152" s="13"/>
      <c r="TEO1152" s="13"/>
      <c r="TEP1152" s="13"/>
      <c r="TEQ1152" s="13"/>
      <c r="TER1152" s="13"/>
      <c r="TES1152" s="13"/>
      <c r="TET1152" s="13"/>
      <c r="TEU1152" s="13"/>
      <c r="TEV1152" s="13"/>
      <c r="TEW1152" s="13"/>
      <c r="TEX1152" s="13"/>
      <c r="TEY1152" s="13"/>
      <c r="TEZ1152" s="13"/>
      <c r="TFA1152" s="13"/>
      <c r="TFB1152" s="13"/>
      <c r="TFC1152" s="13"/>
      <c r="TFD1152" s="13"/>
      <c r="TFE1152" s="13"/>
      <c r="TFF1152" s="13"/>
      <c r="TFG1152" s="13"/>
      <c r="TFH1152" s="13"/>
      <c r="TFI1152" s="13"/>
      <c r="TFJ1152" s="13"/>
      <c r="TFK1152" s="13"/>
      <c r="TFL1152" s="13"/>
      <c r="TFM1152" s="13"/>
      <c r="TFN1152" s="13"/>
      <c r="TFO1152" s="13"/>
      <c r="TFP1152" s="13"/>
      <c r="TFQ1152" s="13"/>
      <c r="TFR1152" s="13"/>
      <c r="TFS1152" s="13"/>
      <c r="TFT1152" s="13"/>
      <c r="TFU1152" s="13"/>
      <c r="TFV1152" s="13"/>
      <c r="TFW1152" s="13"/>
      <c r="TFX1152" s="13"/>
      <c r="TFY1152" s="13"/>
      <c r="TFZ1152" s="13"/>
      <c r="TGA1152" s="13"/>
      <c r="TGB1152" s="13"/>
      <c r="TGC1152" s="13"/>
      <c r="TGD1152" s="13"/>
      <c r="TGE1152" s="13"/>
      <c r="TGF1152" s="13"/>
      <c r="TGG1152" s="13"/>
      <c r="TGH1152" s="13"/>
      <c r="TGI1152" s="13"/>
      <c r="TGJ1152" s="13"/>
      <c r="TGK1152" s="13"/>
      <c r="TGL1152" s="13"/>
      <c r="TGM1152" s="13"/>
      <c r="TGN1152" s="13"/>
      <c r="TGO1152" s="13"/>
      <c r="TGP1152" s="13"/>
      <c r="TGQ1152" s="13"/>
      <c r="TGR1152" s="13"/>
      <c r="TGS1152" s="13"/>
      <c r="TGT1152" s="13"/>
      <c r="TGU1152" s="13"/>
      <c r="TGV1152" s="13"/>
      <c r="TGW1152" s="13"/>
      <c r="TGX1152" s="13"/>
      <c r="TGY1152" s="13"/>
      <c r="TGZ1152" s="13"/>
      <c r="THA1152" s="13"/>
      <c r="THB1152" s="13"/>
      <c r="THC1152" s="13"/>
      <c r="THD1152" s="13"/>
      <c r="THE1152" s="13"/>
      <c r="THF1152" s="13"/>
      <c r="THG1152" s="13"/>
      <c r="THH1152" s="13"/>
      <c r="THI1152" s="13"/>
      <c r="THJ1152" s="13"/>
      <c r="THK1152" s="13"/>
      <c r="THL1152" s="13"/>
      <c r="THM1152" s="13"/>
      <c r="THN1152" s="13"/>
      <c r="THO1152" s="13"/>
      <c r="THP1152" s="13"/>
      <c r="THQ1152" s="13"/>
      <c r="THR1152" s="13"/>
      <c r="THS1152" s="13"/>
      <c r="THT1152" s="13"/>
      <c r="THU1152" s="13"/>
      <c r="THV1152" s="13"/>
      <c r="THW1152" s="13"/>
      <c r="THX1152" s="13"/>
      <c r="THY1152" s="13"/>
      <c r="THZ1152" s="13"/>
      <c r="TIA1152" s="13"/>
      <c r="TIB1152" s="13"/>
      <c r="TIC1152" s="13"/>
      <c r="TID1152" s="13"/>
      <c r="TIE1152" s="13"/>
      <c r="TIF1152" s="13"/>
      <c r="TIG1152" s="13"/>
      <c r="TIH1152" s="13"/>
      <c r="TII1152" s="13"/>
      <c r="TIJ1152" s="13"/>
      <c r="TIK1152" s="13"/>
      <c r="TIL1152" s="13"/>
      <c r="TIM1152" s="13"/>
      <c r="TIN1152" s="13"/>
      <c r="TIO1152" s="13"/>
      <c r="TIP1152" s="13"/>
      <c r="TIQ1152" s="13"/>
      <c r="TIR1152" s="13"/>
      <c r="TIS1152" s="13"/>
      <c r="TIT1152" s="13"/>
      <c r="TIU1152" s="13"/>
      <c r="TIV1152" s="13"/>
      <c r="TIW1152" s="13"/>
      <c r="TIX1152" s="13"/>
      <c r="TIY1152" s="13"/>
      <c r="TIZ1152" s="13"/>
      <c r="TJA1152" s="13"/>
      <c r="TJB1152" s="13"/>
      <c r="TJC1152" s="13"/>
      <c r="TJD1152" s="13"/>
      <c r="TJE1152" s="13"/>
      <c r="TJF1152" s="13"/>
      <c r="TJG1152" s="13"/>
      <c r="TJH1152" s="13"/>
      <c r="TJI1152" s="13"/>
      <c r="TJJ1152" s="13"/>
      <c r="TJK1152" s="13"/>
      <c r="TJL1152" s="13"/>
      <c r="TJM1152" s="13"/>
      <c r="TJN1152" s="13"/>
      <c r="TJO1152" s="13"/>
      <c r="TJP1152" s="13"/>
      <c r="TJQ1152" s="13"/>
      <c r="TJR1152" s="13"/>
      <c r="TJS1152" s="13"/>
      <c r="TJT1152" s="13"/>
      <c r="TJU1152" s="13"/>
      <c r="TJV1152" s="13"/>
      <c r="TJW1152" s="13"/>
      <c r="TJX1152" s="13"/>
      <c r="TJY1152" s="13"/>
      <c r="TJZ1152" s="13"/>
      <c r="TKA1152" s="13"/>
      <c r="TKB1152" s="13"/>
      <c r="TKC1152" s="13"/>
      <c r="TKD1152" s="13"/>
      <c r="TKE1152" s="13"/>
      <c r="TKF1152" s="13"/>
      <c r="TKG1152" s="13"/>
      <c r="TKH1152" s="13"/>
      <c r="TKI1152" s="13"/>
      <c r="TKJ1152" s="13"/>
      <c r="TKK1152" s="13"/>
      <c r="TKL1152" s="13"/>
      <c r="TKM1152" s="13"/>
      <c r="TKN1152" s="13"/>
      <c r="TKO1152" s="13"/>
      <c r="TKP1152" s="13"/>
      <c r="TKQ1152" s="13"/>
      <c r="TKR1152" s="13"/>
      <c r="TKS1152" s="13"/>
      <c r="TKT1152" s="13"/>
      <c r="TKU1152" s="13"/>
      <c r="TKV1152" s="13"/>
      <c r="TKW1152" s="13"/>
      <c r="TKX1152" s="13"/>
      <c r="TKY1152" s="13"/>
      <c r="TKZ1152" s="13"/>
      <c r="TLA1152" s="13"/>
      <c r="TLB1152" s="13"/>
      <c r="TLC1152" s="13"/>
      <c r="TLD1152" s="13"/>
      <c r="TLE1152" s="13"/>
      <c r="TLF1152" s="13"/>
      <c r="TLG1152" s="13"/>
      <c r="TLH1152" s="13"/>
      <c r="TLI1152" s="13"/>
      <c r="TLJ1152" s="13"/>
      <c r="TLK1152" s="13"/>
      <c r="TLL1152" s="13"/>
      <c r="TLM1152" s="13"/>
      <c r="TLN1152" s="13"/>
      <c r="TLO1152" s="13"/>
      <c r="TLP1152" s="13"/>
      <c r="TLQ1152" s="13"/>
      <c r="TLR1152" s="13"/>
      <c r="TLS1152" s="13"/>
      <c r="TLT1152" s="13"/>
      <c r="TLU1152" s="13"/>
      <c r="TLV1152" s="13"/>
      <c r="TLW1152" s="13"/>
      <c r="TLX1152" s="13"/>
      <c r="TLY1152" s="13"/>
      <c r="TLZ1152" s="13"/>
      <c r="TMA1152" s="13"/>
      <c r="TMB1152" s="13"/>
      <c r="TMC1152" s="13"/>
      <c r="TMD1152" s="13"/>
      <c r="TME1152" s="13"/>
      <c r="TMF1152" s="13"/>
      <c r="TMG1152" s="13"/>
      <c r="TMH1152" s="13"/>
      <c r="TMI1152" s="13"/>
      <c r="TMJ1152" s="13"/>
      <c r="TMK1152" s="13"/>
      <c r="TML1152" s="13"/>
      <c r="TMM1152" s="13"/>
      <c r="TMN1152" s="13"/>
      <c r="TMO1152" s="13"/>
      <c r="TMP1152" s="13"/>
      <c r="TMQ1152" s="13"/>
      <c r="TMR1152" s="13"/>
      <c r="TMS1152" s="13"/>
      <c r="TMT1152" s="13"/>
      <c r="TMU1152" s="13"/>
      <c r="TMV1152" s="13"/>
      <c r="TMW1152" s="13"/>
      <c r="TMX1152" s="13"/>
      <c r="TMY1152" s="13"/>
      <c r="TMZ1152" s="13"/>
      <c r="TNA1152" s="13"/>
      <c r="TNB1152" s="13"/>
      <c r="TNC1152" s="13"/>
      <c r="TND1152" s="13"/>
      <c r="TNE1152" s="13"/>
      <c r="TNF1152" s="13"/>
      <c r="TNG1152" s="13"/>
      <c r="TNH1152" s="13"/>
      <c r="TNI1152" s="13"/>
      <c r="TNJ1152" s="13"/>
      <c r="TNK1152" s="13"/>
      <c r="TNL1152" s="13"/>
      <c r="TNM1152" s="13"/>
      <c r="TNN1152" s="13"/>
      <c r="TNO1152" s="13"/>
      <c r="TNP1152" s="13"/>
      <c r="TNQ1152" s="13"/>
      <c r="TNR1152" s="13"/>
      <c r="TNS1152" s="13"/>
      <c r="TNT1152" s="13"/>
      <c r="TNU1152" s="13"/>
      <c r="TNV1152" s="13"/>
      <c r="TNW1152" s="13"/>
      <c r="TNX1152" s="13"/>
      <c r="TNY1152" s="13"/>
      <c r="TNZ1152" s="13"/>
      <c r="TOA1152" s="13"/>
      <c r="TOB1152" s="13"/>
      <c r="TOC1152" s="13"/>
      <c r="TOD1152" s="13"/>
      <c r="TOE1152" s="13"/>
      <c r="TOF1152" s="13"/>
      <c r="TOG1152" s="13"/>
      <c r="TOH1152" s="13"/>
      <c r="TOI1152" s="13"/>
      <c r="TOJ1152" s="13"/>
      <c r="TOK1152" s="13"/>
      <c r="TOL1152" s="13"/>
      <c r="TOM1152" s="13"/>
      <c r="TON1152" s="13"/>
      <c r="TOO1152" s="13"/>
      <c r="TOP1152" s="13"/>
      <c r="TOQ1152" s="13"/>
      <c r="TOR1152" s="13"/>
      <c r="TOS1152" s="13"/>
      <c r="TOT1152" s="13"/>
      <c r="TOU1152" s="13"/>
      <c r="TOV1152" s="13"/>
      <c r="TOW1152" s="13"/>
      <c r="TOX1152" s="13"/>
      <c r="TOY1152" s="13"/>
      <c r="TOZ1152" s="13"/>
      <c r="TPA1152" s="13"/>
      <c r="TPB1152" s="13"/>
      <c r="TPC1152" s="13"/>
      <c r="TPD1152" s="13"/>
      <c r="TPE1152" s="13"/>
      <c r="TPF1152" s="13"/>
      <c r="TPG1152" s="13"/>
      <c r="TPH1152" s="13"/>
      <c r="TPI1152" s="13"/>
      <c r="TPJ1152" s="13"/>
      <c r="TPK1152" s="13"/>
      <c r="TPL1152" s="13"/>
      <c r="TPM1152" s="13"/>
      <c r="TPN1152" s="13"/>
      <c r="TPO1152" s="13"/>
      <c r="TPP1152" s="13"/>
      <c r="TPQ1152" s="13"/>
      <c r="TPR1152" s="13"/>
      <c r="TPS1152" s="13"/>
      <c r="TPT1152" s="13"/>
      <c r="TPU1152" s="13"/>
      <c r="TPV1152" s="13"/>
      <c r="TPW1152" s="13"/>
      <c r="TPX1152" s="13"/>
      <c r="TPY1152" s="13"/>
      <c r="TPZ1152" s="13"/>
      <c r="TQA1152" s="13"/>
      <c r="TQB1152" s="13"/>
      <c r="TQC1152" s="13"/>
      <c r="TQD1152" s="13"/>
      <c r="TQE1152" s="13"/>
      <c r="TQF1152" s="13"/>
      <c r="TQG1152" s="13"/>
      <c r="TQH1152" s="13"/>
      <c r="TQI1152" s="13"/>
      <c r="TQJ1152" s="13"/>
      <c r="TQK1152" s="13"/>
      <c r="TQL1152" s="13"/>
      <c r="TQM1152" s="13"/>
      <c r="TQN1152" s="13"/>
      <c r="TQO1152" s="13"/>
      <c r="TQP1152" s="13"/>
      <c r="TQQ1152" s="13"/>
      <c r="TQR1152" s="13"/>
      <c r="TQS1152" s="13"/>
      <c r="TQT1152" s="13"/>
      <c r="TQU1152" s="13"/>
      <c r="TQV1152" s="13"/>
      <c r="TQW1152" s="13"/>
      <c r="TQX1152" s="13"/>
      <c r="TQY1152" s="13"/>
      <c r="TQZ1152" s="13"/>
      <c r="TRA1152" s="13"/>
      <c r="TRB1152" s="13"/>
      <c r="TRC1152" s="13"/>
      <c r="TRD1152" s="13"/>
      <c r="TRE1152" s="13"/>
      <c r="TRF1152" s="13"/>
      <c r="TRG1152" s="13"/>
      <c r="TRH1152" s="13"/>
      <c r="TRI1152" s="13"/>
      <c r="TRJ1152" s="13"/>
      <c r="TRK1152" s="13"/>
      <c r="TRL1152" s="13"/>
      <c r="TRM1152" s="13"/>
      <c r="TRN1152" s="13"/>
      <c r="TRO1152" s="13"/>
      <c r="TRP1152" s="13"/>
      <c r="TRQ1152" s="13"/>
      <c r="TRR1152" s="13"/>
      <c r="TRS1152" s="13"/>
      <c r="TRT1152" s="13"/>
      <c r="TRU1152" s="13"/>
      <c r="TRV1152" s="13"/>
      <c r="TRW1152" s="13"/>
      <c r="TRX1152" s="13"/>
      <c r="TRY1152" s="13"/>
      <c r="TRZ1152" s="13"/>
      <c r="TSA1152" s="13"/>
      <c r="TSB1152" s="13"/>
      <c r="TSC1152" s="13"/>
      <c r="TSD1152" s="13"/>
      <c r="TSE1152" s="13"/>
      <c r="TSF1152" s="13"/>
      <c r="TSG1152" s="13"/>
      <c r="TSH1152" s="13"/>
      <c r="TSI1152" s="13"/>
      <c r="TSJ1152" s="13"/>
      <c r="TSK1152" s="13"/>
      <c r="TSL1152" s="13"/>
      <c r="TSM1152" s="13"/>
      <c r="TSN1152" s="13"/>
      <c r="TSO1152" s="13"/>
      <c r="TSP1152" s="13"/>
      <c r="TSQ1152" s="13"/>
      <c r="TSR1152" s="13"/>
      <c r="TSS1152" s="13"/>
      <c r="TST1152" s="13"/>
      <c r="TSU1152" s="13"/>
      <c r="TSV1152" s="13"/>
      <c r="TSW1152" s="13"/>
      <c r="TSX1152" s="13"/>
      <c r="TSY1152" s="13"/>
      <c r="TSZ1152" s="13"/>
      <c r="TTA1152" s="13"/>
      <c r="TTB1152" s="13"/>
      <c r="TTC1152" s="13"/>
      <c r="TTD1152" s="13"/>
      <c r="TTE1152" s="13"/>
      <c r="TTF1152" s="13"/>
      <c r="TTG1152" s="13"/>
      <c r="TTH1152" s="13"/>
      <c r="TTI1152" s="13"/>
      <c r="TTJ1152" s="13"/>
      <c r="TTK1152" s="13"/>
      <c r="TTL1152" s="13"/>
      <c r="TTM1152" s="13"/>
      <c r="TTN1152" s="13"/>
      <c r="TTO1152" s="13"/>
      <c r="TTP1152" s="13"/>
      <c r="TTQ1152" s="13"/>
      <c r="TTR1152" s="13"/>
      <c r="TTS1152" s="13"/>
      <c r="TTT1152" s="13"/>
      <c r="TTU1152" s="13"/>
      <c r="TTV1152" s="13"/>
      <c r="TTW1152" s="13"/>
      <c r="TTX1152" s="13"/>
      <c r="TTY1152" s="13"/>
      <c r="TTZ1152" s="13"/>
      <c r="TUA1152" s="13"/>
      <c r="TUB1152" s="13"/>
      <c r="TUC1152" s="13"/>
      <c r="TUD1152" s="13"/>
      <c r="TUE1152" s="13"/>
      <c r="TUF1152" s="13"/>
      <c r="TUG1152" s="13"/>
      <c r="TUH1152" s="13"/>
      <c r="TUI1152" s="13"/>
      <c r="TUJ1152" s="13"/>
      <c r="TUK1152" s="13"/>
      <c r="TUL1152" s="13"/>
      <c r="TUM1152" s="13"/>
      <c r="TUN1152" s="13"/>
      <c r="TUO1152" s="13"/>
      <c r="TUP1152" s="13"/>
      <c r="TUQ1152" s="13"/>
      <c r="TUR1152" s="13"/>
      <c r="TUS1152" s="13"/>
      <c r="TUT1152" s="13"/>
      <c r="TUU1152" s="13"/>
      <c r="TUV1152" s="13"/>
      <c r="TUW1152" s="13"/>
      <c r="TUX1152" s="13"/>
      <c r="TUY1152" s="13"/>
      <c r="TUZ1152" s="13"/>
      <c r="TVA1152" s="13"/>
      <c r="TVB1152" s="13"/>
      <c r="TVC1152" s="13"/>
      <c r="TVD1152" s="13"/>
      <c r="TVE1152" s="13"/>
      <c r="TVF1152" s="13"/>
      <c r="TVG1152" s="13"/>
      <c r="TVH1152" s="13"/>
      <c r="TVI1152" s="13"/>
      <c r="TVJ1152" s="13"/>
      <c r="TVK1152" s="13"/>
      <c r="TVL1152" s="13"/>
      <c r="TVM1152" s="13"/>
      <c r="TVN1152" s="13"/>
      <c r="TVO1152" s="13"/>
      <c r="TVP1152" s="13"/>
      <c r="TVQ1152" s="13"/>
      <c r="TVR1152" s="13"/>
      <c r="TVS1152" s="13"/>
      <c r="TVT1152" s="13"/>
      <c r="TVU1152" s="13"/>
      <c r="TVV1152" s="13"/>
      <c r="TVW1152" s="13"/>
      <c r="TVX1152" s="13"/>
      <c r="TVY1152" s="13"/>
      <c r="TVZ1152" s="13"/>
      <c r="TWA1152" s="13"/>
      <c r="TWB1152" s="13"/>
      <c r="TWC1152" s="13"/>
      <c r="TWD1152" s="13"/>
      <c r="TWE1152" s="13"/>
      <c r="TWF1152" s="13"/>
      <c r="TWG1152" s="13"/>
      <c r="TWH1152" s="13"/>
      <c r="TWI1152" s="13"/>
      <c r="TWJ1152" s="13"/>
      <c r="TWK1152" s="13"/>
      <c r="TWL1152" s="13"/>
      <c r="TWM1152" s="13"/>
      <c r="TWN1152" s="13"/>
      <c r="TWO1152" s="13"/>
      <c r="TWP1152" s="13"/>
      <c r="TWQ1152" s="13"/>
      <c r="TWR1152" s="13"/>
      <c r="TWS1152" s="13"/>
      <c r="TWT1152" s="13"/>
      <c r="TWU1152" s="13"/>
      <c r="TWV1152" s="13"/>
      <c r="TWW1152" s="13"/>
      <c r="TWX1152" s="13"/>
      <c r="TWY1152" s="13"/>
      <c r="TWZ1152" s="13"/>
      <c r="TXA1152" s="13"/>
      <c r="TXB1152" s="13"/>
      <c r="TXC1152" s="13"/>
      <c r="TXD1152" s="13"/>
      <c r="TXE1152" s="13"/>
      <c r="TXF1152" s="13"/>
      <c r="TXG1152" s="13"/>
      <c r="TXH1152" s="13"/>
      <c r="TXI1152" s="13"/>
      <c r="TXJ1152" s="13"/>
      <c r="TXK1152" s="13"/>
      <c r="TXL1152" s="13"/>
      <c r="TXM1152" s="13"/>
      <c r="TXN1152" s="13"/>
      <c r="TXO1152" s="13"/>
      <c r="TXP1152" s="13"/>
      <c r="TXQ1152" s="13"/>
      <c r="TXR1152" s="13"/>
      <c r="TXS1152" s="13"/>
      <c r="TXT1152" s="13"/>
      <c r="TXU1152" s="13"/>
      <c r="TXV1152" s="13"/>
      <c r="TXW1152" s="13"/>
      <c r="TXX1152" s="13"/>
      <c r="TXY1152" s="13"/>
      <c r="TXZ1152" s="13"/>
      <c r="TYA1152" s="13"/>
      <c r="TYB1152" s="13"/>
      <c r="TYC1152" s="13"/>
      <c r="TYD1152" s="13"/>
      <c r="TYE1152" s="13"/>
      <c r="TYF1152" s="13"/>
      <c r="TYG1152" s="13"/>
      <c r="TYH1152" s="13"/>
      <c r="TYI1152" s="13"/>
      <c r="TYJ1152" s="13"/>
      <c r="TYK1152" s="13"/>
      <c r="TYL1152" s="13"/>
      <c r="TYM1152" s="13"/>
      <c r="TYN1152" s="13"/>
      <c r="TYO1152" s="13"/>
      <c r="TYP1152" s="13"/>
      <c r="TYQ1152" s="13"/>
      <c r="TYR1152" s="13"/>
      <c r="TYS1152" s="13"/>
      <c r="TYT1152" s="13"/>
      <c r="TYU1152" s="13"/>
      <c r="TYV1152" s="13"/>
      <c r="TYW1152" s="13"/>
      <c r="TYX1152" s="13"/>
      <c r="TYY1152" s="13"/>
      <c r="TYZ1152" s="13"/>
      <c r="TZA1152" s="13"/>
      <c r="TZB1152" s="13"/>
      <c r="TZC1152" s="13"/>
      <c r="TZD1152" s="13"/>
      <c r="TZE1152" s="13"/>
      <c r="TZF1152" s="13"/>
      <c r="TZG1152" s="13"/>
      <c r="TZH1152" s="13"/>
      <c r="TZI1152" s="13"/>
      <c r="TZJ1152" s="13"/>
      <c r="TZK1152" s="13"/>
      <c r="TZL1152" s="13"/>
      <c r="TZM1152" s="13"/>
      <c r="TZN1152" s="13"/>
      <c r="TZO1152" s="13"/>
      <c r="TZP1152" s="13"/>
      <c r="TZQ1152" s="13"/>
      <c r="TZR1152" s="13"/>
      <c r="TZS1152" s="13"/>
      <c r="TZT1152" s="13"/>
      <c r="TZU1152" s="13"/>
      <c r="TZV1152" s="13"/>
      <c r="TZW1152" s="13"/>
      <c r="TZX1152" s="13"/>
      <c r="TZY1152" s="13"/>
      <c r="TZZ1152" s="13"/>
      <c r="UAA1152" s="13"/>
      <c r="UAB1152" s="13"/>
      <c r="UAC1152" s="13"/>
      <c r="UAD1152" s="13"/>
      <c r="UAE1152" s="13"/>
      <c r="UAF1152" s="13"/>
      <c r="UAG1152" s="13"/>
      <c r="UAH1152" s="13"/>
      <c r="UAI1152" s="13"/>
      <c r="UAJ1152" s="13"/>
      <c r="UAK1152" s="13"/>
      <c r="UAL1152" s="13"/>
      <c r="UAM1152" s="13"/>
      <c r="UAN1152" s="13"/>
      <c r="UAO1152" s="13"/>
      <c r="UAP1152" s="13"/>
      <c r="UAQ1152" s="13"/>
      <c r="UAR1152" s="13"/>
      <c r="UAS1152" s="13"/>
      <c r="UAT1152" s="13"/>
      <c r="UAU1152" s="13"/>
      <c r="UAV1152" s="13"/>
      <c r="UAW1152" s="13"/>
      <c r="UAX1152" s="13"/>
      <c r="UAY1152" s="13"/>
      <c r="UAZ1152" s="13"/>
      <c r="UBA1152" s="13"/>
      <c r="UBB1152" s="13"/>
      <c r="UBC1152" s="13"/>
      <c r="UBD1152" s="13"/>
      <c r="UBE1152" s="13"/>
      <c r="UBF1152" s="13"/>
      <c r="UBG1152" s="13"/>
      <c r="UBH1152" s="13"/>
      <c r="UBI1152" s="13"/>
      <c r="UBJ1152" s="13"/>
      <c r="UBK1152" s="13"/>
      <c r="UBL1152" s="13"/>
      <c r="UBM1152" s="13"/>
      <c r="UBN1152" s="13"/>
      <c r="UBO1152" s="13"/>
      <c r="UBP1152" s="13"/>
      <c r="UBQ1152" s="13"/>
      <c r="UBR1152" s="13"/>
      <c r="UBS1152" s="13"/>
      <c r="UBT1152" s="13"/>
      <c r="UBU1152" s="13"/>
      <c r="UBV1152" s="13"/>
      <c r="UBW1152" s="13"/>
      <c r="UBX1152" s="13"/>
      <c r="UBY1152" s="13"/>
      <c r="UBZ1152" s="13"/>
      <c r="UCA1152" s="13"/>
      <c r="UCB1152" s="13"/>
      <c r="UCC1152" s="13"/>
      <c r="UCD1152" s="13"/>
      <c r="UCE1152" s="13"/>
      <c r="UCF1152" s="13"/>
      <c r="UCG1152" s="13"/>
      <c r="UCH1152" s="13"/>
      <c r="UCI1152" s="13"/>
      <c r="UCJ1152" s="13"/>
      <c r="UCK1152" s="13"/>
      <c r="UCL1152" s="13"/>
      <c r="UCM1152" s="13"/>
      <c r="UCN1152" s="13"/>
      <c r="UCO1152" s="13"/>
      <c r="UCP1152" s="13"/>
      <c r="UCQ1152" s="13"/>
      <c r="UCR1152" s="13"/>
      <c r="UCS1152" s="13"/>
      <c r="UCT1152" s="13"/>
      <c r="UCU1152" s="13"/>
      <c r="UCV1152" s="13"/>
      <c r="UCW1152" s="13"/>
      <c r="UCX1152" s="13"/>
      <c r="UCY1152" s="13"/>
      <c r="UCZ1152" s="13"/>
      <c r="UDA1152" s="13"/>
      <c r="UDB1152" s="13"/>
      <c r="UDC1152" s="13"/>
      <c r="UDD1152" s="13"/>
      <c r="UDE1152" s="13"/>
      <c r="UDF1152" s="13"/>
      <c r="UDG1152" s="13"/>
      <c r="UDH1152" s="13"/>
      <c r="UDI1152" s="13"/>
      <c r="UDJ1152" s="13"/>
      <c r="UDK1152" s="13"/>
      <c r="UDL1152" s="13"/>
      <c r="UDM1152" s="13"/>
      <c r="UDN1152" s="13"/>
      <c r="UDO1152" s="13"/>
      <c r="UDP1152" s="13"/>
      <c r="UDQ1152" s="13"/>
      <c r="UDR1152" s="13"/>
      <c r="UDS1152" s="13"/>
      <c r="UDT1152" s="13"/>
      <c r="UDU1152" s="13"/>
      <c r="UDV1152" s="13"/>
      <c r="UDW1152" s="13"/>
      <c r="UDX1152" s="13"/>
      <c r="UDY1152" s="13"/>
      <c r="UDZ1152" s="13"/>
      <c r="UEA1152" s="13"/>
      <c r="UEB1152" s="13"/>
      <c r="UEC1152" s="13"/>
      <c r="UED1152" s="13"/>
      <c r="UEE1152" s="13"/>
      <c r="UEF1152" s="13"/>
      <c r="UEG1152" s="13"/>
      <c r="UEH1152" s="13"/>
      <c r="UEI1152" s="13"/>
      <c r="UEJ1152" s="13"/>
      <c r="UEK1152" s="13"/>
      <c r="UEL1152" s="13"/>
      <c r="UEM1152" s="13"/>
      <c r="UEN1152" s="13"/>
      <c r="UEO1152" s="13"/>
      <c r="UEP1152" s="13"/>
      <c r="UEQ1152" s="13"/>
      <c r="UER1152" s="13"/>
      <c r="UES1152" s="13"/>
      <c r="UET1152" s="13"/>
      <c r="UEU1152" s="13"/>
      <c r="UEV1152" s="13"/>
      <c r="UEW1152" s="13"/>
      <c r="UEX1152" s="13"/>
      <c r="UEY1152" s="13"/>
      <c r="UEZ1152" s="13"/>
      <c r="UFA1152" s="13"/>
      <c r="UFB1152" s="13"/>
      <c r="UFC1152" s="13"/>
      <c r="UFD1152" s="13"/>
      <c r="UFE1152" s="13"/>
      <c r="UFF1152" s="13"/>
      <c r="UFG1152" s="13"/>
      <c r="UFH1152" s="13"/>
      <c r="UFI1152" s="13"/>
      <c r="UFJ1152" s="13"/>
      <c r="UFK1152" s="13"/>
      <c r="UFL1152" s="13"/>
      <c r="UFM1152" s="13"/>
      <c r="UFN1152" s="13"/>
      <c r="UFO1152" s="13"/>
      <c r="UFP1152" s="13"/>
      <c r="UFQ1152" s="13"/>
      <c r="UFR1152" s="13"/>
      <c r="UFS1152" s="13"/>
      <c r="UFT1152" s="13"/>
      <c r="UFU1152" s="13"/>
      <c r="UFV1152" s="13"/>
      <c r="UFW1152" s="13"/>
      <c r="UFX1152" s="13"/>
      <c r="UFY1152" s="13"/>
      <c r="UFZ1152" s="13"/>
      <c r="UGA1152" s="13"/>
      <c r="UGB1152" s="13"/>
      <c r="UGC1152" s="13"/>
      <c r="UGD1152" s="13"/>
      <c r="UGE1152" s="13"/>
      <c r="UGF1152" s="13"/>
      <c r="UGG1152" s="13"/>
      <c r="UGH1152" s="13"/>
      <c r="UGI1152" s="13"/>
      <c r="UGJ1152" s="13"/>
      <c r="UGK1152" s="13"/>
      <c r="UGL1152" s="13"/>
      <c r="UGM1152" s="13"/>
      <c r="UGN1152" s="13"/>
      <c r="UGO1152" s="13"/>
      <c r="UGP1152" s="13"/>
      <c r="UGQ1152" s="13"/>
      <c r="UGR1152" s="13"/>
      <c r="UGS1152" s="13"/>
      <c r="UGT1152" s="13"/>
      <c r="UGU1152" s="13"/>
      <c r="UGV1152" s="13"/>
      <c r="UGW1152" s="13"/>
      <c r="UGX1152" s="13"/>
      <c r="UGY1152" s="13"/>
      <c r="UGZ1152" s="13"/>
      <c r="UHA1152" s="13"/>
      <c r="UHB1152" s="13"/>
      <c r="UHC1152" s="13"/>
      <c r="UHD1152" s="13"/>
      <c r="UHE1152" s="13"/>
      <c r="UHF1152" s="13"/>
      <c r="UHG1152" s="13"/>
      <c r="UHH1152" s="13"/>
      <c r="UHI1152" s="13"/>
      <c r="UHJ1152" s="13"/>
      <c r="UHK1152" s="13"/>
      <c r="UHL1152" s="13"/>
      <c r="UHM1152" s="13"/>
      <c r="UHN1152" s="13"/>
      <c r="UHO1152" s="13"/>
      <c r="UHP1152" s="13"/>
      <c r="UHQ1152" s="13"/>
      <c r="UHR1152" s="13"/>
      <c r="UHS1152" s="13"/>
      <c r="UHT1152" s="13"/>
      <c r="UHU1152" s="13"/>
      <c r="UHV1152" s="13"/>
      <c r="UHW1152" s="13"/>
      <c r="UHX1152" s="13"/>
      <c r="UHY1152" s="13"/>
      <c r="UHZ1152" s="13"/>
      <c r="UIA1152" s="13"/>
      <c r="UIB1152" s="13"/>
      <c r="UIC1152" s="13"/>
      <c r="UID1152" s="13"/>
      <c r="UIE1152" s="13"/>
      <c r="UIF1152" s="13"/>
      <c r="UIG1152" s="13"/>
      <c r="UIH1152" s="13"/>
      <c r="UII1152" s="13"/>
      <c r="UIJ1152" s="13"/>
      <c r="UIK1152" s="13"/>
      <c r="UIL1152" s="13"/>
      <c r="UIM1152" s="13"/>
      <c r="UIN1152" s="13"/>
      <c r="UIO1152" s="13"/>
      <c r="UIP1152" s="13"/>
      <c r="UIQ1152" s="13"/>
      <c r="UIR1152" s="13"/>
      <c r="UIS1152" s="13"/>
      <c r="UIT1152" s="13"/>
      <c r="UIU1152" s="13"/>
      <c r="UIV1152" s="13"/>
      <c r="UIW1152" s="13"/>
      <c r="UIX1152" s="13"/>
      <c r="UIY1152" s="13"/>
      <c r="UIZ1152" s="13"/>
      <c r="UJA1152" s="13"/>
      <c r="UJB1152" s="13"/>
      <c r="UJC1152" s="13"/>
      <c r="UJD1152" s="13"/>
      <c r="UJE1152" s="13"/>
      <c r="UJF1152" s="13"/>
      <c r="UJG1152" s="13"/>
      <c r="UJH1152" s="13"/>
      <c r="UJI1152" s="13"/>
      <c r="UJJ1152" s="13"/>
      <c r="UJK1152" s="13"/>
      <c r="UJL1152" s="13"/>
      <c r="UJM1152" s="13"/>
      <c r="UJN1152" s="13"/>
      <c r="UJO1152" s="13"/>
      <c r="UJP1152" s="13"/>
      <c r="UJQ1152" s="13"/>
      <c r="UJR1152" s="13"/>
      <c r="UJS1152" s="13"/>
      <c r="UJT1152" s="13"/>
      <c r="UJU1152" s="13"/>
      <c r="UJV1152" s="13"/>
      <c r="UJW1152" s="13"/>
      <c r="UJX1152" s="13"/>
      <c r="UJY1152" s="13"/>
      <c r="UJZ1152" s="13"/>
      <c r="UKA1152" s="13"/>
      <c r="UKB1152" s="13"/>
      <c r="UKC1152" s="13"/>
      <c r="UKD1152" s="13"/>
      <c r="UKE1152" s="13"/>
      <c r="UKF1152" s="13"/>
      <c r="UKG1152" s="13"/>
      <c r="UKH1152" s="13"/>
      <c r="UKI1152" s="13"/>
      <c r="UKJ1152" s="13"/>
      <c r="UKK1152" s="13"/>
      <c r="UKL1152" s="13"/>
      <c r="UKM1152" s="13"/>
      <c r="UKN1152" s="13"/>
      <c r="UKO1152" s="13"/>
      <c r="UKP1152" s="13"/>
      <c r="UKQ1152" s="13"/>
      <c r="UKR1152" s="13"/>
      <c r="UKS1152" s="13"/>
      <c r="UKT1152" s="13"/>
      <c r="UKU1152" s="13"/>
      <c r="UKV1152" s="13"/>
      <c r="UKW1152" s="13"/>
      <c r="UKX1152" s="13"/>
      <c r="UKY1152" s="13"/>
      <c r="UKZ1152" s="13"/>
      <c r="ULA1152" s="13"/>
      <c r="ULB1152" s="13"/>
      <c r="ULC1152" s="13"/>
      <c r="ULD1152" s="13"/>
      <c r="ULE1152" s="13"/>
      <c r="ULF1152" s="13"/>
      <c r="ULG1152" s="13"/>
      <c r="ULH1152" s="13"/>
      <c r="ULI1152" s="13"/>
      <c r="ULJ1152" s="13"/>
      <c r="ULK1152" s="13"/>
      <c r="ULL1152" s="13"/>
      <c r="ULM1152" s="13"/>
      <c r="ULN1152" s="13"/>
      <c r="ULO1152" s="13"/>
      <c r="ULP1152" s="13"/>
      <c r="ULQ1152" s="13"/>
      <c r="ULR1152" s="13"/>
      <c r="ULS1152" s="13"/>
      <c r="ULT1152" s="13"/>
      <c r="ULU1152" s="13"/>
      <c r="ULV1152" s="13"/>
      <c r="ULW1152" s="13"/>
      <c r="ULX1152" s="13"/>
      <c r="ULY1152" s="13"/>
      <c r="ULZ1152" s="13"/>
      <c r="UMA1152" s="13"/>
      <c r="UMB1152" s="13"/>
      <c r="UMC1152" s="13"/>
      <c r="UMD1152" s="13"/>
      <c r="UME1152" s="13"/>
      <c r="UMF1152" s="13"/>
      <c r="UMG1152" s="13"/>
      <c r="UMH1152" s="13"/>
      <c r="UMI1152" s="13"/>
      <c r="UMJ1152" s="13"/>
      <c r="UMK1152" s="13"/>
      <c r="UML1152" s="13"/>
      <c r="UMM1152" s="13"/>
      <c r="UMN1152" s="13"/>
      <c r="UMO1152" s="13"/>
      <c r="UMP1152" s="13"/>
      <c r="UMQ1152" s="13"/>
      <c r="UMR1152" s="13"/>
      <c r="UMS1152" s="13"/>
      <c r="UMT1152" s="13"/>
      <c r="UMU1152" s="13"/>
      <c r="UMV1152" s="13"/>
      <c r="UMW1152" s="13"/>
      <c r="UMX1152" s="13"/>
      <c r="UMY1152" s="13"/>
      <c r="UMZ1152" s="13"/>
      <c r="UNA1152" s="13"/>
      <c r="UNB1152" s="13"/>
      <c r="UNC1152" s="13"/>
      <c r="UND1152" s="13"/>
      <c r="UNE1152" s="13"/>
      <c r="UNF1152" s="13"/>
      <c r="UNG1152" s="13"/>
      <c r="UNH1152" s="13"/>
      <c r="UNI1152" s="13"/>
      <c r="UNJ1152" s="13"/>
      <c r="UNK1152" s="13"/>
      <c r="UNL1152" s="13"/>
      <c r="UNM1152" s="13"/>
      <c r="UNN1152" s="13"/>
      <c r="UNO1152" s="13"/>
      <c r="UNP1152" s="13"/>
      <c r="UNQ1152" s="13"/>
      <c r="UNR1152" s="13"/>
      <c r="UNS1152" s="13"/>
      <c r="UNT1152" s="13"/>
      <c r="UNU1152" s="13"/>
      <c r="UNV1152" s="13"/>
      <c r="UNW1152" s="13"/>
      <c r="UNX1152" s="13"/>
      <c r="UNY1152" s="13"/>
      <c r="UNZ1152" s="13"/>
      <c r="UOA1152" s="13"/>
      <c r="UOB1152" s="13"/>
      <c r="UOC1152" s="13"/>
      <c r="UOD1152" s="13"/>
      <c r="UOE1152" s="13"/>
      <c r="UOF1152" s="13"/>
      <c r="UOG1152" s="13"/>
      <c r="UOH1152" s="13"/>
      <c r="UOI1152" s="13"/>
      <c r="UOJ1152" s="13"/>
      <c r="UOK1152" s="13"/>
      <c r="UOL1152" s="13"/>
      <c r="UOM1152" s="13"/>
      <c r="UON1152" s="13"/>
      <c r="UOO1152" s="13"/>
      <c r="UOP1152" s="13"/>
      <c r="UOQ1152" s="13"/>
      <c r="UOR1152" s="13"/>
      <c r="UOS1152" s="13"/>
      <c r="UOT1152" s="13"/>
      <c r="UOU1152" s="13"/>
      <c r="UOV1152" s="13"/>
      <c r="UOW1152" s="13"/>
      <c r="UOX1152" s="13"/>
      <c r="UOY1152" s="13"/>
      <c r="UOZ1152" s="13"/>
      <c r="UPA1152" s="13"/>
      <c r="UPB1152" s="13"/>
      <c r="UPC1152" s="13"/>
      <c r="UPD1152" s="13"/>
      <c r="UPE1152" s="13"/>
      <c r="UPF1152" s="13"/>
      <c r="UPG1152" s="13"/>
      <c r="UPH1152" s="13"/>
      <c r="UPI1152" s="13"/>
      <c r="UPJ1152" s="13"/>
      <c r="UPK1152" s="13"/>
      <c r="UPL1152" s="13"/>
      <c r="UPM1152" s="13"/>
      <c r="UPN1152" s="13"/>
      <c r="UPO1152" s="13"/>
      <c r="UPP1152" s="13"/>
      <c r="UPQ1152" s="13"/>
      <c r="UPR1152" s="13"/>
      <c r="UPS1152" s="13"/>
      <c r="UPT1152" s="13"/>
      <c r="UPU1152" s="13"/>
      <c r="UPV1152" s="13"/>
      <c r="UPW1152" s="13"/>
      <c r="UPX1152" s="13"/>
      <c r="UPY1152" s="13"/>
      <c r="UPZ1152" s="13"/>
      <c r="UQA1152" s="13"/>
      <c r="UQB1152" s="13"/>
      <c r="UQC1152" s="13"/>
      <c r="UQD1152" s="13"/>
      <c r="UQE1152" s="13"/>
      <c r="UQF1152" s="13"/>
      <c r="UQG1152" s="13"/>
      <c r="UQH1152" s="13"/>
      <c r="UQI1152" s="13"/>
      <c r="UQJ1152" s="13"/>
      <c r="UQK1152" s="13"/>
      <c r="UQL1152" s="13"/>
      <c r="UQM1152" s="13"/>
      <c r="UQN1152" s="13"/>
      <c r="UQO1152" s="13"/>
      <c r="UQP1152" s="13"/>
      <c r="UQQ1152" s="13"/>
      <c r="UQR1152" s="13"/>
      <c r="UQS1152" s="13"/>
      <c r="UQT1152" s="13"/>
      <c r="UQU1152" s="13"/>
      <c r="UQV1152" s="13"/>
      <c r="UQW1152" s="13"/>
      <c r="UQX1152" s="13"/>
      <c r="UQY1152" s="13"/>
      <c r="UQZ1152" s="13"/>
      <c r="URA1152" s="13"/>
      <c r="URB1152" s="13"/>
      <c r="URC1152" s="13"/>
      <c r="URD1152" s="13"/>
      <c r="URE1152" s="13"/>
      <c r="URF1152" s="13"/>
      <c r="URG1152" s="13"/>
      <c r="URH1152" s="13"/>
      <c r="URI1152" s="13"/>
      <c r="URJ1152" s="13"/>
      <c r="URK1152" s="13"/>
      <c r="URL1152" s="13"/>
      <c r="URM1152" s="13"/>
      <c r="URN1152" s="13"/>
      <c r="URO1152" s="13"/>
      <c r="URP1152" s="13"/>
      <c r="URQ1152" s="13"/>
      <c r="URR1152" s="13"/>
      <c r="URS1152" s="13"/>
      <c r="URT1152" s="13"/>
      <c r="URU1152" s="13"/>
      <c r="URV1152" s="13"/>
      <c r="URW1152" s="13"/>
      <c r="URX1152" s="13"/>
      <c r="URY1152" s="13"/>
      <c r="URZ1152" s="13"/>
      <c r="USA1152" s="13"/>
      <c r="USB1152" s="13"/>
      <c r="USC1152" s="13"/>
      <c r="USD1152" s="13"/>
      <c r="USE1152" s="13"/>
      <c r="USF1152" s="13"/>
      <c r="USG1152" s="13"/>
      <c r="USH1152" s="13"/>
      <c r="USI1152" s="13"/>
      <c r="USJ1152" s="13"/>
      <c r="USK1152" s="13"/>
      <c r="USL1152" s="13"/>
      <c r="USM1152" s="13"/>
      <c r="USN1152" s="13"/>
      <c r="USO1152" s="13"/>
      <c r="USP1152" s="13"/>
      <c r="USQ1152" s="13"/>
      <c r="USR1152" s="13"/>
      <c r="USS1152" s="13"/>
      <c r="UST1152" s="13"/>
      <c r="USU1152" s="13"/>
      <c r="USV1152" s="13"/>
      <c r="USW1152" s="13"/>
      <c r="USX1152" s="13"/>
      <c r="USY1152" s="13"/>
      <c r="USZ1152" s="13"/>
      <c r="UTA1152" s="13"/>
      <c r="UTB1152" s="13"/>
      <c r="UTC1152" s="13"/>
      <c r="UTD1152" s="13"/>
      <c r="UTE1152" s="13"/>
      <c r="UTF1152" s="13"/>
      <c r="UTG1152" s="13"/>
      <c r="UTH1152" s="13"/>
      <c r="UTI1152" s="13"/>
      <c r="UTJ1152" s="13"/>
      <c r="UTK1152" s="13"/>
      <c r="UTL1152" s="13"/>
      <c r="UTM1152" s="13"/>
      <c r="UTN1152" s="13"/>
      <c r="UTO1152" s="13"/>
      <c r="UTP1152" s="13"/>
      <c r="UTQ1152" s="13"/>
      <c r="UTR1152" s="13"/>
      <c r="UTS1152" s="13"/>
      <c r="UTT1152" s="13"/>
      <c r="UTU1152" s="13"/>
      <c r="UTV1152" s="13"/>
      <c r="UTW1152" s="13"/>
      <c r="UTX1152" s="13"/>
      <c r="UTY1152" s="13"/>
      <c r="UTZ1152" s="13"/>
      <c r="UUA1152" s="13"/>
      <c r="UUB1152" s="13"/>
      <c r="UUC1152" s="13"/>
      <c r="UUD1152" s="13"/>
      <c r="UUE1152" s="13"/>
      <c r="UUF1152" s="13"/>
      <c r="UUG1152" s="13"/>
      <c r="UUH1152" s="13"/>
      <c r="UUI1152" s="13"/>
      <c r="UUJ1152" s="13"/>
      <c r="UUK1152" s="13"/>
      <c r="UUL1152" s="13"/>
      <c r="UUM1152" s="13"/>
      <c r="UUN1152" s="13"/>
      <c r="UUO1152" s="13"/>
      <c r="UUP1152" s="13"/>
      <c r="UUQ1152" s="13"/>
      <c r="UUR1152" s="13"/>
      <c r="UUS1152" s="13"/>
      <c r="UUT1152" s="13"/>
      <c r="UUU1152" s="13"/>
      <c r="UUV1152" s="13"/>
      <c r="UUW1152" s="13"/>
      <c r="UUX1152" s="13"/>
      <c r="UUY1152" s="13"/>
      <c r="UUZ1152" s="13"/>
      <c r="UVA1152" s="13"/>
      <c r="UVB1152" s="13"/>
      <c r="UVC1152" s="13"/>
      <c r="UVD1152" s="13"/>
      <c r="UVE1152" s="13"/>
      <c r="UVF1152" s="13"/>
      <c r="UVG1152" s="13"/>
      <c r="UVH1152" s="13"/>
      <c r="UVI1152" s="13"/>
      <c r="UVJ1152" s="13"/>
      <c r="UVK1152" s="13"/>
      <c r="UVL1152" s="13"/>
      <c r="UVM1152" s="13"/>
      <c r="UVN1152" s="13"/>
      <c r="UVO1152" s="13"/>
      <c r="UVP1152" s="13"/>
      <c r="UVQ1152" s="13"/>
      <c r="UVR1152" s="13"/>
      <c r="UVS1152" s="13"/>
      <c r="UVT1152" s="13"/>
      <c r="UVU1152" s="13"/>
      <c r="UVV1152" s="13"/>
      <c r="UVW1152" s="13"/>
      <c r="UVX1152" s="13"/>
      <c r="UVY1152" s="13"/>
      <c r="UVZ1152" s="13"/>
      <c r="UWA1152" s="13"/>
      <c r="UWB1152" s="13"/>
      <c r="UWC1152" s="13"/>
      <c r="UWD1152" s="13"/>
      <c r="UWE1152" s="13"/>
      <c r="UWF1152" s="13"/>
      <c r="UWG1152" s="13"/>
      <c r="UWH1152" s="13"/>
      <c r="UWI1152" s="13"/>
      <c r="UWJ1152" s="13"/>
      <c r="UWK1152" s="13"/>
      <c r="UWL1152" s="13"/>
      <c r="UWM1152" s="13"/>
      <c r="UWN1152" s="13"/>
      <c r="UWO1152" s="13"/>
      <c r="UWP1152" s="13"/>
      <c r="UWQ1152" s="13"/>
      <c r="UWR1152" s="13"/>
      <c r="UWS1152" s="13"/>
      <c r="UWT1152" s="13"/>
      <c r="UWU1152" s="13"/>
      <c r="UWV1152" s="13"/>
      <c r="UWW1152" s="13"/>
      <c r="UWX1152" s="13"/>
      <c r="UWY1152" s="13"/>
      <c r="UWZ1152" s="13"/>
      <c r="UXA1152" s="13"/>
      <c r="UXB1152" s="13"/>
      <c r="UXC1152" s="13"/>
      <c r="UXD1152" s="13"/>
      <c r="UXE1152" s="13"/>
      <c r="UXF1152" s="13"/>
      <c r="UXG1152" s="13"/>
      <c r="UXH1152" s="13"/>
      <c r="UXI1152" s="13"/>
      <c r="UXJ1152" s="13"/>
      <c r="UXK1152" s="13"/>
      <c r="UXL1152" s="13"/>
      <c r="UXM1152" s="13"/>
      <c r="UXN1152" s="13"/>
      <c r="UXO1152" s="13"/>
      <c r="UXP1152" s="13"/>
      <c r="UXQ1152" s="13"/>
      <c r="UXR1152" s="13"/>
      <c r="UXS1152" s="13"/>
      <c r="UXT1152" s="13"/>
      <c r="UXU1152" s="13"/>
      <c r="UXV1152" s="13"/>
      <c r="UXW1152" s="13"/>
      <c r="UXX1152" s="13"/>
      <c r="UXY1152" s="13"/>
      <c r="UXZ1152" s="13"/>
      <c r="UYA1152" s="13"/>
      <c r="UYB1152" s="13"/>
      <c r="UYC1152" s="13"/>
      <c r="UYD1152" s="13"/>
      <c r="UYE1152" s="13"/>
      <c r="UYF1152" s="13"/>
      <c r="UYG1152" s="13"/>
      <c r="UYH1152" s="13"/>
      <c r="UYI1152" s="13"/>
      <c r="UYJ1152" s="13"/>
      <c r="UYK1152" s="13"/>
      <c r="UYL1152" s="13"/>
      <c r="UYM1152" s="13"/>
      <c r="UYN1152" s="13"/>
      <c r="UYO1152" s="13"/>
      <c r="UYP1152" s="13"/>
      <c r="UYQ1152" s="13"/>
      <c r="UYR1152" s="13"/>
      <c r="UYS1152" s="13"/>
      <c r="UYT1152" s="13"/>
      <c r="UYU1152" s="13"/>
      <c r="UYV1152" s="13"/>
      <c r="UYW1152" s="13"/>
      <c r="UYX1152" s="13"/>
      <c r="UYY1152" s="13"/>
      <c r="UYZ1152" s="13"/>
      <c r="UZA1152" s="13"/>
      <c r="UZB1152" s="13"/>
      <c r="UZC1152" s="13"/>
      <c r="UZD1152" s="13"/>
      <c r="UZE1152" s="13"/>
      <c r="UZF1152" s="13"/>
      <c r="UZG1152" s="13"/>
      <c r="UZH1152" s="13"/>
      <c r="UZI1152" s="13"/>
      <c r="UZJ1152" s="13"/>
      <c r="UZK1152" s="13"/>
      <c r="UZL1152" s="13"/>
      <c r="UZM1152" s="13"/>
      <c r="UZN1152" s="13"/>
      <c r="UZO1152" s="13"/>
      <c r="UZP1152" s="13"/>
      <c r="UZQ1152" s="13"/>
      <c r="UZR1152" s="13"/>
      <c r="UZS1152" s="13"/>
      <c r="UZT1152" s="13"/>
      <c r="UZU1152" s="13"/>
      <c r="UZV1152" s="13"/>
      <c r="UZW1152" s="13"/>
      <c r="UZX1152" s="13"/>
      <c r="UZY1152" s="13"/>
      <c r="UZZ1152" s="13"/>
      <c r="VAA1152" s="13"/>
      <c r="VAB1152" s="13"/>
      <c r="VAC1152" s="13"/>
      <c r="VAD1152" s="13"/>
      <c r="VAE1152" s="13"/>
      <c r="VAF1152" s="13"/>
      <c r="VAG1152" s="13"/>
      <c r="VAH1152" s="13"/>
      <c r="VAI1152" s="13"/>
      <c r="VAJ1152" s="13"/>
      <c r="VAK1152" s="13"/>
      <c r="VAL1152" s="13"/>
      <c r="VAM1152" s="13"/>
      <c r="VAN1152" s="13"/>
      <c r="VAO1152" s="13"/>
      <c r="VAP1152" s="13"/>
      <c r="VAQ1152" s="13"/>
      <c r="VAR1152" s="13"/>
      <c r="VAS1152" s="13"/>
      <c r="VAT1152" s="13"/>
      <c r="VAU1152" s="13"/>
      <c r="VAV1152" s="13"/>
      <c r="VAW1152" s="13"/>
      <c r="VAX1152" s="13"/>
      <c r="VAY1152" s="13"/>
      <c r="VAZ1152" s="13"/>
      <c r="VBA1152" s="13"/>
      <c r="VBB1152" s="13"/>
      <c r="VBC1152" s="13"/>
      <c r="VBD1152" s="13"/>
      <c r="VBE1152" s="13"/>
      <c r="VBF1152" s="13"/>
      <c r="VBG1152" s="13"/>
      <c r="VBH1152" s="13"/>
      <c r="VBI1152" s="13"/>
      <c r="VBJ1152" s="13"/>
      <c r="VBK1152" s="13"/>
      <c r="VBL1152" s="13"/>
      <c r="VBM1152" s="13"/>
      <c r="VBN1152" s="13"/>
      <c r="VBO1152" s="13"/>
      <c r="VBP1152" s="13"/>
      <c r="VBQ1152" s="13"/>
      <c r="VBR1152" s="13"/>
      <c r="VBS1152" s="13"/>
      <c r="VBT1152" s="13"/>
      <c r="VBU1152" s="13"/>
      <c r="VBV1152" s="13"/>
      <c r="VBW1152" s="13"/>
      <c r="VBX1152" s="13"/>
      <c r="VBY1152" s="13"/>
      <c r="VBZ1152" s="13"/>
      <c r="VCA1152" s="13"/>
      <c r="VCB1152" s="13"/>
      <c r="VCC1152" s="13"/>
      <c r="VCD1152" s="13"/>
      <c r="VCE1152" s="13"/>
      <c r="VCF1152" s="13"/>
      <c r="VCG1152" s="13"/>
      <c r="VCH1152" s="13"/>
      <c r="VCI1152" s="13"/>
      <c r="VCJ1152" s="13"/>
      <c r="VCK1152" s="13"/>
      <c r="VCL1152" s="13"/>
      <c r="VCM1152" s="13"/>
      <c r="VCN1152" s="13"/>
      <c r="VCO1152" s="13"/>
      <c r="VCP1152" s="13"/>
      <c r="VCQ1152" s="13"/>
      <c r="VCR1152" s="13"/>
      <c r="VCS1152" s="13"/>
      <c r="VCT1152" s="13"/>
      <c r="VCU1152" s="13"/>
      <c r="VCV1152" s="13"/>
      <c r="VCW1152" s="13"/>
      <c r="VCX1152" s="13"/>
      <c r="VCY1152" s="13"/>
      <c r="VCZ1152" s="13"/>
      <c r="VDA1152" s="13"/>
      <c r="VDB1152" s="13"/>
      <c r="VDC1152" s="13"/>
      <c r="VDD1152" s="13"/>
      <c r="VDE1152" s="13"/>
      <c r="VDF1152" s="13"/>
      <c r="VDG1152" s="13"/>
      <c r="VDH1152" s="13"/>
      <c r="VDI1152" s="13"/>
      <c r="VDJ1152" s="13"/>
      <c r="VDK1152" s="13"/>
      <c r="VDL1152" s="13"/>
      <c r="VDM1152" s="13"/>
      <c r="VDN1152" s="13"/>
      <c r="VDO1152" s="13"/>
      <c r="VDP1152" s="13"/>
      <c r="VDQ1152" s="13"/>
      <c r="VDR1152" s="13"/>
      <c r="VDS1152" s="13"/>
      <c r="VDT1152" s="13"/>
      <c r="VDU1152" s="13"/>
      <c r="VDV1152" s="13"/>
      <c r="VDW1152" s="13"/>
      <c r="VDX1152" s="13"/>
      <c r="VDY1152" s="13"/>
      <c r="VDZ1152" s="13"/>
      <c r="VEA1152" s="13"/>
      <c r="VEB1152" s="13"/>
      <c r="VEC1152" s="13"/>
      <c r="VED1152" s="13"/>
      <c r="VEE1152" s="13"/>
      <c r="VEF1152" s="13"/>
      <c r="VEG1152" s="13"/>
      <c r="VEH1152" s="13"/>
      <c r="VEI1152" s="13"/>
      <c r="VEJ1152" s="13"/>
      <c r="VEK1152" s="13"/>
      <c r="VEL1152" s="13"/>
      <c r="VEM1152" s="13"/>
      <c r="VEN1152" s="13"/>
      <c r="VEO1152" s="13"/>
      <c r="VEP1152" s="13"/>
      <c r="VEQ1152" s="13"/>
      <c r="VER1152" s="13"/>
      <c r="VES1152" s="13"/>
      <c r="VET1152" s="13"/>
      <c r="VEU1152" s="13"/>
      <c r="VEV1152" s="13"/>
      <c r="VEW1152" s="13"/>
      <c r="VEX1152" s="13"/>
      <c r="VEY1152" s="13"/>
      <c r="VEZ1152" s="13"/>
      <c r="VFA1152" s="13"/>
      <c r="VFB1152" s="13"/>
      <c r="VFC1152" s="13"/>
      <c r="VFD1152" s="13"/>
      <c r="VFE1152" s="13"/>
      <c r="VFF1152" s="13"/>
      <c r="VFG1152" s="13"/>
      <c r="VFH1152" s="13"/>
      <c r="VFI1152" s="13"/>
      <c r="VFJ1152" s="13"/>
      <c r="VFK1152" s="13"/>
      <c r="VFL1152" s="13"/>
      <c r="VFM1152" s="13"/>
      <c r="VFN1152" s="13"/>
      <c r="VFO1152" s="13"/>
      <c r="VFP1152" s="13"/>
      <c r="VFQ1152" s="13"/>
      <c r="VFR1152" s="13"/>
      <c r="VFS1152" s="13"/>
      <c r="VFT1152" s="13"/>
      <c r="VFU1152" s="13"/>
      <c r="VFV1152" s="13"/>
      <c r="VFW1152" s="13"/>
      <c r="VFX1152" s="13"/>
      <c r="VFY1152" s="13"/>
      <c r="VFZ1152" s="13"/>
      <c r="VGA1152" s="13"/>
      <c r="VGB1152" s="13"/>
      <c r="VGC1152" s="13"/>
      <c r="VGD1152" s="13"/>
      <c r="VGE1152" s="13"/>
      <c r="VGF1152" s="13"/>
      <c r="VGG1152" s="13"/>
      <c r="VGH1152" s="13"/>
      <c r="VGI1152" s="13"/>
      <c r="VGJ1152" s="13"/>
      <c r="VGK1152" s="13"/>
      <c r="VGL1152" s="13"/>
      <c r="VGM1152" s="13"/>
      <c r="VGN1152" s="13"/>
      <c r="VGO1152" s="13"/>
      <c r="VGP1152" s="13"/>
      <c r="VGQ1152" s="13"/>
      <c r="VGR1152" s="13"/>
      <c r="VGS1152" s="13"/>
      <c r="VGT1152" s="13"/>
      <c r="VGU1152" s="13"/>
      <c r="VGV1152" s="13"/>
      <c r="VGW1152" s="13"/>
      <c r="VGX1152" s="13"/>
      <c r="VGY1152" s="13"/>
      <c r="VGZ1152" s="13"/>
      <c r="VHA1152" s="13"/>
      <c r="VHB1152" s="13"/>
      <c r="VHC1152" s="13"/>
      <c r="VHD1152" s="13"/>
      <c r="VHE1152" s="13"/>
      <c r="VHF1152" s="13"/>
      <c r="VHG1152" s="13"/>
      <c r="VHH1152" s="13"/>
      <c r="VHI1152" s="13"/>
      <c r="VHJ1152" s="13"/>
      <c r="VHK1152" s="13"/>
      <c r="VHL1152" s="13"/>
      <c r="VHM1152" s="13"/>
      <c r="VHN1152" s="13"/>
      <c r="VHO1152" s="13"/>
      <c r="VHP1152" s="13"/>
      <c r="VHQ1152" s="13"/>
      <c r="VHR1152" s="13"/>
      <c r="VHS1152" s="13"/>
      <c r="VHT1152" s="13"/>
      <c r="VHU1152" s="13"/>
      <c r="VHV1152" s="13"/>
      <c r="VHW1152" s="13"/>
      <c r="VHX1152" s="13"/>
      <c r="VHY1152" s="13"/>
      <c r="VHZ1152" s="13"/>
      <c r="VIA1152" s="13"/>
      <c r="VIB1152" s="13"/>
      <c r="VIC1152" s="13"/>
      <c r="VID1152" s="13"/>
      <c r="VIE1152" s="13"/>
      <c r="VIF1152" s="13"/>
      <c r="VIG1152" s="13"/>
      <c r="VIH1152" s="13"/>
      <c r="VII1152" s="13"/>
      <c r="VIJ1152" s="13"/>
      <c r="VIK1152" s="13"/>
      <c r="VIL1152" s="13"/>
      <c r="VIM1152" s="13"/>
      <c r="VIN1152" s="13"/>
      <c r="VIO1152" s="13"/>
      <c r="VIP1152" s="13"/>
      <c r="VIQ1152" s="13"/>
      <c r="VIR1152" s="13"/>
      <c r="VIS1152" s="13"/>
      <c r="VIT1152" s="13"/>
      <c r="VIU1152" s="13"/>
      <c r="VIV1152" s="13"/>
      <c r="VIW1152" s="13"/>
      <c r="VIX1152" s="13"/>
      <c r="VIY1152" s="13"/>
      <c r="VIZ1152" s="13"/>
      <c r="VJA1152" s="13"/>
      <c r="VJB1152" s="13"/>
      <c r="VJC1152" s="13"/>
      <c r="VJD1152" s="13"/>
      <c r="VJE1152" s="13"/>
      <c r="VJF1152" s="13"/>
      <c r="VJG1152" s="13"/>
      <c r="VJH1152" s="13"/>
      <c r="VJI1152" s="13"/>
      <c r="VJJ1152" s="13"/>
      <c r="VJK1152" s="13"/>
      <c r="VJL1152" s="13"/>
      <c r="VJM1152" s="13"/>
      <c r="VJN1152" s="13"/>
      <c r="VJO1152" s="13"/>
      <c r="VJP1152" s="13"/>
      <c r="VJQ1152" s="13"/>
      <c r="VJR1152" s="13"/>
      <c r="VJS1152" s="13"/>
      <c r="VJT1152" s="13"/>
      <c r="VJU1152" s="13"/>
      <c r="VJV1152" s="13"/>
      <c r="VJW1152" s="13"/>
      <c r="VJX1152" s="13"/>
      <c r="VJY1152" s="13"/>
      <c r="VJZ1152" s="13"/>
      <c r="VKA1152" s="13"/>
      <c r="VKB1152" s="13"/>
      <c r="VKC1152" s="13"/>
      <c r="VKD1152" s="13"/>
      <c r="VKE1152" s="13"/>
      <c r="VKF1152" s="13"/>
      <c r="VKG1152" s="13"/>
      <c r="VKH1152" s="13"/>
      <c r="VKI1152" s="13"/>
      <c r="VKJ1152" s="13"/>
      <c r="VKK1152" s="13"/>
      <c r="VKL1152" s="13"/>
      <c r="VKM1152" s="13"/>
      <c r="VKN1152" s="13"/>
      <c r="VKO1152" s="13"/>
      <c r="VKP1152" s="13"/>
      <c r="VKQ1152" s="13"/>
      <c r="VKR1152" s="13"/>
      <c r="VKS1152" s="13"/>
      <c r="VKT1152" s="13"/>
      <c r="VKU1152" s="13"/>
      <c r="VKV1152" s="13"/>
      <c r="VKW1152" s="13"/>
      <c r="VKX1152" s="13"/>
      <c r="VKY1152" s="13"/>
      <c r="VKZ1152" s="13"/>
      <c r="VLA1152" s="13"/>
      <c r="VLB1152" s="13"/>
      <c r="VLC1152" s="13"/>
      <c r="VLD1152" s="13"/>
      <c r="VLE1152" s="13"/>
      <c r="VLF1152" s="13"/>
      <c r="VLG1152" s="13"/>
      <c r="VLH1152" s="13"/>
      <c r="VLI1152" s="13"/>
      <c r="VLJ1152" s="13"/>
      <c r="VLK1152" s="13"/>
      <c r="VLL1152" s="13"/>
      <c r="VLM1152" s="13"/>
      <c r="VLN1152" s="13"/>
      <c r="VLO1152" s="13"/>
      <c r="VLP1152" s="13"/>
      <c r="VLQ1152" s="13"/>
      <c r="VLR1152" s="13"/>
      <c r="VLS1152" s="13"/>
      <c r="VLT1152" s="13"/>
      <c r="VLU1152" s="13"/>
      <c r="VLV1152" s="13"/>
      <c r="VLW1152" s="13"/>
      <c r="VLX1152" s="13"/>
      <c r="VLY1152" s="13"/>
      <c r="VLZ1152" s="13"/>
      <c r="VMA1152" s="13"/>
      <c r="VMB1152" s="13"/>
      <c r="VMC1152" s="13"/>
      <c r="VMD1152" s="13"/>
      <c r="VME1152" s="13"/>
      <c r="VMF1152" s="13"/>
      <c r="VMG1152" s="13"/>
      <c r="VMH1152" s="13"/>
      <c r="VMI1152" s="13"/>
      <c r="VMJ1152" s="13"/>
      <c r="VMK1152" s="13"/>
      <c r="VML1152" s="13"/>
      <c r="VMM1152" s="13"/>
      <c r="VMN1152" s="13"/>
      <c r="VMO1152" s="13"/>
      <c r="VMP1152" s="13"/>
      <c r="VMQ1152" s="13"/>
      <c r="VMR1152" s="13"/>
      <c r="VMS1152" s="13"/>
      <c r="VMT1152" s="13"/>
      <c r="VMU1152" s="13"/>
      <c r="VMV1152" s="13"/>
      <c r="VMW1152" s="13"/>
      <c r="VMX1152" s="13"/>
      <c r="VMY1152" s="13"/>
      <c r="VMZ1152" s="13"/>
      <c r="VNA1152" s="13"/>
      <c r="VNB1152" s="13"/>
      <c r="VNC1152" s="13"/>
      <c r="VND1152" s="13"/>
      <c r="VNE1152" s="13"/>
      <c r="VNF1152" s="13"/>
      <c r="VNG1152" s="13"/>
      <c r="VNH1152" s="13"/>
      <c r="VNI1152" s="13"/>
      <c r="VNJ1152" s="13"/>
      <c r="VNK1152" s="13"/>
      <c r="VNL1152" s="13"/>
      <c r="VNM1152" s="13"/>
      <c r="VNN1152" s="13"/>
      <c r="VNO1152" s="13"/>
      <c r="VNP1152" s="13"/>
      <c r="VNQ1152" s="13"/>
      <c r="VNR1152" s="13"/>
      <c r="VNS1152" s="13"/>
      <c r="VNT1152" s="13"/>
      <c r="VNU1152" s="13"/>
      <c r="VNV1152" s="13"/>
      <c r="VNW1152" s="13"/>
      <c r="VNX1152" s="13"/>
      <c r="VNY1152" s="13"/>
      <c r="VNZ1152" s="13"/>
      <c r="VOA1152" s="13"/>
      <c r="VOB1152" s="13"/>
      <c r="VOC1152" s="13"/>
      <c r="VOD1152" s="13"/>
      <c r="VOE1152" s="13"/>
      <c r="VOF1152" s="13"/>
      <c r="VOG1152" s="13"/>
      <c r="VOH1152" s="13"/>
      <c r="VOI1152" s="13"/>
      <c r="VOJ1152" s="13"/>
      <c r="VOK1152" s="13"/>
      <c r="VOL1152" s="13"/>
      <c r="VOM1152" s="13"/>
      <c r="VON1152" s="13"/>
      <c r="VOO1152" s="13"/>
      <c r="VOP1152" s="13"/>
      <c r="VOQ1152" s="13"/>
      <c r="VOR1152" s="13"/>
      <c r="VOS1152" s="13"/>
      <c r="VOT1152" s="13"/>
      <c r="VOU1152" s="13"/>
      <c r="VOV1152" s="13"/>
      <c r="VOW1152" s="13"/>
      <c r="VOX1152" s="13"/>
      <c r="VOY1152" s="13"/>
      <c r="VOZ1152" s="13"/>
      <c r="VPA1152" s="13"/>
      <c r="VPB1152" s="13"/>
      <c r="VPC1152" s="13"/>
      <c r="VPD1152" s="13"/>
      <c r="VPE1152" s="13"/>
      <c r="VPF1152" s="13"/>
      <c r="VPG1152" s="13"/>
      <c r="VPH1152" s="13"/>
      <c r="VPI1152" s="13"/>
      <c r="VPJ1152" s="13"/>
      <c r="VPK1152" s="13"/>
      <c r="VPL1152" s="13"/>
      <c r="VPM1152" s="13"/>
      <c r="VPN1152" s="13"/>
      <c r="VPO1152" s="13"/>
      <c r="VPP1152" s="13"/>
      <c r="VPQ1152" s="13"/>
      <c r="VPR1152" s="13"/>
      <c r="VPS1152" s="13"/>
      <c r="VPT1152" s="13"/>
      <c r="VPU1152" s="13"/>
      <c r="VPV1152" s="13"/>
      <c r="VPW1152" s="13"/>
      <c r="VPX1152" s="13"/>
      <c r="VPY1152" s="13"/>
      <c r="VPZ1152" s="13"/>
      <c r="VQA1152" s="13"/>
      <c r="VQB1152" s="13"/>
      <c r="VQC1152" s="13"/>
      <c r="VQD1152" s="13"/>
      <c r="VQE1152" s="13"/>
      <c r="VQF1152" s="13"/>
      <c r="VQG1152" s="13"/>
      <c r="VQH1152" s="13"/>
      <c r="VQI1152" s="13"/>
      <c r="VQJ1152" s="13"/>
      <c r="VQK1152" s="13"/>
      <c r="VQL1152" s="13"/>
      <c r="VQM1152" s="13"/>
      <c r="VQN1152" s="13"/>
      <c r="VQO1152" s="13"/>
      <c r="VQP1152" s="13"/>
      <c r="VQQ1152" s="13"/>
      <c r="VQR1152" s="13"/>
      <c r="VQS1152" s="13"/>
      <c r="VQT1152" s="13"/>
      <c r="VQU1152" s="13"/>
      <c r="VQV1152" s="13"/>
      <c r="VQW1152" s="13"/>
      <c r="VQX1152" s="13"/>
      <c r="VQY1152" s="13"/>
      <c r="VQZ1152" s="13"/>
      <c r="VRA1152" s="13"/>
      <c r="VRB1152" s="13"/>
      <c r="VRC1152" s="13"/>
      <c r="VRD1152" s="13"/>
      <c r="VRE1152" s="13"/>
      <c r="VRF1152" s="13"/>
      <c r="VRG1152" s="13"/>
      <c r="VRH1152" s="13"/>
      <c r="VRI1152" s="13"/>
      <c r="VRJ1152" s="13"/>
      <c r="VRK1152" s="13"/>
      <c r="VRL1152" s="13"/>
      <c r="VRM1152" s="13"/>
      <c r="VRN1152" s="13"/>
      <c r="VRO1152" s="13"/>
      <c r="VRP1152" s="13"/>
      <c r="VRQ1152" s="13"/>
      <c r="VRR1152" s="13"/>
      <c r="VRS1152" s="13"/>
      <c r="VRT1152" s="13"/>
      <c r="VRU1152" s="13"/>
      <c r="VRV1152" s="13"/>
      <c r="VRW1152" s="13"/>
      <c r="VRX1152" s="13"/>
      <c r="VRY1152" s="13"/>
      <c r="VRZ1152" s="13"/>
      <c r="VSA1152" s="13"/>
      <c r="VSB1152" s="13"/>
      <c r="VSC1152" s="13"/>
      <c r="VSD1152" s="13"/>
      <c r="VSE1152" s="13"/>
      <c r="VSF1152" s="13"/>
      <c r="VSG1152" s="13"/>
      <c r="VSH1152" s="13"/>
      <c r="VSI1152" s="13"/>
      <c r="VSJ1152" s="13"/>
      <c r="VSK1152" s="13"/>
      <c r="VSL1152" s="13"/>
      <c r="VSM1152" s="13"/>
      <c r="VSN1152" s="13"/>
      <c r="VSO1152" s="13"/>
      <c r="VSP1152" s="13"/>
      <c r="VSQ1152" s="13"/>
      <c r="VSR1152" s="13"/>
      <c r="VSS1152" s="13"/>
      <c r="VST1152" s="13"/>
      <c r="VSU1152" s="13"/>
      <c r="VSV1152" s="13"/>
      <c r="VSW1152" s="13"/>
      <c r="VSX1152" s="13"/>
      <c r="VSY1152" s="13"/>
      <c r="VSZ1152" s="13"/>
      <c r="VTA1152" s="13"/>
      <c r="VTB1152" s="13"/>
      <c r="VTC1152" s="13"/>
      <c r="VTD1152" s="13"/>
      <c r="VTE1152" s="13"/>
      <c r="VTF1152" s="13"/>
      <c r="VTG1152" s="13"/>
      <c r="VTH1152" s="13"/>
      <c r="VTI1152" s="13"/>
      <c r="VTJ1152" s="13"/>
      <c r="VTK1152" s="13"/>
      <c r="VTL1152" s="13"/>
      <c r="VTM1152" s="13"/>
      <c r="VTN1152" s="13"/>
      <c r="VTO1152" s="13"/>
      <c r="VTP1152" s="13"/>
      <c r="VTQ1152" s="13"/>
      <c r="VTR1152" s="13"/>
      <c r="VTS1152" s="13"/>
      <c r="VTT1152" s="13"/>
      <c r="VTU1152" s="13"/>
      <c r="VTV1152" s="13"/>
      <c r="VTW1152" s="13"/>
      <c r="VTX1152" s="13"/>
      <c r="VTY1152" s="13"/>
      <c r="VTZ1152" s="13"/>
      <c r="VUA1152" s="13"/>
      <c r="VUB1152" s="13"/>
      <c r="VUC1152" s="13"/>
      <c r="VUD1152" s="13"/>
      <c r="VUE1152" s="13"/>
      <c r="VUF1152" s="13"/>
      <c r="VUG1152" s="13"/>
      <c r="VUH1152" s="13"/>
      <c r="VUI1152" s="13"/>
      <c r="VUJ1152" s="13"/>
      <c r="VUK1152" s="13"/>
      <c r="VUL1152" s="13"/>
      <c r="VUM1152" s="13"/>
      <c r="VUN1152" s="13"/>
      <c r="VUO1152" s="13"/>
      <c r="VUP1152" s="13"/>
      <c r="VUQ1152" s="13"/>
      <c r="VUR1152" s="13"/>
      <c r="VUS1152" s="13"/>
      <c r="VUT1152" s="13"/>
      <c r="VUU1152" s="13"/>
      <c r="VUV1152" s="13"/>
      <c r="VUW1152" s="13"/>
      <c r="VUX1152" s="13"/>
      <c r="VUY1152" s="13"/>
      <c r="VUZ1152" s="13"/>
      <c r="VVA1152" s="13"/>
      <c r="VVB1152" s="13"/>
      <c r="VVC1152" s="13"/>
      <c r="VVD1152" s="13"/>
      <c r="VVE1152" s="13"/>
      <c r="VVF1152" s="13"/>
      <c r="VVG1152" s="13"/>
      <c r="VVH1152" s="13"/>
      <c r="VVI1152" s="13"/>
      <c r="VVJ1152" s="13"/>
      <c r="VVK1152" s="13"/>
      <c r="VVL1152" s="13"/>
      <c r="VVM1152" s="13"/>
      <c r="VVN1152" s="13"/>
      <c r="VVO1152" s="13"/>
      <c r="VVP1152" s="13"/>
      <c r="VVQ1152" s="13"/>
      <c r="VVR1152" s="13"/>
      <c r="VVS1152" s="13"/>
      <c r="VVT1152" s="13"/>
      <c r="VVU1152" s="13"/>
      <c r="VVV1152" s="13"/>
      <c r="VVW1152" s="13"/>
      <c r="VVX1152" s="13"/>
      <c r="VVY1152" s="13"/>
      <c r="VVZ1152" s="13"/>
      <c r="VWA1152" s="13"/>
      <c r="VWB1152" s="13"/>
      <c r="VWC1152" s="13"/>
      <c r="VWD1152" s="13"/>
      <c r="VWE1152" s="13"/>
      <c r="VWF1152" s="13"/>
      <c r="VWG1152" s="13"/>
      <c r="VWH1152" s="13"/>
      <c r="VWI1152" s="13"/>
      <c r="VWJ1152" s="13"/>
      <c r="VWK1152" s="13"/>
      <c r="VWL1152" s="13"/>
      <c r="VWM1152" s="13"/>
      <c r="VWN1152" s="13"/>
      <c r="VWO1152" s="13"/>
      <c r="VWP1152" s="13"/>
      <c r="VWQ1152" s="13"/>
      <c r="VWR1152" s="13"/>
      <c r="VWS1152" s="13"/>
      <c r="VWT1152" s="13"/>
      <c r="VWU1152" s="13"/>
      <c r="VWV1152" s="13"/>
      <c r="VWW1152" s="13"/>
      <c r="VWX1152" s="13"/>
      <c r="VWY1152" s="13"/>
      <c r="VWZ1152" s="13"/>
      <c r="VXA1152" s="13"/>
      <c r="VXB1152" s="13"/>
      <c r="VXC1152" s="13"/>
      <c r="VXD1152" s="13"/>
      <c r="VXE1152" s="13"/>
      <c r="VXF1152" s="13"/>
      <c r="VXG1152" s="13"/>
      <c r="VXH1152" s="13"/>
      <c r="VXI1152" s="13"/>
      <c r="VXJ1152" s="13"/>
      <c r="VXK1152" s="13"/>
      <c r="VXL1152" s="13"/>
      <c r="VXM1152" s="13"/>
      <c r="VXN1152" s="13"/>
      <c r="VXO1152" s="13"/>
      <c r="VXP1152" s="13"/>
      <c r="VXQ1152" s="13"/>
      <c r="VXR1152" s="13"/>
      <c r="VXS1152" s="13"/>
      <c r="VXT1152" s="13"/>
      <c r="VXU1152" s="13"/>
      <c r="VXV1152" s="13"/>
      <c r="VXW1152" s="13"/>
      <c r="VXX1152" s="13"/>
      <c r="VXY1152" s="13"/>
      <c r="VXZ1152" s="13"/>
      <c r="VYA1152" s="13"/>
      <c r="VYB1152" s="13"/>
      <c r="VYC1152" s="13"/>
      <c r="VYD1152" s="13"/>
      <c r="VYE1152" s="13"/>
      <c r="VYF1152" s="13"/>
      <c r="VYG1152" s="13"/>
      <c r="VYH1152" s="13"/>
      <c r="VYI1152" s="13"/>
      <c r="VYJ1152" s="13"/>
      <c r="VYK1152" s="13"/>
      <c r="VYL1152" s="13"/>
      <c r="VYM1152" s="13"/>
      <c r="VYN1152" s="13"/>
      <c r="VYO1152" s="13"/>
      <c r="VYP1152" s="13"/>
      <c r="VYQ1152" s="13"/>
      <c r="VYR1152" s="13"/>
      <c r="VYS1152" s="13"/>
      <c r="VYT1152" s="13"/>
      <c r="VYU1152" s="13"/>
      <c r="VYV1152" s="13"/>
      <c r="VYW1152" s="13"/>
      <c r="VYX1152" s="13"/>
      <c r="VYY1152" s="13"/>
      <c r="VYZ1152" s="13"/>
      <c r="VZA1152" s="13"/>
      <c r="VZB1152" s="13"/>
      <c r="VZC1152" s="13"/>
      <c r="VZD1152" s="13"/>
      <c r="VZE1152" s="13"/>
      <c r="VZF1152" s="13"/>
      <c r="VZG1152" s="13"/>
      <c r="VZH1152" s="13"/>
      <c r="VZI1152" s="13"/>
      <c r="VZJ1152" s="13"/>
      <c r="VZK1152" s="13"/>
      <c r="VZL1152" s="13"/>
      <c r="VZM1152" s="13"/>
      <c r="VZN1152" s="13"/>
      <c r="VZO1152" s="13"/>
      <c r="VZP1152" s="13"/>
      <c r="VZQ1152" s="13"/>
      <c r="VZR1152" s="13"/>
      <c r="VZS1152" s="13"/>
      <c r="VZT1152" s="13"/>
      <c r="VZU1152" s="13"/>
      <c r="VZV1152" s="13"/>
      <c r="VZW1152" s="13"/>
      <c r="VZX1152" s="13"/>
      <c r="VZY1152" s="13"/>
      <c r="VZZ1152" s="13"/>
      <c r="WAA1152" s="13"/>
      <c r="WAB1152" s="13"/>
      <c r="WAC1152" s="13"/>
      <c r="WAD1152" s="13"/>
      <c r="WAE1152" s="13"/>
      <c r="WAF1152" s="13"/>
      <c r="WAG1152" s="13"/>
      <c r="WAH1152" s="13"/>
      <c r="WAI1152" s="13"/>
      <c r="WAJ1152" s="13"/>
      <c r="WAK1152" s="13"/>
      <c r="WAL1152" s="13"/>
      <c r="WAM1152" s="13"/>
      <c r="WAN1152" s="13"/>
      <c r="WAO1152" s="13"/>
      <c r="WAP1152" s="13"/>
      <c r="WAQ1152" s="13"/>
      <c r="WAR1152" s="13"/>
      <c r="WAS1152" s="13"/>
      <c r="WAT1152" s="13"/>
      <c r="WAU1152" s="13"/>
      <c r="WAV1152" s="13"/>
      <c r="WAW1152" s="13"/>
      <c r="WAX1152" s="13"/>
      <c r="WAY1152" s="13"/>
      <c r="WAZ1152" s="13"/>
      <c r="WBA1152" s="13"/>
      <c r="WBB1152" s="13"/>
      <c r="WBC1152" s="13"/>
      <c r="WBD1152" s="13"/>
      <c r="WBE1152" s="13"/>
      <c r="WBF1152" s="13"/>
      <c r="WBG1152" s="13"/>
      <c r="WBH1152" s="13"/>
      <c r="WBI1152" s="13"/>
      <c r="WBJ1152" s="13"/>
      <c r="WBK1152" s="13"/>
      <c r="WBL1152" s="13"/>
      <c r="WBM1152" s="13"/>
      <c r="WBN1152" s="13"/>
      <c r="WBO1152" s="13"/>
      <c r="WBP1152" s="13"/>
      <c r="WBQ1152" s="13"/>
      <c r="WBR1152" s="13"/>
      <c r="WBS1152" s="13"/>
      <c r="WBT1152" s="13"/>
      <c r="WBU1152" s="13"/>
      <c r="WBV1152" s="13"/>
      <c r="WBW1152" s="13"/>
      <c r="WBX1152" s="13"/>
      <c r="WBY1152" s="13"/>
      <c r="WBZ1152" s="13"/>
      <c r="WCA1152" s="13"/>
      <c r="WCB1152" s="13"/>
      <c r="WCC1152" s="13"/>
      <c r="WCD1152" s="13"/>
      <c r="WCE1152" s="13"/>
      <c r="WCF1152" s="13"/>
      <c r="WCG1152" s="13"/>
      <c r="WCH1152" s="13"/>
      <c r="WCI1152" s="13"/>
      <c r="WCJ1152" s="13"/>
      <c r="WCK1152" s="13"/>
      <c r="WCL1152" s="13"/>
      <c r="WCM1152" s="13"/>
      <c r="WCN1152" s="13"/>
      <c r="WCO1152" s="13"/>
      <c r="WCP1152" s="13"/>
      <c r="WCQ1152" s="13"/>
      <c r="WCR1152" s="13"/>
      <c r="WCS1152" s="13"/>
      <c r="WCT1152" s="13"/>
      <c r="WCU1152" s="13"/>
      <c r="WCV1152" s="13"/>
      <c r="WCW1152" s="13"/>
      <c r="WCX1152" s="13"/>
      <c r="WCY1152" s="13"/>
      <c r="WCZ1152" s="13"/>
      <c r="WDA1152" s="13"/>
      <c r="WDB1152" s="13"/>
      <c r="WDC1152" s="13"/>
      <c r="WDD1152" s="13"/>
      <c r="WDE1152" s="13"/>
      <c r="WDF1152" s="13"/>
      <c r="WDG1152" s="13"/>
      <c r="WDH1152" s="13"/>
      <c r="WDI1152" s="13"/>
      <c r="WDJ1152" s="13"/>
      <c r="WDK1152" s="13"/>
      <c r="WDL1152" s="13"/>
      <c r="WDM1152" s="13"/>
      <c r="WDN1152" s="13"/>
      <c r="WDO1152" s="13"/>
      <c r="WDP1152" s="13"/>
      <c r="WDQ1152" s="13"/>
      <c r="WDR1152" s="13"/>
      <c r="WDS1152" s="13"/>
      <c r="WDT1152" s="13"/>
      <c r="WDU1152" s="13"/>
      <c r="WDV1152" s="13"/>
      <c r="WDW1152" s="13"/>
      <c r="WDX1152" s="13"/>
      <c r="WDY1152" s="13"/>
      <c r="WDZ1152" s="13"/>
      <c r="WEA1152" s="13"/>
      <c r="WEB1152" s="13"/>
      <c r="WEC1152" s="13"/>
      <c r="WED1152" s="13"/>
      <c r="WEE1152" s="13"/>
      <c r="WEF1152" s="13"/>
      <c r="WEG1152" s="13"/>
      <c r="WEH1152" s="13"/>
      <c r="WEI1152" s="13"/>
      <c r="WEJ1152" s="13"/>
      <c r="WEK1152" s="13"/>
      <c r="WEL1152" s="13"/>
      <c r="WEM1152" s="13"/>
      <c r="WEN1152" s="13"/>
      <c r="WEO1152" s="13"/>
      <c r="WEP1152" s="13"/>
      <c r="WEQ1152" s="13"/>
      <c r="WER1152" s="13"/>
      <c r="WES1152" s="13"/>
      <c r="WET1152" s="13"/>
      <c r="WEU1152" s="13"/>
      <c r="WEV1152" s="13"/>
      <c r="WEW1152" s="13"/>
      <c r="WEX1152" s="13"/>
      <c r="WEY1152" s="13"/>
      <c r="WEZ1152" s="13"/>
      <c r="WFA1152" s="13"/>
      <c r="WFB1152" s="13"/>
      <c r="WFC1152" s="13"/>
      <c r="WFD1152" s="13"/>
      <c r="WFE1152" s="13"/>
      <c r="WFF1152" s="13"/>
      <c r="WFG1152" s="13"/>
      <c r="WFH1152" s="13"/>
      <c r="WFI1152" s="13"/>
      <c r="WFJ1152" s="13"/>
      <c r="WFK1152" s="13"/>
      <c r="WFL1152" s="13"/>
      <c r="WFM1152" s="13"/>
      <c r="WFN1152" s="13"/>
      <c r="WFO1152" s="13"/>
      <c r="WFP1152" s="13"/>
      <c r="WFQ1152" s="13"/>
      <c r="WFR1152" s="13"/>
      <c r="WFS1152" s="13"/>
      <c r="WFT1152" s="13"/>
      <c r="WFU1152" s="13"/>
      <c r="WFV1152" s="13"/>
      <c r="WFW1152" s="13"/>
      <c r="WFX1152" s="13"/>
      <c r="WFY1152" s="13"/>
      <c r="WFZ1152" s="13"/>
      <c r="WGA1152" s="13"/>
      <c r="WGB1152" s="13"/>
      <c r="WGC1152" s="13"/>
      <c r="WGD1152" s="13"/>
      <c r="WGE1152" s="13"/>
      <c r="WGF1152" s="13"/>
      <c r="WGG1152" s="13"/>
      <c r="WGH1152" s="13"/>
      <c r="WGI1152" s="13"/>
      <c r="WGJ1152" s="13"/>
      <c r="WGK1152" s="13"/>
      <c r="WGL1152" s="13"/>
      <c r="WGM1152" s="13"/>
      <c r="WGN1152" s="13"/>
      <c r="WGO1152" s="13"/>
      <c r="WGP1152" s="13"/>
      <c r="WGQ1152" s="13"/>
      <c r="WGR1152" s="13"/>
      <c r="WGS1152" s="13"/>
      <c r="WGT1152" s="13"/>
      <c r="WGU1152" s="13"/>
      <c r="WGV1152" s="13"/>
      <c r="WGW1152" s="13"/>
      <c r="WGX1152" s="13"/>
      <c r="WGY1152" s="13"/>
      <c r="WGZ1152" s="13"/>
      <c r="WHA1152" s="13"/>
      <c r="WHB1152" s="13"/>
      <c r="WHC1152" s="13"/>
      <c r="WHD1152" s="13"/>
      <c r="WHE1152" s="13"/>
      <c r="WHF1152" s="13"/>
      <c r="WHG1152" s="13"/>
      <c r="WHH1152" s="13"/>
      <c r="WHI1152" s="13"/>
      <c r="WHJ1152" s="13"/>
      <c r="WHK1152" s="13"/>
      <c r="WHL1152" s="13"/>
      <c r="WHM1152" s="13"/>
      <c r="WHN1152" s="13"/>
      <c r="WHO1152" s="13"/>
      <c r="WHP1152" s="13"/>
      <c r="WHQ1152" s="13"/>
      <c r="WHR1152" s="13"/>
      <c r="WHS1152" s="13"/>
      <c r="WHT1152" s="13"/>
      <c r="WHU1152" s="13"/>
      <c r="WHV1152" s="13"/>
      <c r="WHW1152" s="13"/>
      <c r="WHX1152" s="13"/>
      <c r="WHY1152" s="13"/>
      <c r="WHZ1152" s="13"/>
      <c r="WIA1152" s="13"/>
      <c r="WIB1152" s="13"/>
      <c r="WIC1152" s="13"/>
      <c r="WID1152" s="13"/>
      <c r="WIE1152" s="13"/>
      <c r="WIF1152" s="13"/>
      <c r="WIG1152" s="13"/>
      <c r="WIH1152" s="13"/>
      <c r="WII1152" s="13"/>
      <c r="WIJ1152" s="13"/>
      <c r="WIK1152" s="13"/>
      <c r="WIL1152" s="13"/>
      <c r="WIM1152" s="13"/>
      <c r="WIN1152" s="13"/>
      <c r="WIO1152" s="13"/>
      <c r="WIP1152" s="13"/>
      <c r="WIQ1152" s="13"/>
      <c r="WIR1152" s="13"/>
      <c r="WIS1152" s="13"/>
      <c r="WIT1152" s="13"/>
      <c r="WIU1152" s="13"/>
      <c r="WIV1152" s="13"/>
      <c r="WIW1152" s="13"/>
      <c r="WIX1152" s="13"/>
      <c r="WIY1152" s="13"/>
      <c r="WIZ1152" s="13"/>
      <c r="WJA1152" s="13"/>
      <c r="WJB1152" s="13"/>
      <c r="WJC1152" s="13"/>
      <c r="WJD1152" s="13"/>
      <c r="WJE1152" s="13"/>
      <c r="WJF1152" s="13"/>
      <c r="WJG1152" s="13"/>
      <c r="WJH1152" s="13"/>
      <c r="WJI1152" s="13"/>
      <c r="WJJ1152" s="13"/>
      <c r="WJK1152" s="13"/>
      <c r="WJL1152" s="13"/>
      <c r="WJM1152" s="13"/>
      <c r="WJN1152" s="13"/>
      <c r="WJO1152" s="13"/>
      <c r="WJP1152" s="13"/>
      <c r="WJQ1152" s="13"/>
      <c r="WJR1152" s="13"/>
      <c r="WJS1152" s="13"/>
      <c r="WJT1152" s="13"/>
      <c r="WJU1152" s="13"/>
      <c r="WJV1152" s="13"/>
      <c r="WJW1152" s="13"/>
      <c r="WJX1152" s="13"/>
      <c r="WJY1152" s="13"/>
      <c r="WJZ1152" s="13"/>
      <c r="WKA1152" s="13"/>
      <c r="WKB1152" s="13"/>
      <c r="WKC1152" s="13"/>
      <c r="WKD1152" s="13"/>
      <c r="WKE1152" s="13"/>
      <c r="WKF1152" s="13"/>
      <c r="WKG1152" s="13"/>
      <c r="WKH1152" s="13"/>
      <c r="WKI1152" s="13"/>
      <c r="WKJ1152" s="13"/>
      <c r="WKK1152" s="13"/>
      <c r="WKL1152" s="13"/>
      <c r="WKM1152" s="13"/>
      <c r="WKN1152" s="13"/>
      <c r="WKO1152" s="13"/>
      <c r="WKP1152" s="13"/>
      <c r="WKQ1152" s="13"/>
      <c r="WKR1152" s="13"/>
      <c r="WKS1152" s="13"/>
      <c r="WKT1152" s="13"/>
      <c r="WKU1152" s="13"/>
      <c r="WKV1152" s="13"/>
      <c r="WKW1152" s="13"/>
      <c r="WKX1152" s="13"/>
      <c r="WKY1152" s="13"/>
      <c r="WKZ1152" s="13"/>
      <c r="WLA1152" s="13"/>
      <c r="WLB1152" s="13"/>
      <c r="WLC1152" s="13"/>
      <c r="WLD1152" s="13"/>
      <c r="WLE1152" s="13"/>
      <c r="WLF1152" s="13"/>
      <c r="WLG1152" s="13"/>
      <c r="WLH1152" s="13"/>
      <c r="WLI1152" s="13"/>
      <c r="WLJ1152" s="13"/>
      <c r="WLK1152" s="13"/>
      <c r="WLL1152" s="13"/>
      <c r="WLM1152" s="13"/>
      <c r="WLN1152" s="13"/>
      <c r="WLO1152" s="13"/>
      <c r="WLP1152" s="13"/>
      <c r="WLQ1152" s="13"/>
      <c r="WLR1152" s="13"/>
      <c r="WLS1152" s="13"/>
      <c r="WLT1152" s="13"/>
      <c r="WLU1152" s="13"/>
      <c r="WLV1152" s="13"/>
      <c r="WLW1152" s="13"/>
      <c r="WLX1152" s="13"/>
      <c r="WLY1152" s="13"/>
      <c r="WLZ1152" s="13"/>
      <c r="WMA1152" s="13"/>
      <c r="WMB1152" s="13"/>
      <c r="WMC1152" s="13"/>
      <c r="WMD1152" s="13"/>
      <c r="WME1152" s="13"/>
      <c r="WMF1152" s="13"/>
      <c r="WMG1152" s="13"/>
      <c r="WMH1152" s="13"/>
      <c r="WMI1152" s="13"/>
      <c r="WMJ1152" s="13"/>
      <c r="WMK1152" s="13"/>
      <c r="WML1152" s="13"/>
      <c r="WMM1152" s="13"/>
      <c r="WMN1152" s="13"/>
      <c r="WMO1152" s="13"/>
      <c r="WMP1152" s="13"/>
      <c r="WMQ1152" s="13"/>
      <c r="WMR1152" s="13"/>
      <c r="WMS1152" s="13"/>
      <c r="WMT1152" s="13"/>
      <c r="WMU1152" s="13"/>
      <c r="WMV1152" s="13"/>
      <c r="WMW1152" s="13"/>
      <c r="WMX1152" s="13"/>
      <c r="WMY1152" s="13"/>
      <c r="WMZ1152" s="13"/>
      <c r="WNA1152" s="13"/>
      <c r="WNB1152" s="13"/>
      <c r="WNC1152" s="13"/>
      <c r="WND1152" s="13"/>
      <c r="WNE1152" s="13"/>
      <c r="WNF1152" s="13"/>
      <c r="WNG1152" s="13"/>
      <c r="WNH1152" s="13"/>
      <c r="WNI1152" s="13"/>
      <c r="WNJ1152" s="13"/>
      <c r="WNK1152" s="13"/>
      <c r="WNL1152" s="13"/>
      <c r="WNM1152" s="13"/>
      <c r="WNN1152" s="13"/>
      <c r="WNO1152" s="13"/>
      <c r="WNP1152" s="13"/>
      <c r="WNQ1152" s="13"/>
      <c r="WNR1152" s="13"/>
      <c r="WNS1152" s="13"/>
      <c r="WNT1152" s="13"/>
      <c r="WNU1152" s="13"/>
      <c r="WNV1152" s="13"/>
      <c r="WNW1152" s="13"/>
      <c r="WNX1152" s="13"/>
      <c r="WNY1152" s="13"/>
      <c r="WNZ1152" s="13"/>
      <c r="WOA1152" s="13"/>
      <c r="WOB1152" s="13"/>
      <c r="WOC1152" s="13"/>
      <c r="WOD1152" s="13"/>
      <c r="WOE1152" s="13"/>
      <c r="WOF1152" s="13"/>
      <c r="WOG1152" s="13"/>
      <c r="WOH1152" s="13"/>
      <c r="WOI1152" s="13"/>
      <c r="WOJ1152" s="13"/>
      <c r="WOK1152" s="13"/>
      <c r="WOL1152" s="13"/>
      <c r="WOM1152" s="13"/>
      <c r="WON1152" s="13"/>
      <c r="WOO1152" s="13"/>
      <c r="WOP1152" s="13"/>
      <c r="WOQ1152" s="13"/>
      <c r="WOR1152" s="13"/>
      <c r="WOS1152" s="13"/>
      <c r="WOT1152" s="13"/>
      <c r="WOU1152" s="13"/>
      <c r="WOV1152" s="13"/>
      <c r="WOW1152" s="13"/>
      <c r="WOX1152" s="13"/>
      <c r="WOY1152" s="13"/>
      <c r="WOZ1152" s="13"/>
      <c r="WPA1152" s="13"/>
      <c r="WPB1152" s="13"/>
      <c r="WPC1152" s="13"/>
      <c r="WPD1152" s="13"/>
      <c r="WPE1152" s="13"/>
      <c r="WPF1152" s="13"/>
      <c r="WPG1152" s="13"/>
      <c r="WPH1152" s="13"/>
      <c r="WPI1152" s="13"/>
      <c r="WPJ1152" s="13"/>
      <c r="WPK1152" s="13"/>
      <c r="WPL1152" s="13"/>
      <c r="WPM1152" s="13"/>
      <c r="WPN1152" s="13"/>
      <c r="WPO1152" s="13"/>
      <c r="WPP1152" s="13"/>
      <c r="WPQ1152" s="13"/>
      <c r="WPR1152" s="13"/>
      <c r="WPS1152" s="13"/>
      <c r="WPT1152" s="13"/>
      <c r="WPU1152" s="13"/>
      <c r="WPV1152" s="13"/>
      <c r="WPW1152" s="13"/>
      <c r="WPX1152" s="13"/>
      <c r="WPY1152" s="13"/>
      <c r="WPZ1152" s="13"/>
      <c r="WQA1152" s="13"/>
      <c r="WQB1152" s="13"/>
      <c r="WQC1152" s="13"/>
      <c r="WQD1152" s="13"/>
      <c r="WQE1152" s="13"/>
      <c r="WQF1152" s="13"/>
      <c r="WQG1152" s="13"/>
      <c r="WQH1152" s="13"/>
      <c r="WQI1152" s="13"/>
      <c r="WQJ1152" s="13"/>
      <c r="WQK1152" s="13"/>
      <c r="WQL1152" s="13"/>
      <c r="WQM1152" s="13"/>
      <c r="WQN1152" s="13"/>
      <c r="WQO1152" s="13"/>
      <c r="WQP1152" s="13"/>
      <c r="WQQ1152" s="13"/>
      <c r="WQR1152" s="13"/>
      <c r="WQS1152" s="13"/>
      <c r="WQT1152" s="13"/>
      <c r="WQU1152" s="13"/>
      <c r="WQV1152" s="13"/>
      <c r="WQW1152" s="13"/>
      <c r="WQX1152" s="13"/>
      <c r="WQY1152" s="13"/>
      <c r="WQZ1152" s="13"/>
      <c r="WRA1152" s="13"/>
      <c r="WRB1152" s="13"/>
      <c r="WRC1152" s="13"/>
      <c r="WRD1152" s="13"/>
      <c r="WRE1152" s="13"/>
      <c r="WRF1152" s="13"/>
      <c r="WRG1152" s="13"/>
      <c r="WRH1152" s="13"/>
      <c r="WRI1152" s="13"/>
      <c r="WRJ1152" s="13"/>
      <c r="WRK1152" s="13"/>
      <c r="WRL1152" s="13"/>
      <c r="WRM1152" s="13"/>
      <c r="WRN1152" s="13"/>
      <c r="WRO1152" s="13"/>
      <c r="WRP1152" s="13"/>
      <c r="WRQ1152" s="13"/>
      <c r="WRR1152" s="13"/>
      <c r="WRS1152" s="13"/>
      <c r="WRT1152" s="13"/>
      <c r="WRU1152" s="13"/>
      <c r="WRV1152" s="13"/>
      <c r="WRW1152" s="13"/>
      <c r="WRX1152" s="13"/>
      <c r="WRY1152" s="13"/>
      <c r="WRZ1152" s="13"/>
      <c r="WSA1152" s="13"/>
      <c r="WSB1152" s="13"/>
      <c r="WSC1152" s="13"/>
      <c r="WSD1152" s="13"/>
      <c r="WSE1152" s="13"/>
      <c r="WSF1152" s="13"/>
      <c r="WSG1152" s="13"/>
      <c r="WSH1152" s="13"/>
      <c r="WSI1152" s="13"/>
      <c r="WSJ1152" s="13"/>
      <c r="WSK1152" s="13"/>
      <c r="WSL1152" s="13"/>
      <c r="WSM1152" s="13"/>
      <c r="WSN1152" s="13"/>
      <c r="WSO1152" s="13"/>
      <c r="WSP1152" s="13"/>
      <c r="WSQ1152" s="13"/>
      <c r="WSR1152" s="13"/>
      <c r="WSS1152" s="13"/>
      <c r="WST1152" s="13"/>
      <c r="WSU1152" s="13"/>
      <c r="WSV1152" s="13"/>
      <c r="WSW1152" s="13"/>
      <c r="WSX1152" s="13"/>
      <c r="WSY1152" s="13"/>
      <c r="WSZ1152" s="13"/>
      <c r="WTA1152" s="13"/>
      <c r="WTB1152" s="13"/>
      <c r="WTC1152" s="13"/>
      <c r="WTD1152" s="13"/>
      <c r="WTE1152" s="13"/>
      <c r="WTF1152" s="13"/>
      <c r="WTG1152" s="13"/>
      <c r="WTH1152" s="13"/>
      <c r="WTI1152" s="13"/>
      <c r="WTJ1152" s="13"/>
      <c r="WTK1152" s="13"/>
      <c r="WTL1152" s="13"/>
      <c r="WTM1152" s="13"/>
      <c r="WTN1152" s="13"/>
      <c r="WTO1152" s="13"/>
      <c r="WTP1152" s="13"/>
      <c r="WTQ1152" s="13"/>
      <c r="WTR1152" s="13"/>
      <c r="WTS1152" s="13"/>
      <c r="WTT1152" s="13"/>
      <c r="WTU1152" s="13"/>
      <c r="WTV1152" s="13"/>
      <c r="WTW1152" s="13"/>
      <c r="WTX1152" s="13"/>
      <c r="WTY1152" s="13"/>
      <c r="WTZ1152" s="13"/>
      <c r="WUA1152" s="13"/>
      <c r="WUB1152" s="13"/>
      <c r="WUC1152" s="13"/>
      <c r="WUD1152" s="13"/>
      <c r="WUE1152" s="13"/>
      <c r="WUF1152" s="13"/>
      <c r="WUG1152" s="13"/>
      <c r="WUH1152" s="13"/>
      <c r="WUI1152" s="13"/>
      <c r="WUJ1152" s="13"/>
      <c r="WUK1152" s="13"/>
      <c r="WUL1152" s="13"/>
      <c r="WUM1152" s="13"/>
      <c r="WUN1152" s="13"/>
      <c r="WUO1152" s="13"/>
      <c r="WUP1152" s="13"/>
      <c r="WUQ1152" s="13"/>
      <c r="WUR1152" s="13"/>
      <c r="WUS1152" s="13"/>
      <c r="WUT1152" s="13"/>
      <c r="WUU1152" s="13"/>
      <c r="WUV1152" s="13"/>
      <c r="WUW1152" s="13"/>
      <c r="WUX1152" s="13"/>
      <c r="WUY1152" s="13"/>
      <c r="WUZ1152" s="13"/>
      <c r="WVA1152" s="13"/>
      <c r="WVB1152" s="13"/>
      <c r="WVC1152" s="13"/>
      <c r="WVD1152" s="13"/>
      <c r="WVE1152" s="13"/>
      <c r="WVF1152" s="13"/>
      <c r="WVG1152" s="13"/>
      <c r="WVH1152" s="13"/>
      <c r="WVI1152" s="13"/>
      <c r="WVJ1152" s="13"/>
      <c r="WVK1152" s="13"/>
      <c r="WVL1152" s="13"/>
      <c r="WVM1152" s="13"/>
      <c r="WVN1152" s="13"/>
      <c r="WVO1152" s="13"/>
      <c r="WVP1152" s="13"/>
      <c r="WVQ1152" s="13"/>
      <c r="WVR1152" s="13"/>
      <c r="WVS1152" s="13"/>
      <c r="WVT1152" s="13"/>
      <c r="WVU1152" s="13"/>
      <c r="WVV1152" s="13"/>
      <c r="WVW1152" s="13"/>
      <c r="WVX1152" s="13"/>
      <c r="WVY1152" s="13"/>
      <c r="WVZ1152" s="13"/>
      <c r="WWA1152" s="13"/>
      <c r="WWB1152" s="13"/>
      <c r="WWC1152" s="13"/>
      <c r="WWD1152" s="13"/>
      <c r="WWE1152" s="13"/>
      <c r="WWF1152" s="13"/>
      <c r="WWG1152" s="13"/>
      <c r="WWH1152" s="13"/>
      <c r="WWI1152" s="13"/>
      <c r="WWJ1152" s="13"/>
      <c r="WWK1152" s="13"/>
      <c r="WWL1152" s="13"/>
      <c r="WWM1152" s="13"/>
      <c r="WWN1152" s="13"/>
      <c r="WWO1152" s="13"/>
      <c r="WWP1152" s="13"/>
      <c r="WWQ1152" s="13"/>
      <c r="WWR1152" s="13"/>
      <c r="WWS1152" s="13"/>
      <c r="WWT1152" s="13"/>
      <c r="WWU1152" s="13"/>
      <c r="WWV1152" s="13"/>
      <c r="WWW1152" s="13"/>
      <c r="WWX1152" s="13"/>
      <c r="WWY1152" s="13"/>
      <c r="WWZ1152" s="13"/>
      <c r="WXA1152" s="13"/>
      <c r="WXB1152" s="13"/>
      <c r="WXC1152" s="13"/>
      <c r="WXD1152" s="13"/>
      <c r="WXE1152" s="13"/>
      <c r="WXF1152" s="13"/>
      <c r="WXG1152" s="13"/>
      <c r="WXH1152" s="13"/>
      <c r="WXI1152" s="13"/>
      <c r="WXJ1152" s="13"/>
      <c r="WXK1152" s="13"/>
      <c r="WXL1152" s="13"/>
      <c r="WXM1152" s="13"/>
      <c r="WXN1152" s="13"/>
      <c r="WXO1152" s="13"/>
      <c r="WXP1152" s="13"/>
      <c r="WXQ1152" s="13"/>
      <c r="WXR1152" s="13"/>
      <c r="WXS1152" s="13"/>
      <c r="WXT1152" s="13"/>
      <c r="WXU1152" s="13"/>
      <c r="WXV1152" s="13"/>
      <c r="WXW1152" s="13"/>
      <c r="WXX1152" s="13"/>
      <c r="WXY1152" s="13"/>
      <c r="WXZ1152" s="13"/>
      <c r="WYA1152" s="13"/>
      <c r="WYB1152" s="13"/>
      <c r="WYC1152" s="13"/>
      <c r="WYD1152" s="13"/>
      <c r="WYE1152" s="13"/>
      <c r="WYF1152" s="13"/>
      <c r="WYG1152" s="13"/>
      <c r="WYH1152" s="13"/>
      <c r="WYI1152" s="13"/>
      <c r="WYJ1152" s="13"/>
      <c r="WYK1152" s="13"/>
      <c r="WYL1152" s="13"/>
      <c r="WYM1152" s="13"/>
      <c r="WYN1152" s="13"/>
      <c r="WYO1152" s="13"/>
      <c r="WYP1152" s="13"/>
      <c r="WYQ1152" s="13"/>
      <c r="WYR1152" s="13"/>
      <c r="WYS1152" s="13"/>
      <c r="WYT1152" s="13"/>
      <c r="WYU1152" s="13"/>
      <c r="WYV1152" s="13"/>
      <c r="WYW1152" s="13"/>
      <c r="WYX1152" s="13"/>
      <c r="WYY1152" s="13"/>
      <c r="WYZ1152" s="13"/>
      <c r="WZA1152" s="13"/>
      <c r="WZB1152" s="13"/>
      <c r="WZC1152" s="13"/>
      <c r="WZD1152" s="13"/>
      <c r="WZE1152" s="13"/>
      <c r="WZF1152" s="13"/>
      <c r="WZG1152" s="13"/>
      <c r="WZH1152" s="13"/>
      <c r="WZI1152" s="13"/>
      <c r="WZJ1152" s="13"/>
      <c r="WZK1152" s="13"/>
      <c r="WZL1152" s="13"/>
      <c r="WZM1152" s="13"/>
      <c r="WZN1152" s="13"/>
      <c r="WZO1152" s="13"/>
      <c r="WZP1152" s="13"/>
      <c r="WZQ1152" s="13"/>
      <c r="WZR1152" s="13"/>
      <c r="WZS1152" s="13"/>
      <c r="WZT1152" s="13"/>
      <c r="WZU1152" s="13"/>
      <c r="WZV1152" s="13"/>
      <c r="WZW1152" s="13"/>
      <c r="WZX1152" s="13"/>
      <c r="WZY1152" s="13"/>
      <c r="WZZ1152" s="13"/>
      <c r="XAA1152" s="13"/>
      <c r="XAB1152" s="13"/>
      <c r="XAC1152" s="13"/>
      <c r="XAD1152" s="13"/>
      <c r="XAE1152" s="13"/>
      <c r="XAF1152" s="13"/>
      <c r="XAG1152" s="13"/>
      <c r="XAH1152" s="13"/>
      <c r="XAI1152" s="13"/>
      <c r="XAJ1152" s="13"/>
      <c r="XAK1152" s="13"/>
      <c r="XAL1152" s="13"/>
      <c r="XAM1152" s="13"/>
      <c r="XAN1152" s="13"/>
      <c r="XAO1152" s="13"/>
      <c r="XAP1152" s="13"/>
      <c r="XAQ1152" s="13"/>
      <c r="XAR1152" s="13"/>
      <c r="XAS1152" s="13"/>
      <c r="XAT1152" s="13"/>
      <c r="XAU1152" s="13"/>
      <c r="XAV1152" s="13"/>
      <c r="XAW1152" s="13"/>
      <c r="XAX1152" s="13"/>
      <c r="XAY1152" s="13"/>
      <c r="XAZ1152" s="13"/>
      <c r="XBA1152" s="13"/>
      <c r="XBB1152" s="13"/>
      <c r="XBC1152" s="13"/>
      <c r="XBD1152" s="13"/>
      <c r="XBE1152" s="13"/>
      <c r="XBF1152" s="13"/>
      <c r="XBG1152" s="13"/>
      <c r="XBH1152" s="13"/>
      <c r="XBI1152" s="13"/>
      <c r="XBJ1152" s="13"/>
      <c r="XBK1152" s="13"/>
      <c r="XBL1152" s="13"/>
      <c r="XBM1152" s="13"/>
      <c r="XBN1152" s="13"/>
      <c r="XBO1152" s="13"/>
      <c r="XBP1152" s="13"/>
      <c r="XBQ1152" s="13"/>
      <c r="XBR1152" s="13"/>
      <c r="XBS1152" s="13"/>
      <c r="XBT1152" s="13"/>
      <c r="XBU1152" s="13"/>
      <c r="XBV1152" s="13"/>
      <c r="XBW1152" s="13"/>
      <c r="XBX1152" s="13"/>
      <c r="XBY1152" s="13"/>
      <c r="XBZ1152" s="13"/>
      <c r="XCA1152" s="13"/>
      <c r="XCB1152" s="13"/>
      <c r="XCC1152" s="13"/>
      <c r="XCD1152" s="13"/>
      <c r="XCE1152" s="13"/>
      <c r="XCF1152" s="13"/>
      <c r="XCG1152" s="13"/>
      <c r="XCH1152" s="13"/>
      <c r="XCI1152" s="13"/>
      <c r="XCJ1152" s="13"/>
      <c r="XCK1152" s="13"/>
      <c r="XCL1152" s="13"/>
      <c r="XCM1152" s="13"/>
      <c r="XCN1152" s="13"/>
      <c r="XCO1152" s="13"/>
      <c r="XCP1152" s="13"/>
      <c r="XCQ1152" s="13"/>
      <c r="XCR1152" s="13"/>
      <c r="XCS1152" s="13"/>
      <c r="XCT1152" s="13"/>
      <c r="XCU1152" s="13"/>
      <c r="XCV1152" s="13"/>
      <c r="XCW1152" s="13"/>
      <c r="XCX1152" s="13"/>
      <c r="XCY1152" s="13"/>
      <c r="XCZ1152" s="13"/>
      <c r="XDA1152" s="13"/>
      <c r="XDB1152" s="13"/>
      <c r="XDC1152" s="13"/>
      <c r="XDD1152" s="13"/>
      <c r="XDE1152" s="13"/>
      <c r="XDF1152" s="13"/>
      <c r="XDG1152" s="13"/>
      <c r="XDH1152" s="13"/>
      <c r="XDI1152" s="13"/>
      <c r="XDJ1152" s="13"/>
      <c r="XDK1152" s="13"/>
      <c r="XDL1152" s="13"/>
      <c r="XDM1152" s="13"/>
      <c r="XDN1152" s="13"/>
      <c r="XDO1152" s="13"/>
      <c r="XDP1152" s="13"/>
      <c r="XDQ1152" s="13"/>
      <c r="XDR1152" s="13"/>
      <c r="XDS1152" s="13"/>
      <c r="XDT1152" s="13"/>
      <c r="XDU1152" s="13"/>
      <c r="XDV1152" s="13"/>
      <c r="XDW1152" s="13"/>
      <c r="XDX1152" s="13"/>
      <c r="XDY1152" s="13"/>
      <c r="XDZ1152" s="13"/>
      <c r="XEA1152" s="13"/>
      <c r="XEB1152" s="13"/>
      <c r="XEC1152" s="13"/>
      <c r="XED1152" s="13"/>
      <c r="XEE1152" s="13"/>
      <c r="XEF1152" s="13"/>
      <c r="XEG1152" s="13"/>
      <c r="XEH1152" s="13"/>
      <c r="XEI1152" s="13"/>
      <c r="XEJ1152" s="13"/>
      <c r="XEK1152" s="13"/>
      <c r="XEL1152" s="13"/>
      <c r="XEM1152" s="13"/>
    </row>
    <row r="1153" spans="1:19" ht="63.75">
      <c r="A1153" s="5">
        <v>1138</v>
      </c>
      <c r="B1153" s="15" t="s">
        <v>710</v>
      </c>
      <c r="C1153" s="5" t="s">
        <v>597</v>
      </c>
      <c r="D1153" s="5" t="s">
        <v>1405</v>
      </c>
      <c r="E1153" s="57" t="s">
        <v>1807</v>
      </c>
      <c r="F1153" s="57" t="s">
        <v>1406</v>
      </c>
      <c r="G1153" s="57" t="s">
        <v>1807</v>
      </c>
      <c r="H1153" s="57" t="s">
        <v>1406</v>
      </c>
      <c r="I1153" s="57" t="s">
        <v>1806</v>
      </c>
      <c r="J1153" s="57" t="s">
        <v>57</v>
      </c>
      <c r="K1153" s="57" t="s">
        <v>1485</v>
      </c>
      <c r="L1153" s="11" t="s">
        <v>914</v>
      </c>
      <c r="M1153" s="22">
        <v>1</v>
      </c>
      <c r="N1153" s="46">
        <v>7357143</v>
      </c>
      <c r="O1153" s="49">
        <f t="shared" si="25"/>
        <v>7357143</v>
      </c>
      <c r="P1153" s="5" t="s">
        <v>501</v>
      </c>
      <c r="Q1153" s="15" t="s">
        <v>1471</v>
      </c>
      <c r="R1153" s="11" t="s">
        <v>1175</v>
      </c>
      <c r="S1153" s="22">
        <v>100</v>
      </c>
    </row>
    <row r="1154" spans="1:19" ht="102">
      <c r="A1154" s="5">
        <v>1139</v>
      </c>
      <c r="B1154" s="15" t="s">
        <v>710</v>
      </c>
      <c r="C1154" s="5" t="s">
        <v>597</v>
      </c>
      <c r="D1154" s="117" t="s">
        <v>1139</v>
      </c>
      <c r="E1154" s="57" t="s">
        <v>3691</v>
      </c>
      <c r="F1154" s="57" t="s">
        <v>1140</v>
      </c>
      <c r="G1154" s="57" t="s">
        <v>3691</v>
      </c>
      <c r="H1154" s="57" t="s">
        <v>1141</v>
      </c>
      <c r="I1154" s="57" t="s">
        <v>3692</v>
      </c>
      <c r="J1154" s="57" t="s">
        <v>129</v>
      </c>
      <c r="K1154" s="57" t="s">
        <v>591</v>
      </c>
      <c r="L1154" s="11" t="s">
        <v>914</v>
      </c>
      <c r="M1154" s="22">
        <v>1</v>
      </c>
      <c r="N1154" s="46">
        <f>O1154/M1154</f>
        <v>2401786</v>
      </c>
      <c r="O1154" s="49">
        <f>1651786+750000</f>
        <v>2401786</v>
      </c>
      <c r="P1154" s="5" t="s">
        <v>506</v>
      </c>
      <c r="Q1154" s="5" t="s">
        <v>766</v>
      </c>
      <c r="R1154" s="11" t="s">
        <v>1175</v>
      </c>
      <c r="S1154" s="22">
        <v>0</v>
      </c>
    </row>
    <row r="1155" spans="1:19" ht="51">
      <c r="A1155" s="5">
        <v>1140</v>
      </c>
      <c r="B1155" s="15" t="s">
        <v>710</v>
      </c>
      <c r="C1155" s="5" t="s">
        <v>597</v>
      </c>
      <c r="D1155" s="5" t="s">
        <v>494</v>
      </c>
      <c r="E1155" s="76" t="s">
        <v>495</v>
      </c>
      <c r="F1155" s="76" t="s">
        <v>496</v>
      </c>
      <c r="G1155" s="76" t="s">
        <v>495</v>
      </c>
      <c r="H1155" s="76" t="s">
        <v>856</v>
      </c>
      <c r="I1155" s="76" t="s">
        <v>1809</v>
      </c>
      <c r="J1155" s="76" t="s">
        <v>58</v>
      </c>
      <c r="K1155" s="76" t="s">
        <v>1485</v>
      </c>
      <c r="L1155" s="11" t="s">
        <v>914</v>
      </c>
      <c r="M1155" s="22">
        <v>1</v>
      </c>
      <c r="N1155" s="46">
        <f>O1155/M1155</f>
        <v>12218572</v>
      </c>
      <c r="O1155" s="49">
        <f>14715000-441428-1650000-405000</f>
        <v>12218572</v>
      </c>
      <c r="P1155" s="5" t="s">
        <v>393</v>
      </c>
      <c r="Q1155" s="5" t="s">
        <v>766</v>
      </c>
      <c r="R1155" s="11" t="s">
        <v>1175</v>
      </c>
      <c r="S1155" s="22">
        <v>0</v>
      </c>
    </row>
    <row r="1156" spans="1:19" ht="51">
      <c r="A1156" s="5">
        <v>1141</v>
      </c>
      <c r="B1156" s="15" t="s">
        <v>710</v>
      </c>
      <c r="C1156" s="5" t="s">
        <v>597</v>
      </c>
      <c r="D1156" s="5" t="s">
        <v>2389</v>
      </c>
      <c r="E1156" s="57" t="s">
        <v>1811</v>
      </c>
      <c r="F1156" s="57" t="s">
        <v>1367</v>
      </c>
      <c r="G1156" s="57" t="s">
        <v>1811</v>
      </c>
      <c r="H1156" s="57" t="s">
        <v>1367</v>
      </c>
      <c r="I1156" s="57" t="s">
        <v>1810</v>
      </c>
      <c r="J1156" s="57" t="s">
        <v>59</v>
      </c>
      <c r="K1156" s="57" t="s">
        <v>591</v>
      </c>
      <c r="L1156" s="11" t="s">
        <v>914</v>
      </c>
      <c r="M1156" s="22">
        <v>1</v>
      </c>
      <c r="N1156" s="46">
        <v>758929</v>
      </c>
      <c r="O1156" s="49">
        <f t="shared" si="25"/>
        <v>758929</v>
      </c>
      <c r="P1156" s="5" t="s">
        <v>391</v>
      </c>
      <c r="Q1156" s="5" t="s">
        <v>766</v>
      </c>
      <c r="R1156" s="11" t="s">
        <v>1175</v>
      </c>
      <c r="S1156" s="22">
        <v>0</v>
      </c>
    </row>
    <row r="1157" spans="1:19" s="37" customFormat="1" ht="51">
      <c r="A1157" s="5">
        <v>1142</v>
      </c>
      <c r="B1157" s="15" t="s">
        <v>710</v>
      </c>
      <c r="C1157" s="5" t="s">
        <v>597</v>
      </c>
      <c r="D1157" s="5" t="s">
        <v>2389</v>
      </c>
      <c r="E1157" s="57" t="s">
        <v>1811</v>
      </c>
      <c r="F1157" s="57" t="s">
        <v>1367</v>
      </c>
      <c r="G1157" s="57" t="s">
        <v>1811</v>
      </c>
      <c r="H1157" s="57" t="s">
        <v>1367</v>
      </c>
      <c r="I1157" s="57" t="s">
        <v>1810</v>
      </c>
      <c r="J1157" s="57" t="s">
        <v>59</v>
      </c>
      <c r="K1157" s="57" t="s">
        <v>591</v>
      </c>
      <c r="L1157" s="11" t="s">
        <v>914</v>
      </c>
      <c r="M1157" s="22">
        <v>1</v>
      </c>
      <c r="N1157" s="46">
        <v>1150714</v>
      </c>
      <c r="O1157" s="49">
        <f t="shared" si="25"/>
        <v>1150714</v>
      </c>
      <c r="P1157" s="5" t="s">
        <v>515</v>
      </c>
      <c r="Q1157" s="5" t="s">
        <v>766</v>
      </c>
      <c r="R1157" s="11" t="s">
        <v>2022</v>
      </c>
      <c r="S1157" s="22">
        <v>0</v>
      </c>
    </row>
    <row r="1158" spans="1:19" ht="89.25">
      <c r="A1158" s="5">
        <v>1143</v>
      </c>
      <c r="B1158" s="15" t="s">
        <v>710</v>
      </c>
      <c r="C1158" s="5" t="s">
        <v>597</v>
      </c>
      <c r="D1158" s="117" t="s">
        <v>1142</v>
      </c>
      <c r="E1158" s="57" t="s">
        <v>1812</v>
      </c>
      <c r="F1158" s="57" t="s">
        <v>1143</v>
      </c>
      <c r="G1158" s="57" t="s">
        <v>1813</v>
      </c>
      <c r="H1158" s="57" t="s">
        <v>1144</v>
      </c>
      <c r="I1158" s="57" t="s">
        <v>1814</v>
      </c>
      <c r="J1158" s="57" t="s">
        <v>1145</v>
      </c>
      <c r="K1158" s="57" t="s">
        <v>591</v>
      </c>
      <c r="L1158" s="11" t="s">
        <v>914</v>
      </c>
      <c r="M1158" s="22">
        <v>1</v>
      </c>
      <c r="N1158" s="46">
        <f>O1158/M1158</f>
        <v>3306571</v>
      </c>
      <c r="O1158" s="49">
        <f>2678571+628000</f>
        <v>3306571</v>
      </c>
      <c r="P1158" s="5" t="s">
        <v>393</v>
      </c>
      <c r="Q1158" s="5" t="s">
        <v>766</v>
      </c>
      <c r="R1158" s="11" t="s">
        <v>1175</v>
      </c>
      <c r="S1158" s="22">
        <v>0</v>
      </c>
    </row>
    <row r="1159" spans="1:19" ht="51" outlineLevel="1">
      <c r="A1159" s="5">
        <v>1144</v>
      </c>
      <c r="B1159" s="15" t="s">
        <v>710</v>
      </c>
      <c r="C1159" s="5" t="s">
        <v>597</v>
      </c>
      <c r="D1159" s="5" t="s">
        <v>1461</v>
      </c>
      <c r="E1159" s="57" t="s">
        <v>1815</v>
      </c>
      <c r="F1159" s="57" t="s">
        <v>1462</v>
      </c>
      <c r="G1159" s="57" t="s">
        <v>1816</v>
      </c>
      <c r="H1159" s="57" t="s">
        <v>1463</v>
      </c>
      <c r="I1159" s="57" t="s">
        <v>1817</v>
      </c>
      <c r="J1159" s="57" t="s">
        <v>259</v>
      </c>
      <c r="K1159" s="57" t="s">
        <v>591</v>
      </c>
      <c r="L1159" s="11" t="s">
        <v>914</v>
      </c>
      <c r="M1159" s="22">
        <v>1</v>
      </c>
      <c r="N1159" s="46">
        <v>150000</v>
      </c>
      <c r="O1159" s="49">
        <f t="shared" si="25"/>
        <v>150000</v>
      </c>
      <c r="P1159" s="5" t="s">
        <v>866</v>
      </c>
      <c r="Q1159" s="5" t="s">
        <v>766</v>
      </c>
      <c r="R1159" s="11" t="s">
        <v>1175</v>
      </c>
      <c r="S1159" s="22">
        <v>0</v>
      </c>
    </row>
    <row r="1160" spans="1:19" ht="55.5" customHeight="1" outlineLevel="1">
      <c r="A1160" s="5">
        <v>1145</v>
      </c>
      <c r="B1160" s="15" t="s">
        <v>710</v>
      </c>
      <c r="C1160" s="5" t="s">
        <v>597</v>
      </c>
      <c r="D1160" s="5" t="s">
        <v>1341</v>
      </c>
      <c r="E1160" s="57" t="s">
        <v>1818</v>
      </c>
      <c r="F1160" s="57" t="s">
        <v>60</v>
      </c>
      <c r="G1160" s="57" t="s">
        <v>1819</v>
      </c>
      <c r="H1160" s="57" t="s">
        <v>1342</v>
      </c>
      <c r="I1160" s="57" t="s">
        <v>1818</v>
      </c>
      <c r="J1160" s="57" t="s">
        <v>60</v>
      </c>
      <c r="K1160" s="57" t="s">
        <v>591</v>
      </c>
      <c r="L1160" s="11" t="s">
        <v>914</v>
      </c>
      <c r="M1160" s="22">
        <v>1</v>
      </c>
      <c r="N1160" s="46">
        <v>7678571</v>
      </c>
      <c r="O1160" s="49">
        <f t="shared" si="25"/>
        <v>7678571</v>
      </c>
      <c r="P1160" s="5" t="s">
        <v>586</v>
      </c>
      <c r="Q1160" s="5" t="s">
        <v>1343</v>
      </c>
      <c r="R1160" s="11" t="s">
        <v>1175</v>
      </c>
      <c r="S1160" s="5">
        <v>100</v>
      </c>
    </row>
    <row r="1161" spans="1:19" ht="51" outlineLevel="1">
      <c r="A1161" s="5">
        <v>1146</v>
      </c>
      <c r="B1161" s="15" t="s">
        <v>710</v>
      </c>
      <c r="C1161" s="5" t="s">
        <v>597</v>
      </c>
      <c r="D1161" s="5" t="s">
        <v>1821</v>
      </c>
      <c r="E1161" s="57" t="s">
        <v>1823</v>
      </c>
      <c r="F1161" s="57" t="s">
        <v>1822</v>
      </c>
      <c r="G1161" s="57" t="s">
        <v>1823</v>
      </c>
      <c r="H1161" s="57" t="s">
        <v>1822</v>
      </c>
      <c r="I1161" s="57" t="s">
        <v>1820</v>
      </c>
      <c r="J1161" s="57" t="s">
        <v>61</v>
      </c>
      <c r="K1161" s="57" t="s">
        <v>591</v>
      </c>
      <c r="L1161" s="11" t="s">
        <v>914</v>
      </c>
      <c r="M1161" s="22">
        <v>1</v>
      </c>
      <c r="N1161" s="46">
        <v>138679</v>
      </c>
      <c r="O1161" s="49">
        <f t="shared" si="25"/>
        <v>138679</v>
      </c>
      <c r="P1161" s="5" t="s">
        <v>391</v>
      </c>
      <c r="Q1161" s="5" t="s">
        <v>766</v>
      </c>
      <c r="R1161" s="11" t="s">
        <v>1175</v>
      </c>
      <c r="S1161" s="22">
        <v>100</v>
      </c>
    </row>
    <row r="1162" spans="1:19" ht="51" outlineLevel="1">
      <c r="A1162" s="5">
        <v>1147</v>
      </c>
      <c r="B1162" s="15" t="s">
        <v>710</v>
      </c>
      <c r="C1162" s="5" t="s">
        <v>597</v>
      </c>
      <c r="D1162" s="117" t="s">
        <v>1146</v>
      </c>
      <c r="E1162" s="57" t="s">
        <v>1824</v>
      </c>
      <c r="F1162" s="57" t="s">
        <v>1147</v>
      </c>
      <c r="G1162" s="57" t="s">
        <v>1825</v>
      </c>
      <c r="H1162" s="57" t="s">
        <v>1148</v>
      </c>
      <c r="I1162" s="57" t="s">
        <v>1826</v>
      </c>
      <c r="J1162" s="57" t="s">
        <v>62</v>
      </c>
      <c r="K1162" s="57" t="s">
        <v>591</v>
      </c>
      <c r="L1162" s="11" t="s">
        <v>914</v>
      </c>
      <c r="M1162" s="22">
        <v>1</v>
      </c>
      <c r="N1162" s="46">
        <v>1607143</v>
      </c>
      <c r="O1162" s="49">
        <f>1607143+107143</f>
        <v>1714286</v>
      </c>
      <c r="P1162" s="5" t="s">
        <v>515</v>
      </c>
      <c r="Q1162" s="5" t="s">
        <v>766</v>
      </c>
      <c r="R1162" s="11" t="s">
        <v>1175</v>
      </c>
      <c r="S1162" s="22">
        <v>0</v>
      </c>
    </row>
    <row r="1163" spans="1:19" ht="114.75" outlineLevel="1">
      <c r="A1163" s="5">
        <v>1148</v>
      </c>
      <c r="B1163" s="15" t="s">
        <v>710</v>
      </c>
      <c r="C1163" s="5" t="s">
        <v>597</v>
      </c>
      <c r="D1163" s="117" t="s">
        <v>1149</v>
      </c>
      <c r="E1163" s="57" t="s">
        <v>1827</v>
      </c>
      <c r="F1163" s="57" t="s">
        <v>1150</v>
      </c>
      <c r="G1163" s="57" t="s">
        <v>1828</v>
      </c>
      <c r="H1163" s="57" t="s">
        <v>1151</v>
      </c>
      <c r="I1163" s="57" t="s">
        <v>1829</v>
      </c>
      <c r="J1163" s="57" t="s">
        <v>63</v>
      </c>
      <c r="K1163" s="57" t="s">
        <v>591</v>
      </c>
      <c r="L1163" s="11" t="s">
        <v>914</v>
      </c>
      <c r="M1163" s="22">
        <v>1</v>
      </c>
      <c r="N1163" s="46">
        <f>O1163/M1163</f>
        <v>0</v>
      </c>
      <c r="O1163" s="49">
        <f>53571-53571</f>
        <v>0</v>
      </c>
      <c r="P1163" s="5" t="s">
        <v>502</v>
      </c>
      <c r="Q1163" s="5" t="s">
        <v>766</v>
      </c>
      <c r="R1163" s="11" t="s">
        <v>1175</v>
      </c>
      <c r="S1163" s="22">
        <v>0</v>
      </c>
    </row>
    <row r="1164" spans="1:19" ht="63.75" outlineLevel="1">
      <c r="A1164" s="5">
        <v>1149</v>
      </c>
      <c r="B1164" s="15" t="s">
        <v>710</v>
      </c>
      <c r="C1164" s="5" t="s">
        <v>597</v>
      </c>
      <c r="D1164" s="31" t="s">
        <v>1173</v>
      </c>
      <c r="E1164" s="57" t="s">
        <v>1830</v>
      </c>
      <c r="F1164" s="57" t="s">
        <v>509</v>
      </c>
      <c r="G1164" s="57" t="s">
        <v>1831</v>
      </c>
      <c r="H1164" s="57" t="s">
        <v>1174</v>
      </c>
      <c r="I1164" s="57" t="s">
        <v>1832</v>
      </c>
      <c r="J1164" s="57" t="s">
        <v>123</v>
      </c>
      <c r="K1164" s="57" t="s">
        <v>1484</v>
      </c>
      <c r="L1164" s="11" t="s">
        <v>914</v>
      </c>
      <c r="M1164" s="22">
        <v>1</v>
      </c>
      <c r="N1164" s="46">
        <v>3927786</v>
      </c>
      <c r="O1164" s="49">
        <f t="shared" si="25"/>
        <v>3927786</v>
      </c>
      <c r="P1164" s="5" t="s">
        <v>698</v>
      </c>
      <c r="Q1164" s="5" t="s">
        <v>1475</v>
      </c>
      <c r="R1164" s="11" t="s">
        <v>1175</v>
      </c>
      <c r="S1164" s="5">
        <v>10</v>
      </c>
    </row>
    <row r="1165" spans="1:19" ht="89.25" outlineLevel="1">
      <c r="A1165" s="5">
        <v>1150</v>
      </c>
      <c r="B1165" s="15" t="s">
        <v>710</v>
      </c>
      <c r="C1165" s="5" t="s">
        <v>597</v>
      </c>
      <c r="D1165" s="117" t="s">
        <v>915</v>
      </c>
      <c r="E1165" s="57" t="s">
        <v>1833</v>
      </c>
      <c r="F1165" s="57" t="s">
        <v>916</v>
      </c>
      <c r="G1165" s="57" t="s">
        <v>1834</v>
      </c>
      <c r="H1165" s="57" t="s">
        <v>917</v>
      </c>
      <c r="I1165" s="57" t="s">
        <v>1835</v>
      </c>
      <c r="J1165" s="57" t="s">
        <v>262</v>
      </c>
      <c r="K1165" s="57" t="s">
        <v>1484</v>
      </c>
      <c r="L1165" s="11" t="s">
        <v>914</v>
      </c>
      <c r="M1165" s="22">
        <v>1</v>
      </c>
      <c r="N1165" s="46">
        <f>O1165/M1165</f>
        <v>4907143</v>
      </c>
      <c r="O1165" s="49">
        <f>5357143-450000</f>
        <v>4907143</v>
      </c>
      <c r="P1165" s="5" t="s">
        <v>501</v>
      </c>
      <c r="Q1165" s="5" t="s">
        <v>3265</v>
      </c>
      <c r="R1165" s="11" t="s">
        <v>1175</v>
      </c>
      <c r="S1165" s="22">
        <v>30</v>
      </c>
    </row>
    <row r="1166" spans="1:19" ht="76.5" outlineLevel="1">
      <c r="A1166" s="5">
        <v>1151</v>
      </c>
      <c r="B1166" s="15" t="s">
        <v>710</v>
      </c>
      <c r="C1166" s="5" t="s">
        <v>597</v>
      </c>
      <c r="D1166" s="117" t="s">
        <v>1152</v>
      </c>
      <c r="E1166" s="57" t="s">
        <v>1836</v>
      </c>
      <c r="F1166" s="57" t="s">
        <v>1153</v>
      </c>
      <c r="G1166" s="57" t="s">
        <v>1837</v>
      </c>
      <c r="H1166" s="57" t="s">
        <v>1154</v>
      </c>
      <c r="I1166" s="57" t="s">
        <v>1838</v>
      </c>
      <c r="J1166" s="57" t="s">
        <v>260</v>
      </c>
      <c r="K1166" s="57" t="s">
        <v>591</v>
      </c>
      <c r="L1166" s="11" t="s">
        <v>914</v>
      </c>
      <c r="M1166" s="22">
        <v>1</v>
      </c>
      <c r="N1166" s="46">
        <v>312500</v>
      </c>
      <c r="O1166" s="49">
        <f t="shared" si="25"/>
        <v>312500</v>
      </c>
      <c r="P1166" s="5" t="s">
        <v>515</v>
      </c>
      <c r="Q1166" s="5" t="s">
        <v>766</v>
      </c>
      <c r="R1166" s="11" t="s">
        <v>1175</v>
      </c>
      <c r="S1166" s="22">
        <v>0</v>
      </c>
    </row>
    <row r="1167" spans="1:19" ht="51" outlineLevel="1">
      <c r="A1167" s="5">
        <v>1152</v>
      </c>
      <c r="B1167" s="15" t="s">
        <v>710</v>
      </c>
      <c r="C1167" s="5" t="s">
        <v>597</v>
      </c>
      <c r="D1167" s="5" t="s">
        <v>592</v>
      </c>
      <c r="E1167" s="57" t="s">
        <v>779</v>
      </c>
      <c r="F1167" s="57" t="s">
        <v>594</v>
      </c>
      <c r="G1167" s="57" t="s">
        <v>780</v>
      </c>
      <c r="H1167" s="57" t="s">
        <v>596</v>
      </c>
      <c r="I1167" s="57" t="s">
        <v>1532</v>
      </c>
      <c r="J1167" s="57" t="s">
        <v>261</v>
      </c>
      <c r="K1167" s="57" t="s">
        <v>591</v>
      </c>
      <c r="L1167" s="11" t="s">
        <v>914</v>
      </c>
      <c r="M1167" s="22">
        <v>1</v>
      </c>
      <c r="N1167" s="46">
        <f>O1167/M1167</f>
        <v>2607143</v>
      </c>
      <c r="O1167" s="49">
        <f>1607143+1000000</f>
        <v>2607143</v>
      </c>
      <c r="P1167" s="5" t="s">
        <v>502</v>
      </c>
      <c r="Q1167" s="5" t="s">
        <v>766</v>
      </c>
      <c r="R1167" s="11" t="s">
        <v>1175</v>
      </c>
      <c r="S1167" s="22">
        <v>0</v>
      </c>
    </row>
    <row r="1168" spans="1:19" ht="51">
      <c r="A1168" s="5">
        <v>1153</v>
      </c>
      <c r="B1168" s="15" t="s">
        <v>710</v>
      </c>
      <c r="C1168" s="5" t="s">
        <v>597</v>
      </c>
      <c r="D1168" s="5" t="s">
        <v>527</v>
      </c>
      <c r="E1168" s="57" t="s">
        <v>528</v>
      </c>
      <c r="F1168" s="57" t="s">
        <v>529</v>
      </c>
      <c r="G1168" s="57" t="s">
        <v>1839</v>
      </c>
      <c r="H1168" s="57" t="s">
        <v>531</v>
      </c>
      <c r="I1168" s="57" t="s">
        <v>1840</v>
      </c>
      <c r="J1168" s="57" t="s">
        <v>64</v>
      </c>
      <c r="K1168" s="57" t="s">
        <v>591</v>
      </c>
      <c r="L1168" s="11" t="s">
        <v>914</v>
      </c>
      <c r="M1168" s="22">
        <v>1</v>
      </c>
      <c r="N1168" s="46">
        <v>625000</v>
      </c>
      <c r="O1168" s="49">
        <f t="shared" si="25"/>
        <v>625000</v>
      </c>
      <c r="P1168" s="5" t="s">
        <v>502</v>
      </c>
      <c r="Q1168" s="5" t="s">
        <v>766</v>
      </c>
      <c r="R1168" s="11" t="s">
        <v>1175</v>
      </c>
      <c r="S1168" s="22">
        <v>0</v>
      </c>
    </row>
    <row r="1169" spans="1:19" s="37" customFormat="1" ht="51">
      <c r="A1169" s="5">
        <v>1154</v>
      </c>
      <c r="B1169" s="29" t="s">
        <v>710</v>
      </c>
      <c r="C1169" s="35" t="s">
        <v>597</v>
      </c>
      <c r="D1169" s="5" t="s">
        <v>527</v>
      </c>
      <c r="E1169" s="57" t="s">
        <v>528</v>
      </c>
      <c r="F1169" s="57" t="s">
        <v>529</v>
      </c>
      <c r="G1169" s="57" t="s">
        <v>1839</v>
      </c>
      <c r="H1169" s="57" t="s">
        <v>531</v>
      </c>
      <c r="I1169" s="57" t="s">
        <v>1840</v>
      </c>
      <c r="J1169" s="57" t="s">
        <v>64</v>
      </c>
      <c r="K1169" s="57" t="s">
        <v>591</v>
      </c>
      <c r="L1169" s="11" t="s">
        <v>914</v>
      </c>
      <c r="M1169" s="22">
        <v>1</v>
      </c>
      <c r="N1169" s="46">
        <v>267857</v>
      </c>
      <c r="O1169" s="49">
        <f t="shared" si="25"/>
        <v>267857</v>
      </c>
      <c r="P1169" s="5" t="s">
        <v>515</v>
      </c>
      <c r="Q1169" s="5" t="s">
        <v>766</v>
      </c>
      <c r="R1169" s="11" t="s">
        <v>2030</v>
      </c>
      <c r="S1169" s="22">
        <v>30</v>
      </c>
    </row>
    <row r="1170" spans="1:19" s="37" customFormat="1" ht="51">
      <c r="A1170" s="5">
        <v>1155</v>
      </c>
      <c r="B1170" s="15" t="s">
        <v>710</v>
      </c>
      <c r="C1170" s="5" t="s">
        <v>597</v>
      </c>
      <c r="D1170" s="5" t="s">
        <v>527</v>
      </c>
      <c r="E1170" s="57" t="s">
        <v>528</v>
      </c>
      <c r="F1170" s="57" t="s">
        <v>529</v>
      </c>
      <c r="G1170" s="57" t="s">
        <v>1839</v>
      </c>
      <c r="H1170" s="57" t="s">
        <v>531</v>
      </c>
      <c r="I1170" s="57" t="s">
        <v>1840</v>
      </c>
      <c r="J1170" s="57" t="s">
        <v>64</v>
      </c>
      <c r="K1170" s="57" t="s">
        <v>591</v>
      </c>
      <c r="L1170" s="11" t="s">
        <v>914</v>
      </c>
      <c r="M1170" s="22">
        <v>1</v>
      </c>
      <c r="N1170" s="46">
        <v>267857</v>
      </c>
      <c r="O1170" s="49">
        <f t="shared" si="25"/>
        <v>267857</v>
      </c>
      <c r="P1170" s="31" t="s">
        <v>391</v>
      </c>
      <c r="Q1170" s="5" t="s">
        <v>766</v>
      </c>
      <c r="R1170" s="11" t="s">
        <v>1021</v>
      </c>
      <c r="S1170" s="5">
        <v>30</v>
      </c>
    </row>
    <row r="1171" spans="1:19" s="37" customFormat="1" ht="51">
      <c r="A1171" s="5">
        <v>1156</v>
      </c>
      <c r="B1171" s="15" t="s">
        <v>710</v>
      </c>
      <c r="C1171" s="5" t="s">
        <v>597</v>
      </c>
      <c r="D1171" s="5" t="s">
        <v>527</v>
      </c>
      <c r="E1171" s="57" t="s">
        <v>528</v>
      </c>
      <c r="F1171" s="57" t="s">
        <v>529</v>
      </c>
      <c r="G1171" s="57" t="s">
        <v>1839</v>
      </c>
      <c r="H1171" s="57" t="s">
        <v>531</v>
      </c>
      <c r="I1171" s="57" t="s">
        <v>1840</v>
      </c>
      <c r="J1171" s="57" t="s">
        <v>64</v>
      </c>
      <c r="K1171" s="57" t="s">
        <v>591</v>
      </c>
      <c r="L1171" s="11" t="s">
        <v>914</v>
      </c>
      <c r="M1171" s="22">
        <v>1</v>
      </c>
      <c r="N1171" s="46">
        <f>O1171/M1171</f>
        <v>186357</v>
      </c>
      <c r="O1171" s="49">
        <f>267857-57500-24000</f>
        <v>186357</v>
      </c>
      <c r="P1171" s="5" t="s">
        <v>698</v>
      </c>
      <c r="Q1171" s="5" t="s">
        <v>766</v>
      </c>
      <c r="R1171" s="11" t="s">
        <v>789</v>
      </c>
      <c r="S1171" s="5">
        <v>30</v>
      </c>
    </row>
    <row r="1172" spans="1:19" s="37" customFormat="1" ht="38.25">
      <c r="A1172" s="5">
        <v>1157</v>
      </c>
      <c r="B1172" s="15" t="s">
        <v>710</v>
      </c>
      <c r="C1172" s="5" t="s">
        <v>597</v>
      </c>
      <c r="D1172" s="5" t="s">
        <v>527</v>
      </c>
      <c r="E1172" s="57" t="s">
        <v>528</v>
      </c>
      <c r="F1172" s="57" t="s">
        <v>529</v>
      </c>
      <c r="G1172" s="57" t="s">
        <v>1839</v>
      </c>
      <c r="H1172" s="57" t="s">
        <v>531</v>
      </c>
      <c r="I1172" s="57" t="s">
        <v>1840</v>
      </c>
      <c r="J1172" s="57" t="s">
        <v>64</v>
      </c>
      <c r="K1172" s="57" t="s">
        <v>591</v>
      </c>
      <c r="L1172" s="11" t="s">
        <v>914</v>
      </c>
      <c r="M1172" s="22">
        <v>1</v>
      </c>
      <c r="N1172" s="46">
        <v>267857</v>
      </c>
      <c r="O1172" s="49">
        <f t="shared" si="25"/>
        <v>267857</v>
      </c>
      <c r="P1172" s="5" t="s">
        <v>393</v>
      </c>
      <c r="Q1172" s="5" t="s">
        <v>393</v>
      </c>
      <c r="R1172" s="11" t="s">
        <v>2022</v>
      </c>
      <c r="S1172" s="22">
        <v>30</v>
      </c>
    </row>
    <row r="1173" spans="1:19" s="13" customFormat="1" ht="51">
      <c r="A1173" s="5">
        <v>1158</v>
      </c>
      <c r="B1173" s="15" t="s">
        <v>710</v>
      </c>
      <c r="C1173" s="5" t="s">
        <v>597</v>
      </c>
      <c r="D1173" s="5" t="s">
        <v>527</v>
      </c>
      <c r="E1173" s="57" t="s">
        <v>528</v>
      </c>
      <c r="F1173" s="57" t="s">
        <v>529</v>
      </c>
      <c r="G1173" s="57" t="s">
        <v>1839</v>
      </c>
      <c r="H1173" s="57" t="s">
        <v>531</v>
      </c>
      <c r="I1173" s="57" t="s">
        <v>1840</v>
      </c>
      <c r="J1173" s="57" t="s">
        <v>64</v>
      </c>
      <c r="K1173" s="57" t="s">
        <v>591</v>
      </c>
      <c r="L1173" s="11" t="s">
        <v>914</v>
      </c>
      <c r="M1173" s="22">
        <v>1</v>
      </c>
      <c r="N1173" s="46">
        <v>267857</v>
      </c>
      <c r="O1173" s="49">
        <f t="shared" si="25"/>
        <v>267857</v>
      </c>
      <c r="P1173" s="5" t="s">
        <v>515</v>
      </c>
      <c r="Q1173" s="5" t="s">
        <v>766</v>
      </c>
      <c r="R1173" s="11" t="s">
        <v>2023</v>
      </c>
      <c r="S1173" s="22">
        <v>50</v>
      </c>
    </row>
    <row r="1174" spans="1:19" ht="63.75">
      <c r="A1174" s="5">
        <v>1159</v>
      </c>
      <c r="B1174" s="15" t="s">
        <v>710</v>
      </c>
      <c r="C1174" s="5" t="s">
        <v>597</v>
      </c>
      <c r="D1174" s="5" t="s">
        <v>527</v>
      </c>
      <c r="E1174" s="57" t="s">
        <v>528</v>
      </c>
      <c r="F1174" s="57" t="s">
        <v>529</v>
      </c>
      <c r="G1174" s="57" t="s">
        <v>1839</v>
      </c>
      <c r="H1174" s="57" t="s">
        <v>531</v>
      </c>
      <c r="I1174" s="57" t="s">
        <v>1840</v>
      </c>
      <c r="J1174" s="57" t="s">
        <v>64</v>
      </c>
      <c r="K1174" s="57" t="s">
        <v>591</v>
      </c>
      <c r="L1174" s="11" t="s">
        <v>914</v>
      </c>
      <c r="M1174" s="22">
        <v>1</v>
      </c>
      <c r="N1174" s="46">
        <v>267857</v>
      </c>
      <c r="O1174" s="49">
        <f t="shared" si="25"/>
        <v>267857</v>
      </c>
      <c r="P1174" s="5" t="s">
        <v>391</v>
      </c>
      <c r="Q1174" s="5" t="s">
        <v>1051</v>
      </c>
      <c r="R1174" s="11" t="s">
        <v>633</v>
      </c>
      <c r="S1174" s="22">
        <v>0</v>
      </c>
    </row>
    <row r="1175" spans="1:19" s="34" customFormat="1" ht="51">
      <c r="A1175" s="5">
        <v>1160</v>
      </c>
      <c r="B1175" s="15" t="s">
        <v>710</v>
      </c>
      <c r="C1175" s="5" t="s">
        <v>597</v>
      </c>
      <c r="D1175" s="5" t="s">
        <v>527</v>
      </c>
      <c r="E1175" s="57" t="s">
        <v>528</v>
      </c>
      <c r="F1175" s="57" t="s">
        <v>529</v>
      </c>
      <c r="G1175" s="57" t="s">
        <v>1839</v>
      </c>
      <c r="H1175" s="57" t="s">
        <v>531</v>
      </c>
      <c r="I1175" s="57" t="s">
        <v>1840</v>
      </c>
      <c r="J1175" s="57" t="s">
        <v>64</v>
      </c>
      <c r="K1175" s="57" t="s">
        <v>591</v>
      </c>
      <c r="L1175" s="11" t="s">
        <v>914</v>
      </c>
      <c r="M1175" s="22">
        <v>1</v>
      </c>
      <c r="N1175" s="46">
        <v>267857</v>
      </c>
      <c r="O1175" s="49">
        <f t="shared" si="25"/>
        <v>267857</v>
      </c>
      <c r="P1175" s="5" t="s">
        <v>612</v>
      </c>
      <c r="Q1175" s="5" t="s">
        <v>766</v>
      </c>
      <c r="R1175" s="11">
        <v>311000000</v>
      </c>
      <c r="S1175" s="22">
        <v>30</v>
      </c>
    </row>
    <row r="1176" spans="1:19" s="38" customFormat="1" ht="51">
      <c r="A1176" s="5">
        <v>1161</v>
      </c>
      <c r="B1176" s="15" t="s">
        <v>710</v>
      </c>
      <c r="C1176" s="5" t="s">
        <v>597</v>
      </c>
      <c r="D1176" s="5" t="s">
        <v>527</v>
      </c>
      <c r="E1176" s="57" t="s">
        <v>528</v>
      </c>
      <c r="F1176" s="57" t="s">
        <v>529</v>
      </c>
      <c r="G1176" s="57" t="s">
        <v>1839</v>
      </c>
      <c r="H1176" s="57" t="s">
        <v>531</v>
      </c>
      <c r="I1176" s="57" t="s">
        <v>1840</v>
      </c>
      <c r="J1176" s="57" t="s">
        <v>64</v>
      </c>
      <c r="K1176" s="57" t="s">
        <v>591</v>
      </c>
      <c r="L1176" s="11" t="s">
        <v>914</v>
      </c>
      <c r="M1176" s="22">
        <v>1</v>
      </c>
      <c r="N1176" s="46">
        <v>267857</v>
      </c>
      <c r="O1176" s="49">
        <f t="shared" si="25"/>
        <v>267857</v>
      </c>
      <c r="P1176" s="5" t="s">
        <v>393</v>
      </c>
      <c r="Q1176" s="5" t="s">
        <v>766</v>
      </c>
      <c r="R1176" s="11" t="s">
        <v>2024</v>
      </c>
      <c r="S1176" s="5">
        <v>30</v>
      </c>
    </row>
    <row r="1177" spans="1:19" s="37" customFormat="1" ht="63.75">
      <c r="A1177" s="5">
        <v>1162</v>
      </c>
      <c r="B1177" s="15" t="s">
        <v>710</v>
      </c>
      <c r="C1177" s="5" t="s">
        <v>597</v>
      </c>
      <c r="D1177" s="5" t="s">
        <v>527</v>
      </c>
      <c r="E1177" s="57" t="s">
        <v>528</v>
      </c>
      <c r="F1177" s="57" t="s">
        <v>529</v>
      </c>
      <c r="G1177" s="57" t="s">
        <v>1839</v>
      </c>
      <c r="H1177" s="57" t="s">
        <v>531</v>
      </c>
      <c r="I1177" s="57" t="s">
        <v>1840</v>
      </c>
      <c r="J1177" s="57" t="s">
        <v>64</v>
      </c>
      <c r="K1177" s="57" t="s">
        <v>591</v>
      </c>
      <c r="L1177" s="11" t="s">
        <v>914</v>
      </c>
      <c r="M1177" s="22">
        <v>1</v>
      </c>
      <c r="N1177" s="46">
        <v>267857</v>
      </c>
      <c r="O1177" s="49">
        <f t="shared" si="25"/>
        <v>267857</v>
      </c>
      <c r="P1177" s="5" t="s">
        <v>391</v>
      </c>
      <c r="Q1177" s="5" t="s">
        <v>1051</v>
      </c>
      <c r="R1177" s="11">
        <v>351000000</v>
      </c>
      <c r="S1177" s="22">
        <v>0</v>
      </c>
    </row>
    <row r="1178" spans="1:19" ht="56.25" customHeight="1">
      <c r="A1178" s="5">
        <v>1163</v>
      </c>
      <c r="B1178" s="15" t="s">
        <v>710</v>
      </c>
      <c r="C1178" s="5" t="s">
        <v>597</v>
      </c>
      <c r="D1178" s="5" t="s">
        <v>527</v>
      </c>
      <c r="E1178" s="57" t="s">
        <v>528</v>
      </c>
      <c r="F1178" s="57" t="s">
        <v>529</v>
      </c>
      <c r="G1178" s="57" t="s">
        <v>1839</v>
      </c>
      <c r="H1178" s="57" t="s">
        <v>531</v>
      </c>
      <c r="I1178" s="57" t="s">
        <v>1840</v>
      </c>
      <c r="J1178" s="57" t="s">
        <v>64</v>
      </c>
      <c r="K1178" s="57" t="s">
        <v>591</v>
      </c>
      <c r="L1178" s="11" t="s">
        <v>914</v>
      </c>
      <c r="M1178" s="22">
        <v>1</v>
      </c>
      <c r="N1178" s="46">
        <v>267857</v>
      </c>
      <c r="O1178" s="49">
        <f t="shared" si="25"/>
        <v>267857</v>
      </c>
      <c r="P1178" s="5" t="s">
        <v>515</v>
      </c>
      <c r="Q1178" s="5" t="s">
        <v>766</v>
      </c>
      <c r="R1178" s="11" t="s">
        <v>925</v>
      </c>
      <c r="S1178" s="22">
        <v>50</v>
      </c>
    </row>
    <row r="1179" spans="1:19" s="37" customFormat="1" ht="38.25">
      <c r="A1179" s="5">
        <v>1164</v>
      </c>
      <c r="B1179" s="15" t="s">
        <v>710</v>
      </c>
      <c r="C1179" s="5" t="s">
        <v>597</v>
      </c>
      <c r="D1179" s="5" t="s">
        <v>527</v>
      </c>
      <c r="E1179" s="57" t="s">
        <v>528</v>
      </c>
      <c r="F1179" s="57" t="s">
        <v>529</v>
      </c>
      <c r="G1179" s="57" t="s">
        <v>1839</v>
      </c>
      <c r="H1179" s="57" t="s">
        <v>531</v>
      </c>
      <c r="I1179" s="57" t="s">
        <v>1840</v>
      </c>
      <c r="J1179" s="57" t="s">
        <v>64</v>
      </c>
      <c r="K1179" s="57" t="s">
        <v>591</v>
      </c>
      <c r="L1179" s="11" t="s">
        <v>914</v>
      </c>
      <c r="M1179" s="22">
        <v>1</v>
      </c>
      <c r="N1179" s="46">
        <v>267857</v>
      </c>
      <c r="O1179" s="49">
        <f t="shared" si="25"/>
        <v>267857</v>
      </c>
      <c r="P1179" s="5" t="s">
        <v>393</v>
      </c>
      <c r="Q1179" s="5" t="s">
        <v>394</v>
      </c>
      <c r="R1179" s="11">
        <v>431000000</v>
      </c>
      <c r="S1179" s="22">
        <v>0</v>
      </c>
    </row>
    <row r="1180" spans="1:19" s="37" customFormat="1" ht="38.25">
      <c r="A1180" s="5">
        <v>1165</v>
      </c>
      <c r="B1180" s="29" t="s">
        <v>710</v>
      </c>
      <c r="C1180" s="5" t="s">
        <v>597</v>
      </c>
      <c r="D1180" s="5" t="s">
        <v>527</v>
      </c>
      <c r="E1180" s="57" t="s">
        <v>528</v>
      </c>
      <c r="F1180" s="57" t="s">
        <v>529</v>
      </c>
      <c r="G1180" s="57" t="s">
        <v>1839</v>
      </c>
      <c r="H1180" s="57" t="s">
        <v>531</v>
      </c>
      <c r="I1180" s="57" t="s">
        <v>1840</v>
      </c>
      <c r="J1180" s="57" t="s">
        <v>64</v>
      </c>
      <c r="K1180" s="57" t="s">
        <v>591</v>
      </c>
      <c r="L1180" s="11" t="s">
        <v>914</v>
      </c>
      <c r="M1180" s="52">
        <v>1</v>
      </c>
      <c r="N1180" s="46">
        <v>267857</v>
      </c>
      <c r="O1180" s="49">
        <f t="shared" si="25"/>
        <v>267857</v>
      </c>
      <c r="P1180" s="5" t="s">
        <v>612</v>
      </c>
      <c r="Q1180" s="5" t="s">
        <v>501</v>
      </c>
      <c r="R1180" s="11" t="s">
        <v>715</v>
      </c>
      <c r="S1180" s="22">
        <v>0</v>
      </c>
    </row>
    <row r="1181" spans="1:19" s="32" customFormat="1" ht="66.75" customHeight="1">
      <c r="A1181" s="5">
        <v>1166</v>
      </c>
      <c r="B1181" s="15" t="s">
        <v>710</v>
      </c>
      <c r="C1181" s="5" t="s">
        <v>597</v>
      </c>
      <c r="D1181" s="5" t="s">
        <v>527</v>
      </c>
      <c r="E1181" s="57" t="s">
        <v>528</v>
      </c>
      <c r="F1181" s="57" t="s">
        <v>529</v>
      </c>
      <c r="G1181" s="57" t="s">
        <v>1839</v>
      </c>
      <c r="H1181" s="57" t="s">
        <v>531</v>
      </c>
      <c r="I1181" s="57" t="s">
        <v>1840</v>
      </c>
      <c r="J1181" s="57" t="s">
        <v>64</v>
      </c>
      <c r="K1181" s="57" t="s">
        <v>591</v>
      </c>
      <c r="L1181" s="11" t="s">
        <v>914</v>
      </c>
      <c r="M1181" s="22">
        <v>1</v>
      </c>
      <c r="N1181" s="46">
        <v>267857</v>
      </c>
      <c r="O1181" s="49">
        <f t="shared" si="25"/>
        <v>267857</v>
      </c>
      <c r="P1181" s="5" t="s">
        <v>612</v>
      </c>
      <c r="Q1181" s="5" t="s">
        <v>501</v>
      </c>
      <c r="R1181" s="11">
        <v>551000000</v>
      </c>
      <c r="S1181" s="22">
        <v>30</v>
      </c>
    </row>
    <row r="1182" spans="1:19" ht="38.25">
      <c r="A1182" s="5">
        <v>1167</v>
      </c>
      <c r="B1182" s="15" t="s">
        <v>941</v>
      </c>
      <c r="C1182" s="5" t="s">
        <v>597</v>
      </c>
      <c r="D1182" s="5" t="s">
        <v>527</v>
      </c>
      <c r="E1182" s="57" t="s">
        <v>528</v>
      </c>
      <c r="F1182" s="57" t="s">
        <v>529</v>
      </c>
      <c r="G1182" s="57" t="s">
        <v>1839</v>
      </c>
      <c r="H1182" s="57" t="s">
        <v>531</v>
      </c>
      <c r="I1182" s="57" t="s">
        <v>1840</v>
      </c>
      <c r="J1182" s="57" t="s">
        <v>64</v>
      </c>
      <c r="K1182" s="57" t="s">
        <v>591</v>
      </c>
      <c r="L1182" s="11" t="s">
        <v>914</v>
      </c>
      <c r="M1182" s="22">
        <v>1</v>
      </c>
      <c r="N1182" s="46">
        <v>267857</v>
      </c>
      <c r="O1182" s="49">
        <f t="shared" si="25"/>
        <v>267857</v>
      </c>
      <c r="P1182" s="5" t="s">
        <v>515</v>
      </c>
      <c r="Q1182" s="5" t="s">
        <v>612</v>
      </c>
      <c r="R1182" s="11">
        <v>591000000</v>
      </c>
      <c r="S1182" s="22">
        <v>100</v>
      </c>
    </row>
    <row r="1183" spans="1:19" ht="51">
      <c r="A1183" s="5">
        <v>1168</v>
      </c>
      <c r="B1183" s="15" t="s">
        <v>710</v>
      </c>
      <c r="C1183" s="5" t="s">
        <v>597</v>
      </c>
      <c r="D1183" s="5" t="s">
        <v>527</v>
      </c>
      <c r="E1183" s="57" t="s">
        <v>528</v>
      </c>
      <c r="F1183" s="57" t="s">
        <v>529</v>
      </c>
      <c r="G1183" s="57" t="s">
        <v>1839</v>
      </c>
      <c r="H1183" s="57" t="s">
        <v>531</v>
      </c>
      <c r="I1183" s="57" t="s">
        <v>1840</v>
      </c>
      <c r="J1183" s="57" t="s">
        <v>64</v>
      </c>
      <c r="K1183" s="57" t="s">
        <v>591</v>
      </c>
      <c r="L1183" s="11" t="s">
        <v>914</v>
      </c>
      <c r="M1183" s="22">
        <v>1</v>
      </c>
      <c r="N1183" s="46">
        <v>267857</v>
      </c>
      <c r="O1183" s="49">
        <f t="shared" si="25"/>
        <v>267857</v>
      </c>
      <c r="P1183" s="5" t="s">
        <v>515</v>
      </c>
      <c r="Q1183" s="5" t="s">
        <v>766</v>
      </c>
      <c r="R1183" s="11" t="s">
        <v>2029</v>
      </c>
      <c r="S1183" s="5">
        <v>30</v>
      </c>
    </row>
    <row r="1184" spans="1:19" ht="76.5" outlineLevel="1">
      <c r="A1184" s="5">
        <v>1169</v>
      </c>
      <c r="B1184" s="29" t="s">
        <v>710</v>
      </c>
      <c r="C1184" s="35" t="s">
        <v>597</v>
      </c>
      <c r="D1184" s="33" t="s">
        <v>532</v>
      </c>
      <c r="E1184" s="57" t="s">
        <v>533</v>
      </c>
      <c r="F1184" s="57" t="s">
        <v>534</v>
      </c>
      <c r="G1184" s="57" t="s">
        <v>533</v>
      </c>
      <c r="H1184" s="57" t="s">
        <v>534</v>
      </c>
      <c r="I1184" s="57" t="s">
        <v>2299</v>
      </c>
      <c r="J1184" s="57" t="s">
        <v>102</v>
      </c>
      <c r="K1184" s="57" t="s">
        <v>591</v>
      </c>
      <c r="L1184" s="11" t="s">
        <v>914</v>
      </c>
      <c r="M1184" s="22">
        <v>1</v>
      </c>
      <c r="N1184" s="46">
        <f>O1184/M1184</f>
        <v>0</v>
      </c>
      <c r="O1184" s="49">
        <f>178571-178571</f>
        <v>0</v>
      </c>
      <c r="P1184" s="5" t="s">
        <v>502</v>
      </c>
      <c r="Q1184" s="5" t="s">
        <v>766</v>
      </c>
      <c r="R1184" s="11" t="s">
        <v>2030</v>
      </c>
      <c r="S1184" s="22">
        <v>30</v>
      </c>
    </row>
    <row r="1185" spans="1:19" ht="76.5">
      <c r="A1185" s="5">
        <v>1170</v>
      </c>
      <c r="B1185" s="15" t="s">
        <v>710</v>
      </c>
      <c r="C1185" s="5" t="s">
        <v>597</v>
      </c>
      <c r="D1185" s="33" t="s">
        <v>532</v>
      </c>
      <c r="E1185" s="57" t="s">
        <v>533</v>
      </c>
      <c r="F1185" s="57" t="s">
        <v>534</v>
      </c>
      <c r="G1185" s="57" t="s">
        <v>533</v>
      </c>
      <c r="H1185" s="57" t="s">
        <v>534</v>
      </c>
      <c r="I1185" s="57" t="s">
        <v>2299</v>
      </c>
      <c r="J1185" s="57" t="s">
        <v>102</v>
      </c>
      <c r="K1185" s="57" t="s">
        <v>591</v>
      </c>
      <c r="L1185" s="11" t="s">
        <v>914</v>
      </c>
      <c r="M1185" s="22">
        <v>1</v>
      </c>
      <c r="N1185" s="46">
        <v>178571</v>
      </c>
      <c r="O1185" s="49">
        <f t="shared" si="25"/>
        <v>178571</v>
      </c>
      <c r="P1185" s="31" t="s">
        <v>515</v>
      </c>
      <c r="Q1185" s="5" t="s">
        <v>766</v>
      </c>
      <c r="R1185" s="11" t="s">
        <v>1021</v>
      </c>
      <c r="S1185" s="5">
        <v>30</v>
      </c>
    </row>
    <row r="1186" spans="1:19" ht="76.5">
      <c r="A1186" s="5">
        <v>1171</v>
      </c>
      <c r="B1186" s="15" t="s">
        <v>710</v>
      </c>
      <c r="C1186" s="5" t="s">
        <v>597</v>
      </c>
      <c r="D1186" s="33" t="s">
        <v>532</v>
      </c>
      <c r="E1186" s="57" t="s">
        <v>533</v>
      </c>
      <c r="F1186" s="57" t="s">
        <v>534</v>
      </c>
      <c r="G1186" s="57" t="s">
        <v>533</v>
      </c>
      <c r="H1186" s="57" t="s">
        <v>534</v>
      </c>
      <c r="I1186" s="57" t="s">
        <v>2299</v>
      </c>
      <c r="J1186" s="57" t="s">
        <v>102</v>
      </c>
      <c r="K1186" s="57" t="s">
        <v>591</v>
      </c>
      <c r="L1186" s="11" t="s">
        <v>914</v>
      </c>
      <c r="M1186" s="22">
        <v>1</v>
      </c>
      <c r="N1186" s="46">
        <f>O1186/M1186</f>
        <v>0</v>
      </c>
      <c r="O1186" s="49">
        <f>178571-178571</f>
        <v>0</v>
      </c>
      <c r="P1186" s="5" t="s">
        <v>588</v>
      </c>
      <c r="Q1186" s="5" t="s">
        <v>766</v>
      </c>
      <c r="R1186" s="11" t="s">
        <v>789</v>
      </c>
      <c r="S1186" s="5">
        <v>100</v>
      </c>
    </row>
    <row r="1187" spans="1:19" ht="76.5" outlineLevel="1">
      <c r="A1187" s="5">
        <v>1172</v>
      </c>
      <c r="B1187" s="15" t="s">
        <v>710</v>
      </c>
      <c r="C1187" s="5" t="s">
        <v>597</v>
      </c>
      <c r="D1187" s="33" t="s">
        <v>532</v>
      </c>
      <c r="E1187" s="57" t="s">
        <v>533</v>
      </c>
      <c r="F1187" s="57" t="s">
        <v>534</v>
      </c>
      <c r="G1187" s="57" t="s">
        <v>533</v>
      </c>
      <c r="H1187" s="57" t="s">
        <v>534</v>
      </c>
      <c r="I1187" s="57" t="s">
        <v>2299</v>
      </c>
      <c r="J1187" s="57" t="s">
        <v>102</v>
      </c>
      <c r="K1187" s="57" t="s">
        <v>591</v>
      </c>
      <c r="L1187" s="11" t="s">
        <v>914</v>
      </c>
      <c r="M1187" s="22">
        <v>1</v>
      </c>
      <c r="N1187" s="46">
        <v>178571</v>
      </c>
      <c r="O1187" s="49">
        <f t="shared" si="25"/>
        <v>178571</v>
      </c>
      <c r="P1187" s="5" t="s">
        <v>393</v>
      </c>
      <c r="Q1187" s="5" t="s">
        <v>766</v>
      </c>
      <c r="R1187" s="11" t="s">
        <v>2027</v>
      </c>
      <c r="S1187" s="22">
        <v>30</v>
      </c>
    </row>
    <row r="1188" spans="1:19" s="37" customFormat="1" ht="76.5">
      <c r="A1188" s="5">
        <v>1173</v>
      </c>
      <c r="B1188" s="15" t="s">
        <v>710</v>
      </c>
      <c r="C1188" s="5" t="s">
        <v>597</v>
      </c>
      <c r="D1188" s="33" t="s">
        <v>532</v>
      </c>
      <c r="E1188" s="57" t="s">
        <v>533</v>
      </c>
      <c r="F1188" s="57" t="s">
        <v>534</v>
      </c>
      <c r="G1188" s="57" t="s">
        <v>533</v>
      </c>
      <c r="H1188" s="57" t="s">
        <v>534</v>
      </c>
      <c r="I1188" s="57" t="s">
        <v>2299</v>
      </c>
      <c r="J1188" s="57" t="s">
        <v>102</v>
      </c>
      <c r="K1188" s="57" t="s">
        <v>591</v>
      </c>
      <c r="L1188" s="11" t="s">
        <v>914</v>
      </c>
      <c r="M1188" s="22">
        <v>1</v>
      </c>
      <c r="N1188" s="46">
        <f>O1188/M1188</f>
        <v>0</v>
      </c>
      <c r="O1188" s="49">
        <f>178571-178571</f>
        <v>0</v>
      </c>
      <c r="P1188" s="5" t="s">
        <v>391</v>
      </c>
      <c r="Q1188" s="5" t="s">
        <v>391</v>
      </c>
      <c r="R1188" s="11" t="s">
        <v>2022</v>
      </c>
      <c r="S1188" s="22">
        <v>30</v>
      </c>
    </row>
    <row r="1189" spans="1:19" s="13" customFormat="1" ht="76.5">
      <c r="A1189" s="5">
        <v>1174</v>
      </c>
      <c r="B1189" s="15" t="s">
        <v>710</v>
      </c>
      <c r="C1189" s="5" t="s">
        <v>597</v>
      </c>
      <c r="D1189" s="33" t="s">
        <v>532</v>
      </c>
      <c r="E1189" s="57" t="s">
        <v>533</v>
      </c>
      <c r="F1189" s="57" t="s">
        <v>534</v>
      </c>
      <c r="G1189" s="57" t="s">
        <v>533</v>
      </c>
      <c r="H1189" s="57" t="s">
        <v>534</v>
      </c>
      <c r="I1189" s="57" t="s">
        <v>2299</v>
      </c>
      <c r="J1189" s="57" t="s">
        <v>102</v>
      </c>
      <c r="K1189" s="57" t="s">
        <v>591</v>
      </c>
      <c r="L1189" s="11" t="s">
        <v>914</v>
      </c>
      <c r="M1189" s="22">
        <v>1</v>
      </c>
      <c r="N1189" s="46">
        <v>178571</v>
      </c>
      <c r="O1189" s="49">
        <f t="shared" si="25"/>
        <v>178571</v>
      </c>
      <c r="P1189" s="5" t="s">
        <v>612</v>
      </c>
      <c r="Q1189" s="5" t="s">
        <v>766</v>
      </c>
      <c r="R1189" s="11" t="s">
        <v>2023</v>
      </c>
      <c r="S1189" s="22">
        <v>50</v>
      </c>
    </row>
    <row r="1190" spans="1:19" ht="76.5" outlineLevel="1">
      <c r="A1190" s="5">
        <v>1175</v>
      </c>
      <c r="B1190" s="15" t="s">
        <v>710</v>
      </c>
      <c r="C1190" s="5" t="s">
        <v>597</v>
      </c>
      <c r="D1190" s="33" t="s">
        <v>532</v>
      </c>
      <c r="E1190" s="57" t="s">
        <v>533</v>
      </c>
      <c r="F1190" s="57" t="s">
        <v>534</v>
      </c>
      <c r="G1190" s="57" t="s">
        <v>533</v>
      </c>
      <c r="H1190" s="57" t="s">
        <v>534</v>
      </c>
      <c r="I1190" s="57" t="s">
        <v>2299</v>
      </c>
      <c r="J1190" s="57" t="s">
        <v>102</v>
      </c>
      <c r="K1190" s="57" t="s">
        <v>591</v>
      </c>
      <c r="L1190" s="11" t="s">
        <v>914</v>
      </c>
      <c r="M1190" s="22">
        <v>1</v>
      </c>
      <c r="N1190" s="46">
        <v>178571</v>
      </c>
      <c r="O1190" s="49">
        <f t="shared" si="25"/>
        <v>178571</v>
      </c>
      <c r="P1190" s="5" t="s">
        <v>391</v>
      </c>
      <c r="Q1190" s="5" t="s">
        <v>1051</v>
      </c>
      <c r="R1190" s="11" t="s">
        <v>633</v>
      </c>
      <c r="S1190" s="22">
        <v>0</v>
      </c>
    </row>
    <row r="1191" spans="1:19" ht="76.5" outlineLevel="1">
      <c r="A1191" s="5">
        <v>1176</v>
      </c>
      <c r="B1191" s="15" t="s">
        <v>710</v>
      </c>
      <c r="C1191" s="5" t="s">
        <v>597</v>
      </c>
      <c r="D1191" s="33" t="s">
        <v>532</v>
      </c>
      <c r="E1191" s="57" t="s">
        <v>533</v>
      </c>
      <c r="F1191" s="57" t="s">
        <v>534</v>
      </c>
      <c r="G1191" s="57" t="s">
        <v>533</v>
      </c>
      <c r="H1191" s="57" t="s">
        <v>534</v>
      </c>
      <c r="I1191" s="57" t="s">
        <v>2299</v>
      </c>
      <c r="J1191" s="57" t="s">
        <v>102</v>
      </c>
      <c r="K1191" s="57" t="s">
        <v>591</v>
      </c>
      <c r="L1191" s="11" t="s">
        <v>914</v>
      </c>
      <c r="M1191" s="22">
        <v>1</v>
      </c>
      <c r="N1191" s="46">
        <f>O1191/M1191</f>
        <v>28571</v>
      </c>
      <c r="O1191" s="49">
        <f>178571-150000</f>
        <v>28571</v>
      </c>
      <c r="P1191" s="5" t="s">
        <v>515</v>
      </c>
      <c r="Q1191" s="5" t="s">
        <v>766</v>
      </c>
      <c r="R1191" s="11">
        <v>311000000</v>
      </c>
      <c r="S1191" s="22">
        <v>30</v>
      </c>
    </row>
    <row r="1192" spans="1:19" s="38" customFormat="1" ht="76.5">
      <c r="A1192" s="5">
        <v>1177</v>
      </c>
      <c r="B1192" s="15" t="s">
        <v>710</v>
      </c>
      <c r="C1192" s="5" t="s">
        <v>597</v>
      </c>
      <c r="D1192" s="33" t="s">
        <v>532</v>
      </c>
      <c r="E1192" s="57" t="s">
        <v>533</v>
      </c>
      <c r="F1192" s="57" t="s">
        <v>534</v>
      </c>
      <c r="G1192" s="57" t="s">
        <v>533</v>
      </c>
      <c r="H1192" s="57" t="s">
        <v>534</v>
      </c>
      <c r="I1192" s="57" t="s">
        <v>2299</v>
      </c>
      <c r="J1192" s="57" t="s">
        <v>102</v>
      </c>
      <c r="K1192" s="57" t="s">
        <v>591</v>
      </c>
      <c r="L1192" s="11" t="s">
        <v>914</v>
      </c>
      <c r="M1192" s="22">
        <v>1</v>
      </c>
      <c r="N1192" s="46">
        <v>178571</v>
      </c>
      <c r="O1192" s="49">
        <f t="shared" si="25"/>
        <v>178571</v>
      </c>
      <c r="P1192" s="5" t="s">
        <v>393</v>
      </c>
      <c r="Q1192" s="5" t="s">
        <v>766</v>
      </c>
      <c r="R1192" s="11" t="s">
        <v>2024</v>
      </c>
      <c r="S1192" s="5">
        <v>30</v>
      </c>
    </row>
    <row r="1193" spans="1:19" s="37" customFormat="1" ht="76.5">
      <c r="A1193" s="5">
        <v>1178</v>
      </c>
      <c r="B1193" s="15" t="s">
        <v>710</v>
      </c>
      <c r="C1193" s="5" t="s">
        <v>597</v>
      </c>
      <c r="D1193" s="33" t="s">
        <v>532</v>
      </c>
      <c r="E1193" s="57" t="s">
        <v>533</v>
      </c>
      <c r="F1193" s="57" t="s">
        <v>534</v>
      </c>
      <c r="G1193" s="57" t="s">
        <v>533</v>
      </c>
      <c r="H1193" s="57" t="s">
        <v>534</v>
      </c>
      <c r="I1193" s="57" t="s">
        <v>2299</v>
      </c>
      <c r="J1193" s="57" t="s">
        <v>102</v>
      </c>
      <c r="K1193" s="57" t="s">
        <v>591</v>
      </c>
      <c r="L1193" s="11" t="s">
        <v>914</v>
      </c>
      <c r="M1193" s="22">
        <v>1</v>
      </c>
      <c r="N1193" s="46">
        <f>O1193/M1193</f>
        <v>0</v>
      </c>
      <c r="O1193" s="49">
        <f>178571-51429-83090-44052</f>
        <v>0</v>
      </c>
      <c r="P1193" s="5" t="s">
        <v>393</v>
      </c>
      <c r="Q1193" s="5" t="s">
        <v>766</v>
      </c>
      <c r="R1193" s="11">
        <v>351000000</v>
      </c>
      <c r="S1193" s="22">
        <v>30</v>
      </c>
    </row>
    <row r="1194" spans="1:19" ht="76.5">
      <c r="A1194" s="5">
        <v>1179</v>
      </c>
      <c r="B1194" s="15" t="s">
        <v>710</v>
      </c>
      <c r="C1194" s="5" t="s">
        <v>597</v>
      </c>
      <c r="D1194" s="33" t="s">
        <v>532</v>
      </c>
      <c r="E1194" s="57" t="s">
        <v>533</v>
      </c>
      <c r="F1194" s="57" t="s">
        <v>534</v>
      </c>
      <c r="G1194" s="57" t="s">
        <v>533</v>
      </c>
      <c r="H1194" s="57" t="s">
        <v>534</v>
      </c>
      <c r="I1194" s="57" t="s">
        <v>2299</v>
      </c>
      <c r="J1194" s="57" t="s">
        <v>102</v>
      </c>
      <c r="K1194" s="57" t="s">
        <v>591</v>
      </c>
      <c r="L1194" s="11" t="s">
        <v>914</v>
      </c>
      <c r="M1194" s="22">
        <v>1</v>
      </c>
      <c r="N1194" s="46">
        <f>O1194/M1194</f>
        <v>0</v>
      </c>
      <c r="O1194" s="49">
        <f>178571-178571</f>
        <v>0</v>
      </c>
      <c r="P1194" s="5" t="s">
        <v>699</v>
      </c>
      <c r="Q1194" s="5" t="s">
        <v>766</v>
      </c>
      <c r="R1194" s="11" t="s">
        <v>925</v>
      </c>
      <c r="S1194" s="22">
        <v>100</v>
      </c>
    </row>
    <row r="1195" spans="1:19" s="37" customFormat="1" ht="76.5">
      <c r="A1195" s="5">
        <v>1180</v>
      </c>
      <c r="B1195" s="15" t="s">
        <v>710</v>
      </c>
      <c r="C1195" s="5" t="s">
        <v>597</v>
      </c>
      <c r="D1195" s="33" t="s">
        <v>532</v>
      </c>
      <c r="E1195" s="57" t="s">
        <v>533</v>
      </c>
      <c r="F1195" s="57" t="s">
        <v>534</v>
      </c>
      <c r="G1195" s="57" t="s">
        <v>533</v>
      </c>
      <c r="H1195" s="57" t="s">
        <v>534</v>
      </c>
      <c r="I1195" s="57" t="s">
        <v>2299</v>
      </c>
      <c r="J1195" s="57" t="s">
        <v>102</v>
      </c>
      <c r="K1195" s="57" t="s">
        <v>591</v>
      </c>
      <c r="L1195" s="11" t="s">
        <v>914</v>
      </c>
      <c r="M1195" s="22">
        <v>1</v>
      </c>
      <c r="N1195" s="46">
        <f>O1195/M1195</f>
        <v>0</v>
      </c>
      <c r="O1195" s="49">
        <f>178571-178571</f>
        <v>0</v>
      </c>
      <c r="P1195" s="5" t="s">
        <v>393</v>
      </c>
      <c r="Q1195" s="5" t="s">
        <v>394</v>
      </c>
      <c r="R1195" s="11">
        <v>431000000</v>
      </c>
      <c r="S1195" s="22">
        <v>0</v>
      </c>
    </row>
    <row r="1196" spans="1:19" s="37" customFormat="1" ht="56.25" customHeight="1">
      <c r="A1196" s="5">
        <v>1181</v>
      </c>
      <c r="B1196" s="29" t="s">
        <v>710</v>
      </c>
      <c r="C1196" s="35" t="s">
        <v>597</v>
      </c>
      <c r="D1196" s="33" t="s">
        <v>532</v>
      </c>
      <c r="E1196" s="57" t="s">
        <v>533</v>
      </c>
      <c r="F1196" s="57" t="s">
        <v>534</v>
      </c>
      <c r="G1196" s="57" t="s">
        <v>533</v>
      </c>
      <c r="H1196" s="57" t="s">
        <v>534</v>
      </c>
      <c r="I1196" s="57" t="s">
        <v>2299</v>
      </c>
      <c r="J1196" s="57" t="s">
        <v>102</v>
      </c>
      <c r="K1196" s="57" t="s">
        <v>591</v>
      </c>
      <c r="L1196" s="11" t="s">
        <v>914</v>
      </c>
      <c r="M1196" s="52">
        <v>1</v>
      </c>
      <c r="N1196" s="46">
        <v>178571</v>
      </c>
      <c r="O1196" s="49">
        <f t="shared" si="25"/>
        <v>178571</v>
      </c>
      <c r="P1196" s="5" t="s">
        <v>393</v>
      </c>
      <c r="Q1196" s="5" t="s">
        <v>766</v>
      </c>
      <c r="R1196" s="11" t="s">
        <v>715</v>
      </c>
      <c r="S1196" s="22">
        <v>0</v>
      </c>
    </row>
    <row r="1197" spans="1:19" s="32" customFormat="1" ht="76.5">
      <c r="A1197" s="5">
        <v>1182</v>
      </c>
      <c r="B1197" s="15" t="s">
        <v>710</v>
      </c>
      <c r="C1197" s="5" t="s">
        <v>597</v>
      </c>
      <c r="D1197" s="33" t="s">
        <v>532</v>
      </c>
      <c r="E1197" s="57" t="s">
        <v>533</v>
      </c>
      <c r="F1197" s="57" t="s">
        <v>534</v>
      </c>
      <c r="G1197" s="57" t="s">
        <v>533</v>
      </c>
      <c r="H1197" s="57" t="s">
        <v>534</v>
      </c>
      <c r="I1197" s="57" t="s">
        <v>2299</v>
      </c>
      <c r="J1197" s="57" t="s">
        <v>102</v>
      </c>
      <c r="K1197" s="57" t="s">
        <v>591</v>
      </c>
      <c r="L1197" s="11" t="s">
        <v>914</v>
      </c>
      <c r="M1197" s="22">
        <v>1</v>
      </c>
      <c r="N1197" s="46">
        <f>O1197/M1197</f>
        <v>0</v>
      </c>
      <c r="O1197" s="49">
        <f>178571-178571</f>
        <v>0</v>
      </c>
      <c r="P1197" s="5" t="s">
        <v>393</v>
      </c>
      <c r="Q1197" s="5" t="s">
        <v>766</v>
      </c>
      <c r="R1197" s="11">
        <v>551000000</v>
      </c>
      <c r="S1197" s="22">
        <v>30</v>
      </c>
    </row>
    <row r="1198" spans="1:19" s="37" customFormat="1" ht="76.5">
      <c r="A1198" s="5">
        <v>1183</v>
      </c>
      <c r="B1198" s="15" t="s">
        <v>941</v>
      </c>
      <c r="C1198" s="5" t="s">
        <v>597</v>
      </c>
      <c r="D1198" s="33" t="s">
        <v>532</v>
      </c>
      <c r="E1198" s="57" t="s">
        <v>533</v>
      </c>
      <c r="F1198" s="57" t="s">
        <v>534</v>
      </c>
      <c r="G1198" s="57" t="s">
        <v>533</v>
      </c>
      <c r="H1198" s="57" t="s">
        <v>534</v>
      </c>
      <c r="I1198" s="57" t="s">
        <v>2299</v>
      </c>
      <c r="J1198" s="57" t="s">
        <v>102</v>
      </c>
      <c r="K1198" s="57" t="s">
        <v>591</v>
      </c>
      <c r="L1198" s="11" t="s">
        <v>914</v>
      </c>
      <c r="M1198" s="22">
        <v>1</v>
      </c>
      <c r="N1198" s="46">
        <v>178571</v>
      </c>
      <c r="O1198" s="49">
        <f t="shared" si="25"/>
        <v>178571</v>
      </c>
      <c r="P1198" s="5" t="s">
        <v>506</v>
      </c>
      <c r="Q1198" s="5" t="s">
        <v>586</v>
      </c>
      <c r="R1198" s="11">
        <v>591000000</v>
      </c>
      <c r="S1198" s="22">
        <v>30</v>
      </c>
    </row>
    <row r="1199" spans="1:19" s="37" customFormat="1" ht="76.5">
      <c r="A1199" s="5">
        <v>1184</v>
      </c>
      <c r="B1199" s="15" t="s">
        <v>710</v>
      </c>
      <c r="C1199" s="5" t="s">
        <v>597</v>
      </c>
      <c r="D1199" s="33" t="s">
        <v>532</v>
      </c>
      <c r="E1199" s="57" t="s">
        <v>533</v>
      </c>
      <c r="F1199" s="57" t="s">
        <v>534</v>
      </c>
      <c r="G1199" s="57" t="s">
        <v>533</v>
      </c>
      <c r="H1199" s="57" t="s">
        <v>534</v>
      </c>
      <c r="I1199" s="57" t="s">
        <v>2299</v>
      </c>
      <c r="J1199" s="57" t="s">
        <v>102</v>
      </c>
      <c r="K1199" s="57" t="s">
        <v>591</v>
      </c>
      <c r="L1199" s="11" t="s">
        <v>914</v>
      </c>
      <c r="M1199" s="22">
        <v>1</v>
      </c>
      <c r="N1199" s="46">
        <v>178571</v>
      </c>
      <c r="O1199" s="49">
        <f t="shared" si="25"/>
        <v>178571</v>
      </c>
      <c r="P1199" s="5" t="s">
        <v>506</v>
      </c>
      <c r="Q1199" s="5" t="s">
        <v>506</v>
      </c>
      <c r="R1199" s="11" t="s">
        <v>2029</v>
      </c>
      <c r="S1199" s="5">
        <v>30</v>
      </c>
    </row>
    <row r="1200" spans="1:19" ht="51">
      <c r="A1200" s="5">
        <v>1185</v>
      </c>
      <c r="B1200" s="15" t="s">
        <v>710</v>
      </c>
      <c r="C1200" s="5" t="s">
        <v>597</v>
      </c>
      <c r="D1200" s="5" t="s">
        <v>535</v>
      </c>
      <c r="E1200" s="57" t="s">
        <v>536</v>
      </c>
      <c r="F1200" s="57" t="s">
        <v>537</v>
      </c>
      <c r="G1200" s="57" t="s">
        <v>538</v>
      </c>
      <c r="H1200" s="57" t="s">
        <v>539</v>
      </c>
      <c r="I1200" s="57" t="s">
        <v>1531</v>
      </c>
      <c r="J1200" s="57" t="s">
        <v>80</v>
      </c>
      <c r="K1200" s="57" t="s">
        <v>591</v>
      </c>
      <c r="L1200" s="11" t="s">
        <v>914</v>
      </c>
      <c r="M1200" s="22">
        <v>1</v>
      </c>
      <c r="N1200" s="46">
        <v>1339286</v>
      </c>
      <c r="O1200" s="49">
        <f t="shared" si="25"/>
        <v>1339286</v>
      </c>
      <c r="P1200" s="5" t="s">
        <v>393</v>
      </c>
      <c r="Q1200" s="5" t="s">
        <v>766</v>
      </c>
      <c r="R1200" s="11" t="s">
        <v>1175</v>
      </c>
      <c r="S1200" s="22">
        <v>0</v>
      </c>
    </row>
    <row r="1201" spans="1:19" s="37" customFormat="1" ht="51">
      <c r="A1201" s="5">
        <v>1186</v>
      </c>
      <c r="B1201" s="29" t="s">
        <v>710</v>
      </c>
      <c r="C1201" s="35" t="s">
        <v>597</v>
      </c>
      <c r="D1201" s="5" t="s">
        <v>535</v>
      </c>
      <c r="E1201" s="57" t="s">
        <v>536</v>
      </c>
      <c r="F1201" s="57" t="s">
        <v>537</v>
      </c>
      <c r="G1201" s="57" t="s">
        <v>538</v>
      </c>
      <c r="H1201" s="57" t="s">
        <v>539</v>
      </c>
      <c r="I1201" s="57" t="s">
        <v>1531</v>
      </c>
      <c r="J1201" s="57" t="s">
        <v>80</v>
      </c>
      <c r="K1201" s="57" t="s">
        <v>591</v>
      </c>
      <c r="L1201" s="11" t="s">
        <v>914</v>
      </c>
      <c r="M1201" s="22">
        <v>1</v>
      </c>
      <c r="N1201" s="46">
        <v>89880</v>
      </c>
      <c r="O1201" s="49">
        <f t="shared" si="25"/>
        <v>89880</v>
      </c>
      <c r="P1201" s="5" t="s">
        <v>391</v>
      </c>
      <c r="Q1201" s="5" t="s">
        <v>766</v>
      </c>
      <c r="R1201" s="11" t="s">
        <v>2030</v>
      </c>
      <c r="S1201" s="22">
        <v>100</v>
      </c>
    </row>
    <row r="1202" spans="1:19" s="37" customFormat="1" ht="51">
      <c r="A1202" s="5">
        <v>1187</v>
      </c>
      <c r="B1202" s="15" t="s">
        <v>710</v>
      </c>
      <c r="C1202" s="5" t="s">
        <v>597</v>
      </c>
      <c r="D1202" s="5" t="s">
        <v>535</v>
      </c>
      <c r="E1202" s="57" t="s">
        <v>536</v>
      </c>
      <c r="F1202" s="57" t="s">
        <v>537</v>
      </c>
      <c r="G1202" s="57" t="s">
        <v>538</v>
      </c>
      <c r="H1202" s="57" t="s">
        <v>539</v>
      </c>
      <c r="I1202" s="57" t="s">
        <v>1531</v>
      </c>
      <c r="J1202" s="57" t="s">
        <v>80</v>
      </c>
      <c r="K1202" s="57" t="s">
        <v>591</v>
      </c>
      <c r="L1202" s="11" t="s">
        <v>914</v>
      </c>
      <c r="M1202" s="22">
        <v>1</v>
      </c>
      <c r="N1202" s="46">
        <v>128571</v>
      </c>
      <c r="O1202" s="49">
        <f t="shared" si="25"/>
        <v>128571</v>
      </c>
      <c r="P1202" s="5" t="s">
        <v>393</v>
      </c>
      <c r="Q1202" s="5" t="s">
        <v>766</v>
      </c>
      <c r="R1202" s="11" t="s">
        <v>1021</v>
      </c>
      <c r="S1202" s="5">
        <v>100</v>
      </c>
    </row>
    <row r="1203" spans="1:19" s="37" customFormat="1" ht="51">
      <c r="A1203" s="5">
        <v>1188</v>
      </c>
      <c r="B1203" s="15" t="s">
        <v>710</v>
      </c>
      <c r="C1203" s="5" t="s">
        <v>597</v>
      </c>
      <c r="D1203" s="5" t="s">
        <v>535</v>
      </c>
      <c r="E1203" s="57" t="s">
        <v>536</v>
      </c>
      <c r="F1203" s="57" t="s">
        <v>537</v>
      </c>
      <c r="G1203" s="57" t="s">
        <v>538</v>
      </c>
      <c r="H1203" s="57" t="s">
        <v>539</v>
      </c>
      <c r="I1203" s="57" t="s">
        <v>1531</v>
      </c>
      <c r="J1203" s="57" t="s">
        <v>80</v>
      </c>
      <c r="K1203" s="57" t="s">
        <v>591</v>
      </c>
      <c r="L1203" s="11" t="s">
        <v>914</v>
      </c>
      <c r="M1203" s="22">
        <v>1</v>
      </c>
      <c r="N1203" s="46">
        <v>160714</v>
      </c>
      <c r="O1203" s="49">
        <f t="shared" si="25"/>
        <v>160714</v>
      </c>
      <c r="P1203" s="5" t="s">
        <v>699</v>
      </c>
      <c r="Q1203" s="5" t="s">
        <v>766</v>
      </c>
      <c r="R1203" s="11" t="s">
        <v>789</v>
      </c>
      <c r="S1203" s="5">
        <v>100</v>
      </c>
    </row>
    <row r="1204" spans="1:19" s="37" customFormat="1" ht="51">
      <c r="A1204" s="5">
        <v>1189</v>
      </c>
      <c r="B1204" s="15" t="s">
        <v>710</v>
      </c>
      <c r="C1204" s="5" t="s">
        <v>597</v>
      </c>
      <c r="D1204" s="5" t="s">
        <v>535</v>
      </c>
      <c r="E1204" s="57" t="s">
        <v>536</v>
      </c>
      <c r="F1204" s="57" t="s">
        <v>537</v>
      </c>
      <c r="G1204" s="57" t="s">
        <v>538</v>
      </c>
      <c r="H1204" s="57" t="s">
        <v>539</v>
      </c>
      <c r="I1204" s="57" t="s">
        <v>1531</v>
      </c>
      <c r="J1204" s="57" t="s">
        <v>80</v>
      </c>
      <c r="K1204" s="57" t="s">
        <v>591</v>
      </c>
      <c r="L1204" s="11" t="s">
        <v>914</v>
      </c>
      <c r="M1204" s="22">
        <v>1</v>
      </c>
      <c r="N1204" s="46">
        <f>O1204/M1204</f>
        <v>310714</v>
      </c>
      <c r="O1204" s="49">
        <f>160714+150000</f>
        <v>310714</v>
      </c>
      <c r="P1204" s="5" t="s">
        <v>393</v>
      </c>
      <c r="Q1204" s="5" t="s">
        <v>766</v>
      </c>
      <c r="R1204" s="11" t="s">
        <v>2022</v>
      </c>
      <c r="S1204" s="22">
        <v>0</v>
      </c>
    </row>
    <row r="1205" spans="1:19" s="37" customFormat="1" ht="51">
      <c r="A1205" s="5">
        <v>1190</v>
      </c>
      <c r="B1205" s="15" t="s">
        <v>710</v>
      </c>
      <c r="C1205" s="5" t="s">
        <v>597</v>
      </c>
      <c r="D1205" s="5" t="s">
        <v>535</v>
      </c>
      <c r="E1205" s="57" t="s">
        <v>536</v>
      </c>
      <c r="F1205" s="57" t="s">
        <v>537</v>
      </c>
      <c r="G1205" s="57" t="s">
        <v>538</v>
      </c>
      <c r="H1205" s="57" t="s">
        <v>539</v>
      </c>
      <c r="I1205" s="57" t="s">
        <v>1531</v>
      </c>
      <c r="J1205" s="57" t="s">
        <v>80</v>
      </c>
      <c r="K1205" s="57" t="s">
        <v>591</v>
      </c>
      <c r="L1205" s="11" t="s">
        <v>914</v>
      </c>
      <c r="M1205" s="22">
        <v>1</v>
      </c>
      <c r="N1205" s="46">
        <v>312500</v>
      </c>
      <c r="O1205" s="49">
        <f t="shared" si="25"/>
        <v>312500</v>
      </c>
      <c r="P1205" s="5" t="s">
        <v>393</v>
      </c>
      <c r="Q1205" s="5" t="s">
        <v>766</v>
      </c>
      <c r="R1205" s="11" t="s">
        <v>2027</v>
      </c>
      <c r="S1205" s="22">
        <v>100</v>
      </c>
    </row>
    <row r="1206" spans="1:19" s="13" customFormat="1" ht="51">
      <c r="A1206" s="5">
        <v>1191</v>
      </c>
      <c r="B1206" s="15" t="s">
        <v>710</v>
      </c>
      <c r="C1206" s="5" t="s">
        <v>597</v>
      </c>
      <c r="D1206" s="5" t="s">
        <v>535</v>
      </c>
      <c r="E1206" s="57" t="s">
        <v>536</v>
      </c>
      <c r="F1206" s="57" t="s">
        <v>537</v>
      </c>
      <c r="G1206" s="57" t="s">
        <v>538</v>
      </c>
      <c r="H1206" s="57" t="s">
        <v>539</v>
      </c>
      <c r="I1206" s="57" t="s">
        <v>1531</v>
      </c>
      <c r="J1206" s="57" t="s">
        <v>80</v>
      </c>
      <c r="K1206" s="57" t="s">
        <v>591</v>
      </c>
      <c r="L1206" s="11" t="s">
        <v>914</v>
      </c>
      <c r="M1206" s="22">
        <v>1</v>
      </c>
      <c r="N1206" s="46">
        <v>107143</v>
      </c>
      <c r="O1206" s="49">
        <f t="shared" si="25"/>
        <v>107143</v>
      </c>
      <c r="P1206" s="5" t="s">
        <v>393</v>
      </c>
      <c r="Q1206" s="5" t="s">
        <v>766</v>
      </c>
      <c r="R1206" s="11" t="s">
        <v>2023</v>
      </c>
      <c r="S1206" s="22">
        <v>100</v>
      </c>
    </row>
    <row r="1207" spans="1:19" ht="51">
      <c r="A1207" s="5">
        <v>1192</v>
      </c>
      <c r="B1207" s="15" t="s">
        <v>710</v>
      </c>
      <c r="C1207" s="5" t="s">
        <v>597</v>
      </c>
      <c r="D1207" s="5" t="s">
        <v>535</v>
      </c>
      <c r="E1207" s="57" t="s">
        <v>536</v>
      </c>
      <c r="F1207" s="57" t="s">
        <v>537</v>
      </c>
      <c r="G1207" s="57" t="s">
        <v>538</v>
      </c>
      <c r="H1207" s="57" t="s">
        <v>539</v>
      </c>
      <c r="I1207" s="57" t="s">
        <v>1531</v>
      </c>
      <c r="J1207" s="57" t="s">
        <v>80</v>
      </c>
      <c r="K1207" s="57" t="s">
        <v>591</v>
      </c>
      <c r="L1207" s="11" t="s">
        <v>914</v>
      </c>
      <c r="M1207" s="22">
        <v>1</v>
      </c>
      <c r="N1207" s="46">
        <v>250000</v>
      </c>
      <c r="O1207" s="49">
        <f t="shared" si="25"/>
        <v>250000</v>
      </c>
      <c r="P1207" s="5" t="s">
        <v>393</v>
      </c>
      <c r="Q1207" s="5" t="s">
        <v>766</v>
      </c>
      <c r="R1207" s="11" t="s">
        <v>633</v>
      </c>
      <c r="S1207" s="22">
        <v>100</v>
      </c>
    </row>
    <row r="1208" spans="1:19" s="34" customFormat="1" ht="51">
      <c r="A1208" s="5">
        <v>1193</v>
      </c>
      <c r="B1208" s="15" t="s">
        <v>710</v>
      </c>
      <c r="C1208" s="5" t="s">
        <v>597</v>
      </c>
      <c r="D1208" s="5" t="s">
        <v>535</v>
      </c>
      <c r="E1208" s="57" t="s">
        <v>536</v>
      </c>
      <c r="F1208" s="57" t="s">
        <v>537</v>
      </c>
      <c r="G1208" s="57" t="s">
        <v>538</v>
      </c>
      <c r="H1208" s="57" t="s">
        <v>539</v>
      </c>
      <c r="I1208" s="57" t="s">
        <v>1531</v>
      </c>
      <c r="J1208" s="57" t="s">
        <v>80</v>
      </c>
      <c r="K1208" s="57" t="s">
        <v>591</v>
      </c>
      <c r="L1208" s="11" t="s">
        <v>914</v>
      </c>
      <c r="M1208" s="22">
        <v>1</v>
      </c>
      <c r="N1208" s="46">
        <v>223214</v>
      </c>
      <c r="O1208" s="49">
        <f t="shared" si="25"/>
        <v>223214</v>
      </c>
      <c r="P1208" s="5" t="s">
        <v>393</v>
      </c>
      <c r="Q1208" s="5" t="s">
        <v>766</v>
      </c>
      <c r="R1208" s="11">
        <v>311000000</v>
      </c>
      <c r="S1208" s="22">
        <v>0</v>
      </c>
    </row>
    <row r="1209" spans="1:19" s="38" customFormat="1" ht="51">
      <c r="A1209" s="5">
        <v>1194</v>
      </c>
      <c r="B1209" s="15" t="s">
        <v>710</v>
      </c>
      <c r="C1209" s="5" t="s">
        <v>597</v>
      </c>
      <c r="D1209" s="5" t="s">
        <v>535</v>
      </c>
      <c r="E1209" s="57" t="s">
        <v>536</v>
      </c>
      <c r="F1209" s="57" t="s">
        <v>537</v>
      </c>
      <c r="G1209" s="57" t="s">
        <v>538</v>
      </c>
      <c r="H1209" s="57" t="s">
        <v>539</v>
      </c>
      <c r="I1209" s="57" t="s">
        <v>1531</v>
      </c>
      <c r="J1209" s="57" t="s">
        <v>80</v>
      </c>
      <c r="K1209" s="57" t="s">
        <v>591</v>
      </c>
      <c r="L1209" s="11" t="s">
        <v>914</v>
      </c>
      <c r="M1209" s="22">
        <v>1</v>
      </c>
      <c r="N1209" s="46">
        <f>O1209/M1209</f>
        <v>41629</v>
      </c>
      <c r="O1209" s="49">
        <f>21429+20200</f>
        <v>41629</v>
      </c>
      <c r="P1209" s="5" t="s">
        <v>393</v>
      </c>
      <c r="Q1209" s="5" t="s">
        <v>766</v>
      </c>
      <c r="R1209" s="11" t="s">
        <v>2024</v>
      </c>
      <c r="S1209" s="5">
        <v>30</v>
      </c>
    </row>
    <row r="1210" spans="1:19" s="37" customFormat="1" ht="51">
      <c r="A1210" s="5">
        <v>1195</v>
      </c>
      <c r="B1210" s="15" t="s">
        <v>710</v>
      </c>
      <c r="C1210" s="5" t="s">
        <v>597</v>
      </c>
      <c r="D1210" s="5" t="s">
        <v>535</v>
      </c>
      <c r="E1210" s="57" t="s">
        <v>536</v>
      </c>
      <c r="F1210" s="57" t="s">
        <v>537</v>
      </c>
      <c r="G1210" s="57" t="s">
        <v>538</v>
      </c>
      <c r="H1210" s="57" t="s">
        <v>539</v>
      </c>
      <c r="I1210" s="57" t="s">
        <v>1531</v>
      </c>
      <c r="J1210" s="57" t="s">
        <v>80</v>
      </c>
      <c r="K1210" s="57" t="s">
        <v>591</v>
      </c>
      <c r="L1210" s="11" t="s">
        <v>914</v>
      </c>
      <c r="M1210" s="22">
        <v>1</v>
      </c>
      <c r="N1210" s="46">
        <v>71429</v>
      </c>
      <c r="O1210" s="49">
        <f t="shared" si="25"/>
        <v>71429</v>
      </c>
      <c r="P1210" s="5" t="s">
        <v>393</v>
      </c>
      <c r="Q1210" s="5" t="s">
        <v>766</v>
      </c>
      <c r="R1210" s="11">
        <v>351000000</v>
      </c>
      <c r="S1210" s="22">
        <v>100</v>
      </c>
    </row>
    <row r="1211" spans="1:19" ht="51">
      <c r="A1211" s="5">
        <v>1196</v>
      </c>
      <c r="B1211" s="15" t="s">
        <v>710</v>
      </c>
      <c r="C1211" s="5" t="s">
        <v>597</v>
      </c>
      <c r="D1211" s="5" t="s">
        <v>535</v>
      </c>
      <c r="E1211" s="57" t="s">
        <v>536</v>
      </c>
      <c r="F1211" s="57" t="s">
        <v>537</v>
      </c>
      <c r="G1211" s="57" t="s">
        <v>538</v>
      </c>
      <c r="H1211" s="57" t="s">
        <v>539</v>
      </c>
      <c r="I1211" s="57" t="s">
        <v>1531</v>
      </c>
      <c r="J1211" s="57" t="s">
        <v>80</v>
      </c>
      <c r="K1211" s="57" t="s">
        <v>591</v>
      </c>
      <c r="L1211" s="11" t="s">
        <v>914</v>
      </c>
      <c r="M1211" s="22">
        <v>1</v>
      </c>
      <c r="N1211" s="46">
        <v>89286</v>
      </c>
      <c r="O1211" s="49">
        <f t="shared" si="25"/>
        <v>89286</v>
      </c>
      <c r="P1211" s="5" t="s">
        <v>393</v>
      </c>
      <c r="Q1211" s="5" t="s">
        <v>766</v>
      </c>
      <c r="R1211" s="11" t="s">
        <v>925</v>
      </c>
      <c r="S1211" s="22">
        <v>0</v>
      </c>
    </row>
    <row r="1212" spans="1:19" s="37" customFormat="1" ht="51">
      <c r="A1212" s="5">
        <v>1197</v>
      </c>
      <c r="B1212" s="15" t="s">
        <v>710</v>
      </c>
      <c r="C1212" s="5" t="s">
        <v>597</v>
      </c>
      <c r="D1212" s="5" t="s">
        <v>535</v>
      </c>
      <c r="E1212" s="57" t="s">
        <v>536</v>
      </c>
      <c r="F1212" s="57" t="s">
        <v>537</v>
      </c>
      <c r="G1212" s="57" t="s">
        <v>538</v>
      </c>
      <c r="H1212" s="57" t="s">
        <v>539</v>
      </c>
      <c r="I1212" s="57" t="s">
        <v>1531</v>
      </c>
      <c r="J1212" s="57" t="s">
        <v>80</v>
      </c>
      <c r="K1212" s="57" t="s">
        <v>591</v>
      </c>
      <c r="L1212" s="11" t="s">
        <v>914</v>
      </c>
      <c r="M1212" s="22">
        <v>1</v>
      </c>
      <c r="N1212" s="46">
        <v>107143</v>
      </c>
      <c r="O1212" s="49">
        <f t="shared" si="25"/>
        <v>107143</v>
      </c>
      <c r="P1212" s="5" t="s">
        <v>393</v>
      </c>
      <c r="Q1212" s="5" t="s">
        <v>766</v>
      </c>
      <c r="R1212" s="11">
        <v>431000000</v>
      </c>
      <c r="S1212" s="22">
        <v>0</v>
      </c>
    </row>
    <row r="1213" spans="1:19" s="37" customFormat="1" ht="51">
      <c r="A1213" s="5">
        <v>1198</v>
      </c>
      <c r="B1213" s="29" t="s">
        <v>710</v>
      </c>
      <c r="C1213" s="35" t="s">
        <v>597</v>
      </c>
      <c r="D1213" s="5" t="s">
        <v>535</v>
      </c>
      <c r="E1213" s="57" t="s">
        <v>536</v>
      </c>
      <c r="F1213" s="57" t="s">
        <v>537</v>
      </c>
      <c r="G1213" s="57" t="s">
        <v>538</v>
      </c>
      <c r="H1213" s="57" t="s">
        <v>539</v>
      </c>
      <c r="I1213" s="57" t="s">
        <v>1531</v>
      </c>
      <c r="J1213" s="57" t="s">
        <v>80</v>
      </c>
      <c r="K1213" s="57" t="s">
        <v>591</v>
      </c>
      <c r="L1213" s="11" t="s">
        <v>914</v>
      </c>
      <c r="M1213" s="52">
        <v>1</v>
      </c>
      <c r="N1213" s="46">
        <v>53571</v>
      </c>
      <c r="O1213" s="49">
        <f t="shared" si="25"/>
        <v>53571</v>
      </c>
      <c r="P1213" s="5" t="s">
        <v>393</v>
      </c>
      <c r="Q1213" s="5" t="s">
        <v>766</v>
      </c>
      <c r="R1213" s="11" t="s">
        <v>715</v>
      </c>
      <c r="S1213" s="22">
        <v>100</v>
      </c>
    </row>
    <row r="1214" spans="1:19" s="32" customFormat="1" ht="57.75" customHeight="1">
      <c r="A1214" s="5">
        <v>1199</v>
      </c>
      <c r="B1214" s="15" t="s">
        <v>710</v>
      </c>
      <c r="C1214" s="5" t="s">
        <v>597</v>
      </c>
      <c r="D1214" s="5" t="s">
        <v>535</v>
      </c>
      <c r="E1214" s="57" t="s">
        <v>536</v>
      </c>
      <c r="F1214" s="57" t="s">
        <v>537</v>
      </c>
      <c r="G1214" s="57" t="s">
        <v>538</v>
      </c>
      <c r="H1214" s="57" t="s">
        <v>539</v>
      </c>
      <c r="I1214" s="57" t="s">
        <v>1531</v>
      </c>
      <c r="J1214" s="57" t="s">
        <v>80</v>
      </c>
      <c r="K1214" s="57" t="s">
        <v>591</v>
      </c>
      <c r="L1214" s="11" t="s">
        <v>914</v>
      </c>
      <c r="M1214" s="22">
        <v>1</v>
      </c>
      <c r="N1214" s="46">
        <v>32143</v>
      </c>
      <c r="O1214" s="49">
        <f t="shared" si="25"/>
        <v>32143</v>
      </c>
      <c r="P1214" s="5" t="s">
        <v>393</v>
      </c>
      <c r="Q1214" s="5" t="s">
        <v>394</v>
      </c>
      <c r="R1214" s="11">
        <v>551000000</v>
      </c>
      <c r="S1214" s="22">
        <v>100</v>
      </c>
    </row>
    <row r="1215" spans="1:19" s="37" customFormat="1" ht="51">
      <c r="A1215" s="5">
        <v>1200</v>
      </c>
      <c r="B1215" s="15" t="s">
        <v>941</v>
      </c>
      <c r="C1215" s="5" t="s">
        <v>597</v>
      </c>
      <c r="D1215" s="5" t="s">
        <v>535</v>
      </c>
      <c r="E1215" s="57" t="s">
        <v>536</v>
      </c>
      <c r="F1215" s="57" t="s">
        <v>537</v>
      </c>
      <c r="G1215" s="57" t="s">
        <v>538</v>
      </c>
      <c r="H1215" s="57" t="s">
        <v>539</v>
      </c>
      <c r="I1215" s="57" t="s">
        <v>1531</v>
      </c>
      <c r="J1215" s="57" t="s">
        <v>80</v>
      </c>
      <c r="K1215" s="57" t="s">
        <v>591</v>
      </c>
      <c r="L1215" s="11" t="s">
        <v>914</v>
      </c>
      <c r="M1215" s="22">
        <v>1</v>
      </c>
      <c r="N1215" s="46">
        <v>64200</v>
      </c>
      <c r="O1215" s="49">
        <f t="shared" si="25"/>
        <v>64200</v>
      </c>
      <c r="P1215" s="5" t="s">
        <v>393</v>
      </c>
      <c r="Q1215" s="5" t="s">
        <v>766</v>
      </c>
      <c r="R1215" s="11">
        <v>591000000</v>
      </c>
      <c r="S1215" s="22">
        <v>100</v>
      </c>
    </row>
    <row r="1216" spans="1:19" s="37" customFormat="1" ht="51">
      <c r="A1216" s="5">
        <v>1201</v>
      </c>
      <c r="B1216" s="15" t="s">
        <v>710</v>
      </c>
      <c r="C1216" s="5" t="s">
        <v>597</v>
      </c>
      <c r="D1216" s="5" t="s">
        <v>535</v>
      </c>
      <c r="E1216" s="57" t="s">
        <v>536</v>
      </c>
      <c r="F1216" s="57" t="s">
        <v>537</v>
      </c>
      <c r="G1216" s="57" t="s">
        <v>538</v>
      </c>
      <c r="H1216" s="57" t="s">
        <v>539</v>
      </c>
      <c r="I1216" s="57" t="s">
        <v>1531</v>
      </c>
      <c r="J1216" s="57" t="s">
        <v>80</v>
      </c>
      <c r="K1216" s="57" t="s">
        <v>591</v>
      </c>
      <c r="L1216" s="11" t="s">
        <v>914</v>
      </c>
      <c r="M1216" s="22">
        <v>1</v>
      </c>
      <c r="N1216" s="46">
        <v>89286</v>
      </c>
      <c r="O1216" s="49">
        <f t="shared" ref="O1216:O1279" si="26">M1216*N1216</f>
        <v>89286</v>
      </c>
      <c r="P1216" s="5" t="s">
        <v>393</v>
      </c>
      <c r="Q1216" s="5" t="s">
        <v>766</v>
      </c>
      <c r="R1216" s="11" t="s">
        <v>2029</v>
      </c>
      <c r="S1216" s="5">
        <v>100</v>
      </c>
    </row>
    <row r="1217" spans="1:19" s="37" customFormat="1" ht="51">
      <c r="A1217" s="5">
        <v>1202</v>
      </c>
      <c r="B1217" s="15" t="s">
        <v>710</v>
      </c>
      <c r="C1217" s="5" t="s">
        <v>597</v>
      </c>
      <c r="D1217" s="11" t="s">
        <v>540</v>
      </c>
      <c r="E1217" s="57" t="s">
        <v>2308</v>
      </c>
      <c r="F1217" s="57" t="s">
        <v>541</v>
      </c>
      <c r="G1217" s="57" t="s">
        <v>2308</v>
      </c>
      <c r="H1217" s="57" t="s">
        <v>541</v>
      </c>
      <c r="I1217" s="57" t="s">
        <v>1841</v>
      </c>
      <c r="J1217" s="57" t="s">
        <v>54</v>
      </c>
      <c r="K1217" s="57" t="s">
        <v>1485</v>
      </c>
      <c r="L1217" s="11" t="s">
        <v>914</v>
      </c>
      <c r="M1217" s="22">
        <v>1</v>
      </c>
      <c r="N1217" s="46">
        <f>O1217/M1217</f>
        <v>10335226.140000001</v>
      </c>
      <c r="O1217" s="49">
        <f>10565657-168288-977007-522993+1437857.14</f>
        <v>10335226.140000001</v>
      </c>
      <c r="P1217" s="5" t="s">
        <v>393</v>
      </c>
      <c r="Q1217" s="5" t="s">
        <v>766</v>
      </c>
      <c r="R1217" s="11" t="s">
        <v>1175</v>
      </c>
      <c r="S1217" s="22">
        <v>0</v>
      </c>
    </row>
    <row r="1218" spans="1:19" s="37" customFormat="1" ht="51">
      <c r="A1218" s="5">
        <v>1203</v>
      </c>
      <c r="B1218" s="29" t="s">
        <v>710</v>
      </c>
      <c r="C1218" s="35" t="s">
        <v>597</v>
      </c>
      <c r="D1218" s="11" t="s">
        <v>540</v>
      </c>
      <c r="E1218" s="57" t="s">
        <v>2308</v>
      </c>
      <c r="F1218" s="57" t="s">
        <v>541</v>
      </c>
      <c r="G1218" s="57" t="s">
        <v>2308</v>
      </c>
      <c r="H1218" s="57" t="s">
        <v>541</v>
      </c>
      <c r="I1218" s="57" t="s">
        <v>2307</v>
      </c>
      <c r="J1218" s="57" t="s">
        <v>263</v>
      </c>
      <c r="K1218" s="57" t="s">
        <v>591</v>
      </c>
      <c r="L1218" s="11" t="s">
        <v>914</v>
      </c>
      <c r="M1218" s="22">
        <v>1</v>
      </c>
      <c r="N1218" s="46">
        <v>3055232</v>
      </c>
      <c r="O1218" s="49">
        <f t="shared" si="26"/>
        <v>3055232</v>
      </c>
      <c r="P1218" s="5" t="s">
        <v>393</v>
      </c>
      <c r="Q1218" s="5" t="s">
        <v>766</v>
      </c>
      <c r="R1218" s="11" t="s">
        <v>2030</v>
      </c>
      <c r="S1218" s="22">
        <v>0</v>
      </c>
    </row>
    <row r="1219" spans="1:19" s="37" customFormat="1" ht="51">
      <c r="A1219" s="5">
        <v>1204</v>
      </c>
      <c r="B1219" s="15" t="s">
        <v>710</v>
      </c>
      <c r="C1219" s="5" t="s">
        <v>597</v>
      </c>
      <c r="D1219" s="11" t="s">
        <v>540</v>
      </c>
      <c r="E1219" s="57" t="s">
        <v>2308</v>
      </c>
      <c r="F1219" s="57" t="s">
        <v>541</v>
      </c>
      <c r="G1219" s="57" t="s">
        <v>2308</v>
      </c>
      <c r="H1219" s="57" t="s">
        <v>541</v>
      </c>
      <c r="I1219" s="57" t="s">
        <v>2307</v>
      </c>
      <c r="J1219" s="57" t="s">
        <v>263</v>
      </c>
      <c r="K1219" s="57" t="s">
        <v>591</v>
      </c>
      <c r="L1219" s="11" t="s">
        <v>914</v>
      </c>
      <c r="M1219" s="22">
        <v>1</v>
      </c>
      <c r="N1219" s="46">
        <v>3125000</v>
      </c>
      <c r="O1219" s="49">
        <f t="shared" si="26"/>
        <v>3125000</v>
      </c>
      <c r="P1219" s="5" t="s">
        <v>393</v>
      </c>
      <c r="Q1219" s="5" t="s">
        <v>766</v>
      </c>
      <c r="R1219" s="11" t="s">
        <v>1021</v>
      </c>
      <c r="S1219" s="5">
        <v>0</v>
      </c>
    </row>
    <row r="1220" spans="1:19" s="37" customFormat="1" ht="51">
      <c r="A1220" s="5">
        <v>1205</v>
      </c>
      <c r="B1220" s="15" t="s">
        <v>710</v>
      </c>
      <c r="C1220" s="5" t="s">
        <v>597</v>
      </c>
      <c r="D1220" s="5" t="s">
        <v>970</v>
      </c>
      <c r="E1220" s="57" t="s">
        <v>971</v>
      </c>
      <c r="F1220" s="57" t="s">
        <v>972</v>
      </c>
      <c r="G1220" s="57" t="s">
        <v>971</v>
      </c>
      <c r="H1220" s="57" t="s">
        <v>973</v>
      </c>
      <c r="I1220" s="57" t="s">
        <v>971</v>
      </c>
      <c r="J1220" s="57" t="s">
        <v>973</v>
      </c>
      <c r="K1220" s="57" t="s">
        <v>591</v>
      </c>
      <c r="L1220" s="11" t="s">
        <v>914</v>
      </c>
      <c r="M1220" s="22">
        <v>1</v>
      </c>
      <c r="N1220" s="46">
        <f>O1220</f>
        <v>1328100</v>
      </c>
      <c r="O1220" s="49">
        <f>965000+363100</f>
        <v>1328100</v>
      </c>
      <c r="P1220" s="5" t="s">
        <v>393</v>
      </c>
      <c r="Q1220" s="5" t="s">
        <v>766</v>
      </c>
      <c r="R1220" s="11" t="s">
        <v>789</v>
      </c>
      <c r="S1220" s="5">
        <v>0</v>
      </c>
    </row>
    <row r="1221" spans="1:19" s="37" customFormat="1" ht="51">
      <c r="A1221" s="5">
        <v>1206</v>
      </c>
      <c r="B1221" s="15" t="s">
        <v>710</v>
      </c>
      <c r="C1221" s="5" t="s">
        <v>597</v>
      </c>
      <c r="D1221" s="11" t="s">
        <v>540</v>
      </c>
      <c r="E1221" s="57" t="s">
        <v>2308</v>
      </c>
      <c r="F1221" s="57" t="s">
        <v>541</v>
      </c>
      <c r="G1221" s="57" t="s">
        <v>2308</v>
      </c>
      <c r="H1221" s="57" t="s">
        <v>541</v>
      </c>
      <c r="I1221" s="57" t="s">
        <v>2307</v>
      </c>
      <c r="J1221" s="57" t="s">
        <v>263</v>
      </c>
      <c r="K1221" s="57" t="s">
        <v>591</v>
      </c>
      <c r="L1221" s="11" t="s">
        <v>914</v>
      </c>
      <c r="M1221" s="22">
        <v>1</v>
      </c>
      <c r="N1221" s="46">
        <v>1399286</v>
      </c>
      <c r="O1221" s="49">
        <f t="shared" si="26"/>
        <v>1399286</v>
      </c>
      <c r="P1221" s="5" t="s">
        <v>391</v>
      </c>
      <c r="Q1221" s="5" t="s">
        <v>766</v>
      </c>
      <c r="R1221" s="11" t="s">
        <v>2022</v>
      </c>
      <c r="S1221" s="5">
        <v>0</v>
      </c>
    </row>
    <row r="1222" spans="1:19" s="13" customFormat="1" ht="51">
      <c r="A1222" s="5">
        <v>1207</v>
      </c>
      <c r="B1222" s="15" t="s">
        <v>710</v>
      </c>
      <c r="C1222" s="5" t="s">
        <v>597</v>
      </c>
      <c r="D1222" s="11" t="s">
        <v>540</v>
      </c>
      <c r="E1222" s="57" t="s">
        <v>2308</v>
      </c>
      <c r="F1222" s="57" t="s">
        <v>541</v>
      </c>
      <c r="G1222" s="57" t="s">
        <v>2308</v>
      </c>
      <c r="H1222" s="57" t="s">
        <v>541</v>
      </c>
      <c r="I1222" s="57" t="s">
        <v>2307</v>
      </c>
      <c r="J1222" s="57" t="s">
        <v>263</v>
      </c>
      <c r="K1222" s="57" t="s">
        <v>591</v>
      </c>
      <c r="L1222" s="11" t="s">
        <v>914</v>
      </c>
      <c r="M1222" s="22">
        <v>1</v>
      </c>
      <c r="N1222" s="46">
        <v>3107143</v>
      </c>
      <c r="O1222" s="49">
        <f t="shared" si="26"/>
        <v>3107143</v>
      </c>
      <c r="P1222" s="5" t="s">
        <v>393</v>
      </c>
      <c r="Q1222" s="5" t="s">
        <v>766</v>
      </c>
      <c r="R1222" s="11" t="s">
        <v>2023</v>
      </c>
      <c r="S1222" s="22">
        <v>0</v>
      </c>
    </row>
    <row r="1223" spans="1:19" ht="51">
      <c r="A1223" s="5">
        <v>1208</v>
      </c>
      <c r="B1223" s="15" t="s">
        <v>710</v>
      </c>
      <c r="C1223" s="5" t="s">
        <v>597</v>
      </c>
      <c r="D1223" s="11" t="s">
        <v>540</v>
      </c>
      <c r="E1223" s="57" t="s">
        <v>2308</v>
      </c>
      <c r="F1223" s="57" t="s">
        <v>541</v>
      </c>
      <c r="G1223" s="70" t="s">
        <v>2308</v>
      </c>
      <c r="H1223" s="57" t="s">
        <v>541</v>
      </c>
      <c r="I1223" s="57" t="s">
        <v>2307</v>
      </c>
      <c r="J1223" s="57" t="s">
        <v>263</v>
      </c>
      <c r="K1223" s="57" t="s">
        <v>591</v>
      </c>
      <c r="L1223" s="11" t="s">
        <v>914</v>
      </c>
      <c r="M1223" s="22">
        <v>1</v>
      </c>
      <c r="N1223" s="46">
        <v>2882400</v>
      </c>
      <c r="O1223" s="49">
        <f t="shared" si="26"/>
        <v>2882400</v>
      </c>
      <c r="P1223" s="5" t="s">
        <v>393</v>
      </c>
      <c r="Q1223" s="5" t="s">
        <v>766</v>
      </c>
      <c r="R1223" s="11" t="s">
        <v>633</v>
      </c>
      <c r="S1223" s="5">
        <v>0</v>
      </c>
    </row>
    <row r="1224" spans="1:19" s="34" customFormat="1" ht="51">
      <c r="A1224" s="5">
        <v>1209</v>
      </c>
      <c r="B1224" s="15" t="s">
        <v>710</v>
      </c>
      <c r="C1224" s="5" t="s">
        <v>597</v>
      </c>
      <c r="D1224" s="11" t="s">
        <v>540</v>
      </c>
      <c r="E1224" s="57" t="s">
        <v>2308</v>
      </c>
      <c r="F1224" s="57" t="s">
        <v>541</v>
      </c>
      <c r="G1224" s="57" t="s">
        <v>2308</v>
      </c>
      <c r="H1224" s="57" t="s">
        <v>541</v>
      </c>
      <c r="I1224" s="57" t="s">
        <v>2307</v>
      </c>
      <c r="J1224" s="57" t="s">
        <v>263</v>
      </c>
      <c r="K1224" s="57" t="s">
        <v>1484</v>
      </c>
      <c r="L1224" s="11" t="s">
        <v>914</v>
      </c>
      <c r="M1224" s="22">
        <v>1</v>
      </c>
      <c r="N1224" s="46">
        <v>3456000</v>
      </c>
      <c r="O1224" s="49">
        <f t="shared" si="26"/>
        <v>3456000</v>
      </c>
      <c r="P1224" s="5" t="s">
        <v>393</v>
      </c>
      <c r="Q1224" s="5" t="s">
        <v>766</v>
      </c>
      <c r="R1224" s="11">
        <v>311000000</v>
      </c>
      <c r="S1224" s="22">
        <v>0</v>
      </c>
    </row>
    <row r="1225" spans="1:19" s="37" customFormat="1" ht="51">
      <c r="A1225" s="5">
        <v>1210</v>
      </c>
      <c r="B1225" s="15" t="s">
        <v>710</v>
      </c>
      <c r="C1225" s="5" t="s">
        <v>597</v>
      </c>
      <c r="D1225" s="11" t="s">
        <v>540</v>
      </c>
      <c r="E1225" s="57" t="s">
        <v>2308</v>
      </c>
      <c r="F1225" s="57" t="s">
        <v>541</v>
      </c>
      <c r="G1225" s="57" t="s">
        <v>2308</v>
      </c>
      <c r="H1225" s="57" t="s">
        <v>541</v>
      </c>
      <c r="I1225" s="57" t="s">
        <v>2307</v>
      </c>
      <c r="J1225" s="57" t="s">
        <v>263</v>
      </c>
      <c r="K1225" s="57" t="s">
        <v>1484</v>
      </c>
      <c r="L1225" s="11" t="s">
        <v>914</v>
      </c>
      <c r="M1225" s="22">
        <v>1</v>
      </c>
      <c r="N1225" s="46">
        <f>O1225/M1225</f>
        <v>3104764</v>
      </c>
      <c r="O1225" s="49">
        <f>3479464-20200-354500</f>
        <v>3104764</v>
      </c>
      <c r="P1225" s="5" t="s">
        <v>393</v>
      </c>
      <c r="Q1225" s="5" t="s">
        <v>766</v>
      </c>
      <c r="R1225" s="11">
        <v>431000000</v>
      </c>
      <c r="S1225" s="22">
        <v>0</v>
      </c>
    </row>
    <row r="1226" spans="1:19" s="32" customFormat="1" ht="60" customHeight="1">
      <c r="A1226" s="5">
        <v>1211</v>
      </c>
      <c r="B1226" s="15" t="s">
        <v>710</v>
      </c>
      <c r="C1226" s="5" t="s">
        <v>597</v>
      </c>
      <c r="D1226" s="11" t="s">
        <v>540</v>
      </c>
      <c r="E1226" s="57" t="s">
        <v>2308</v>
      </c>
      <c r="F1226" s="57" t="s">
        <v>541</v>
      </c>
      <c r="G1226" s="57" t="s">
        <v>2308</v>
      </c>
      <c r="H1226" s="57" t="s">
        <v>541</v>
      </c>
      <c r="I1226" s="57" t="s">
        <v>2307</v>
      </c>
      <c r="J1226" s="57" t="s">
        <v>263</v>
      </c>
      <c r="K1226" s="57" t="s">
        <v>591</v>
      </c>
      <c r="L1226" s="11" t="s">
        <v>914</v>
      </c>
      <c r="M1226" s="22">
        <v>1</v>
      </c>
      <c r="N1226" s="46">
        <v>3024000</v>
      </c>
      <c r="O1226" s="49">
        <f t="shared" si="26"/>
        <v>3024000</v>
      </c>
      <c r="P1226" s="5" t="s">
        <v>393</v>
      </c>
      <c r="Q1226" s="5" t="s">
        <v>766</v>
      </c>
      <c r="R1226" s="11">
        <v>551000000</v>
      </c>
      <c r="S1226" s="22">
        <v>0</v>
      </c>
    </row>
    <row r="1227" spans="1:19" s="37" customFormat="1" ht="51">
      <c r="A1227" s="5">
        <v>1212</v>
      </c>
      <c r="B1227" s="15" t="s">
        <v>941</v>
      </c>
      <c r="C1227" s="5" t="s">
        <v>597</v>
      </c>
      <c r="D1227" s="11" t="s">
        <v>540</v>
      </c>
      <c r="E1227" s="57" t="s">
        <v>2308</v>
      </c>
      <c r="F1227" s="57" t="s">
        <v>541</v>
      </c>
      <c r="G1227" s="57" t="s">
        <v>2308</v>
      </c>
      <c r="H1227" s="57" t="s">
        <v>541</v>
      </c>
      <c r="I1227" s="57" t="s">
        <v>2307</v>
      </c>
      <c r="J1227" s="57" t="s">
        <v>263</v>
      </c>
      <c r="K1227" s="57" t="s">
        <v>591</v>
      </c>
      <c r="L1227" s="11" t="s">
        <v>914</v>
      </c>
      <c r="M1227" s="6">
        <v>1</v>
      </c>
      <c r="N1227" s="46">
        <v>1209600</v>
      </c>
      <c r="O1227" s="49">
        <f t="shared" si="26"/>
        <v>1209600</v>
      </c>
      <c r="P1227" s="5" t="s">
        <v>393</v>
      </c>
      <c r="Q1227" s="5" t="s">
        <v>766</v>
      </c>
      <c r="R1227" s="11">
        <v>591000000</v>
      </c>
      <c r="S1227" s="22">
        <v>0</v>
      </c>
    </row>
    <row r="1228" spans="1:19" s="37" customFormat="1" ht="51">
      <c r="A1228" s="5">
        <v>1213</v>
      </c>
      <c r="B1228" s="15" t="s">
        <v>710</v>
      </c>
      <c r="C1228" s="5" t="s">
        <v>597</v>
      </c>
      <c r="D1228" s="11" t="s">
        <v>540</v>
      </c>
      <c r="E1228" s="57" t="s">
        <v>2308</v>
      </c>
      <c r="F1228" s="57" t="s">
        <v>541</v>
      </c>
      <c r="G1228" s="57" t="s">
        <v>2308</v>
      </c>
      <c r="H1228" s="57" t="s">
        <v>541</v>
      </c>
      <c r="I1228" s="57" t="s">
        <v>2307</v>
      </c>
      <c r="J1228" s="57" t="s">
        <v>263</v>
      </c>
      <c r="K1228" s="57" t="s">
        <v>591</v>
      </c>
      <c r="L1228" s="11" t="s">
        <v>914</v>
      </c>
      <c r="M1228" s="22">
        <v>1</v>
      </c>
      <c r="N1228" s="46">
        <v>1821429</v>
      </c>
      <c r="O1228" s="49">
        <f t="shared" si="26"/>
        <v>1821429</v>
      </c>
      <c r="P1228" s="5" t="s">
        <v>393</v>
      </c>
      <c r="Q1228" s="5" t="s">
        <v>766</v>
      </c>
      <c r="R1228" s="11" t="s">
        <v>2029</v>
      </c>
      <c r="S1228" s="5">
        <v>0</v>
      </c>
    </row>
    <row r="1229" spans="1:19" ht="51">
      <c r="A1229" s="5">
        <v>1214</v>
      </c>
      <c r="B1229" s="15" t="s">
        <v>710</v>
      </c>
      <c r="C1229" s="5" t="s">
        <v>597</v>
      </c>
      <c r="D1229" s="11" t="s">
        <v>540</v>
      </c>
      <c r="E1229" s="57" t="s">
        <v>2308</v>
      </c>
      <c r="F1229" s="57" t="s">
        <v>541</v>
      </c>
      <c r="G1229" s="57" t="s">
        <v>2308</v>
      </c>
      <c r="H1229" s="57" t="s">
        <v>541</v>
      </c>
      <c r="I1229" s="57" t="s">
        <v>2307</v>
      </c>
      <c r="J1229" s="57" t="s">
        <v>263</v>
      </c>
      <c r="K1229" s="57" t="s">
        <v>591</v>
      </c>
      <c r="L1229" s="11" t="s">
        <v>914</v>
      </c>
      <c r="M1229" s="22">
        <v>1</v>
      </c>
      <c r="N1229" s="46">
        <v>2764800</v>
      </c>
      <c r="O1229" s="49">
        <f t="shared" si="26"/>
        <v>2764800</v>
      </c>
      <c r="P1229" s="5" t="s">
        <v>393</v>
      </c>
      <c r="Q1229" s="5" t="s">
        <v>766</v>
      </c>
      <c r="R1229" s="11" t="s">
        <v>694</v>
      </c>
      <c r="S1229" s="22">
        <v>0</v>
      </c>
    </row>
    <row r="1230" spans="1:19" s="37" customFormat="1" ht="51">
      <c r="A1230" s="5">
        <v>1215</v>
      </c>
      <c r="B1230" s="15" t="s">
        <v>710</v>
      </c>
      <c r="C1230" s="5" t="s">
        <v>597</v>
      </c>
      <c r="D1230" s="5" t="s">
        <v>540</v>
      </c>
      <c r="E1230" s="57" t="s">
        <v>2265</v>
      </c>
      <c r="F1230" s="57" t="s">
        <v>541</v>
      </c>
      <c r="G1230" s="57" t="s">
        <v>2265</v>
      </c>
      <c r="H1230" s="57" t="s">
        <v>541</v>
      </c>
      <c r="I1230" s="57" t="s">
        <v>2266</v>
      </c>
      <c r="J1230" s="57" t="s">
        <v>55</v>
      </c>
      <c r="K1230" s="57" t="s">
        <v>591</v>
      </c>
      <c r="L1230" s="11" t="s">
        <v>914</v>
      </c>
      <c r="M1230" s="22">
        <v>1</v>
      </c>
      <c r="N1230" s="46">
        <v>1285714</v>
      </c>
      <c r="O1230" s="49">
        <f t="shared" si="26"/>
        <v>1285714</v>
      </c>
      <c r="P1230" s="5" t="s">
        <v>393</v>
      </c>
      <c r="Q1230" s="5" t="s">
        <v>766</v>
      </c>
      <c r="R1230" s="11" t="s">
        <v>2028</v>
      </c>
      <c r="S1230" s="5">
        <v>0</v>
      </c>
    </row>
    <row r="1231" spans="1:19" ht="51">
      <c r="A1231" s="5">
        <v>1216</v>
      </c>
      <c r="B1231" s="15" t="s">
        <v>710</v>
      </c>
      <c r="C1231" s="5" t="s">
        <v>597</v>
      </c>
      <c r="D1231" s="5" t="s">
        <v>942</v>
      </c>
      <c r="E1231" s="57" t="s">
        <v>1155</v>
      </c>
      <c r="F1231" s="57" t="s">
        <v>943</v>
      </c>
      <c r="G1231" s="57" t="s">
        <v>1155</v>
      </c>
      <c r="H1231" s="57" t="s">
        <v>943</v>
      </c>
      <c r="I1231" s="57" t="s">
        <v>1842</v>
      </c>
      <c r="J1231" s="57" t="s">
        <v>50</v>
      </c>
      <c r="K1231" s="57" t="s">
        <v>1485</v>
      </c>
      <c r="L1231" s="11" t="s">
        <v>914</v>
      </c>
      <c r="M1231" s="22">
        <v>1</v>
      </c>
      <c r="N1231" s="46">
        <f>O1231/M1231</f>
        <v>8257587</v>
      </c>
      <c r="O1231" s="49">
        <f>13392857-1000000-4135270</f>
        <v>8257587</v>
      </c>
      <c r="P1231" s="5" t="s">
        <v>698</v>
      </c>
      <c r="Q1231" s="5" t="s">
        <v>766</v>
      </c>
      <c r="R1231" s="11" t="s">
        <v>1175</v>
      </c>
      <c r="S1231" s="22">
        <v>0</v>
      </c>
    </row>
    <row r="1232" spans="1:19" s="37" customFormat="1" ht="102">
      <c r="A1232" s="5">
        <v>1217</v>
      </c>
      <c r="B1232" s="15" t="s">
        <v>710</v>
      </c>
      <c r="C1232" s="5" t="s">
        <v>597</v>
      </c>
      <c r="D1232" s="5" t="s">
        <v>1368</v>
      </c>
      <c r="E1232" s="57" t="s">
        <v>1977</v>
      </c>
      <c r="F1232" s="57" t="s">
        <v>1369</v>
      </c>
      <c r="G1232" s="57" t="s">
        <v>1978</v>
      </c>
      <c r="H1232" s="57" t="s">
        <v>1370</v>
      </c>
      <c r="I1232" s="57" t="s">
        <v>2309</v>
      </c>
      <c r="J1232" s="57" t="s">
        <v>92</v>
      </c>
      <c r="K1232" s="57" t="s">
        <v>591</v>
      </c>
      <c r="L1232" s="11" t="s">
        <v>914</v>
      </c>
      <c r="M1232" s="22">
        <v>1</v>
      </c>
      <c r="N1232" s="46">
        <v>2232143</v>
      </c>
      <c r="O1232" s="49">
        <f t="shared" si="26"/>
        <v>2232143</v>
      </c>
      <c r="P1232" s="5" t="s">
        <v>506</v>
      </c>
      <c r="Q1232" s="5" t="s">
        <v>766</v>
      </c>
      <c r="R1232" s="11" t="s">
        <v>2022</v>
      </c>
      <c r="S1232" s="22">
        <v>50</v>
      </c>
    </row>
    <row r="1233" spans="1:19" ht="63.75">
      <c r="A1233" s="5">
        <v>1218</v>
      </c>
      <c r="B1233" s="15" t="s">
        <v>710</v>
      </c>
      <c r="C1233" s="5" t="s">
        <v>597</v>
      </c>
      <c r="D1233" s="11" t="s">
        <v>1253</v>
      </c>
      <c r="E1233" s="57" t="s">
        <v>1843</v>
      </c>
      <c r="F1233" s="57" t="s">
        <v>1254</v>
      </c>
      <c r="G1233" s="57" t="s">
        <v>1844</v>
      </c>
      <c r="H1233" s="57" t="s">
        <v>1255</v>
      </c>
      <c r="I1233" s="57" t="s">
        <v>1845</v>
      </c>
      <c r="J1233" s="57" t="s">
        <v>264</v>
      </c>
      <c r="K1233" s="57" t="s">
        <v>591</v>
      </c>
      <c r="L1233" s="11" t="s">
        <v>914</v>
      </c>
      <c r="M1233" s="9">
        <v>1</v>
      </c>
      <c r="N1233" s="46">
        <v>4475304</v>
      </c>
      <c r="O1233" s="49">
        <f t="shared" si="26"/>
        <v>4475304</v>
      </c>
      <c r="P1233" s="5" t="s">
        <v>393</v>
      </c>
      <c r="Q1233" s="5" t="s">
        <v>766</v>
      </c>
      <c r="R1233" s="11" t="s">
        <v>1175</v>
      </c>
      <c r="S1233" s="14">
        <v>0</v>
      </c>
    </row>
    <row r="1234" spans="1:19" ht="63.75" outlineLevel="1">
      <c r="A1234" s="5">
        <v>1219</v>
      </c>
      <c r="B1234" s="15" t="s">
        <v>710</v>
      </c>
      <c r="C1234" s="5" t="s">
        <v>597</v>
      </c>
      <c r="D1234" s="11" t="s">
        <v>1253</v>
      </c>
      <c r="E1234" s="57" t="s">
        <v>1843</v>
      </c>
      <c r="F1234" s="57" t="s">
        <v>1254</v>
      </c>
      <c r="G1234" s="57" t="s">
        <v>1844</v>
      </c>
      <c r="H1234" s="57" t="s">
        <v>1255</v>
      </c>
      <c r="I1234" s="57" t="s">
        <v>1846</v>
      </c>
      <c r="J1234" s="57" t="s">
        <v>265</v>
      </c>
      <c r="K1234" s="57" t="s">
        <v>591</v>
      </c>
      <c r="L1234" s="11" t="s">
        <v>914</v>
      </c>
      <c r="M1234" s="9">
        <v>1</v>
      </c>
      <c r="N1234" s="46">
        <v>2406924</v>
      </c>
      <c r="O1234" s="49">
        <f t="shared" si="26"/>
        <v>2406924</v>
      </c>
      <c r="P1234" s="5" t="s">
        <v>393</v>
      </c>
      <c r="Q1234" s="5" t="s">
        <v>766</v>
      </c>
      <c r="R1234" s="11" t="s">
        <v>1175</v>
      </c>
      <c r="S1234" s="14">
        <v>0</v>
      </c>
    </row>
    <row r="1235" spans="1:19" ht="63.75" outlineLevel="1">
      <c r="A1235" s="5">
        <v>1220</v>
      </c>
      <c r="B1235" s="15" t="s">
        <v>710</v>
      </c>
      <c r="C1235" s="5" t="s">
        <v>597</v>
      </c>
      <c r="D1235" s="11" t="s">
        <v>1253</v>
      </c>
      <c r="E1235" s="57" t="s">
        <v>1843</v>
      </c>
      <c r="F1235" s="57" t="s">
        <v>1254</v>
      </c>
      <c r="G1235" s="57" t="s">
        <v>1844</v>
      </c>
      <c r="H1235" s="57" t="s">
        <v>1255</v>
      </c>
      <c r="I1235" s="57" t="s">
        <v>1847</v>
      </c>
      <c r="J1235" s="57" t="s">
        <v>266</v>
      </c>
      <c r="K1235" s="57" t="s">
        <v>591</v>
      </c>
      <c r="L1235" s="11" t="s">
        <v>914</v>
      </c>
      <c r="M1235" s="9">
        <v>1</v>
      </c>
      <c r="N1235" s="46">
        <v>11049279</v>
      </c>
      <c r="O1235" s="49">
        <f t="shared" si="26"/>
        <v>11049279</v>
      </c>
      <c r="P1235" s="5" t="s">
        <v>393</v>
      </c>
      <c r="Q1235" s="5" t="s">
        <v>766</v>
      </c>
      <c r="R1235" s="11" t="s">
        <v>1175</v>
      </c>
      <c r="S1235" s="14">
        <v>0</v>
      </c>
    </row>
    <row r="1236" spans="1:19" ht="76.5" outlineLevel="1">
      <c r="A1236" s="5">
        <v>1221</v>
      </c>
      <c r="B1236" s="15" t="s">
        <v>710</v>
      </c>
      <c r="C1236" s="5" t="s">
        <v>597</v>
      </c>
      <c r="D1236" s="11" t="s">
        <v>1256</v>
      </c>
      <c r="E1236" s="57" t="s">
        <v>1848</v>
      </c>
      <c r="F1236" s="57" t="s">
        <v>1257</v>
      </c>
      <c r="G1236" s="57" t="s">
        <v>1849</v>
      </c>
      <c r="H1236" s="57" t="s">
        <v>1258</v>
      </c>
      <c r="I1236" s="57" t="s">
        <v>1850</v>
      </c>
      <c r="J1236" s="57" t="s">
        <v>267</v>
      </c>
      <c r="K1236" s="57" t="s">
        <v>591</v>
      </c>
      <c r="L1236" s="11" t="s">
        <v>914</v>
      </c>
      <c r="M1236" s="9">
        <v>1</v>
      </c>
      <c r="N1236" s="46">
        <v>9613212</v>
      </c>
      <c r="O1236" s="49">
        <f t="shared" si="26"/>
        <v>9613212</v>
      </c>
      <c r="P1236" s="5" t="s">
        <v>393</v>
      </c>
      <c r="Q1236" s="5" t="s">
        <v>766</v>
      </c>
      <c r="R1236" s="11" t="s">
        <v>1175</v>
      </c>
      <c r="S1236" s="14">
        <v>0</v>
      </c>
    </row>
    <row r="1237" spans="1:19" ht="76.5" outlineLevel="1">
      <c r="A1237" s="5">
        <v>1222</v>
      </c>
      <c r="B1237" s="15" t="s">
        <v>710</v>
      </c>
      <c r="C1237" s="5" t="s">
        <v>597</v>
      </c>
      <c r="D1237" s="11" t="s">
        <v>1256</v>
      </c>
      <c r="E1237" s="57" t="s">
        <v>1848</v>
      </c>
      <c r="F1237" s="57" t="s">
        <v>1257</v>
      </c>
      <c r="G1237" s="57" t="s">
        <v>1849</v>
      </c>
      <c r="H1237" s="57" t="s">
        <v>1258</v>
      </c>
      <c r="I1237" s="57" t="s">
        <v>1851</v>
      </c>
      <c r="J1237" s="57" t="s">
        <v>268</v>
      </c>
      <c r="K1237" s="57" t="s">
        <v>591</v>
      </c>
      <c r="L1237" s="11" t="s">
        <v>914</v>
      </c>
      <c r="M1237" s="9">
        <v>1</v>
      </c>
      <c r="N1237" s="46">
        <f>O1237</f>
        <v>14108160</v>
      </c>
      <c r="O1237" s="49">
        <f>14242446-134286</f>
        <v>14108160</v>
      </c>
      <c r="P1237" s="5" t="s">
        <v>393</v>
      </c>
      <c r="Q1237" s="5" t="s">
        <v>766</v>
      </c>
      <c r="R1237" s="11" t="s">
        <v>1175</v>
      </c>
      <c r="S1237" s="14">
        <v>0</v>
      </c>
    </row>
    <row r="1238" spans="1:19" ht="63.75" outlineLevel="1">
      <c r="A1238" s="5">
        <v>1223</v>
      </c>
      <c r="B1238" s="15" t="s">
        <v>710</v>
      </c>
      <c r="C1238" s="5" t="s">
        <v>597</v>
      </c>
      <c r="D1238" s="11" t="s">
        <v>542</v>
      </c>
      <c r="E1238" s="57" t="s">
        <v>1852</v>
      </c>
      <c r="F1238" s="57" t="s">
        <v>704</v>
      </c>
      <c r="G1238" s="57" t="s">
        <v>1853</v>
      </c>
      <c r="H1238" s="57" t="s">
        <v>543</v>
      </c>
      <c r="I1238" s="57" t="s">
        <v>1854</v>
      </c>
      <c r="J1238" s="57" t="s">
        <v>269</v>
      </c>
      <c r="K1238" s="57" t="s">
        <v>591</v>
      </c>
      <c r="L1238" s="11" t="s">
        <v>914</v>
      </c>
      <c r="M1238" s="9">
        <v>1</v>
      </c>
      <c r="N1238" s="46">
        <f>O1238</f>
        <v>2729919.4</v>
      </c>
      <c r="O1238" s="49">
        <f>3892849-1162929.6</f>
        <v>2729919.4</v>
      </c>
      <c r="P1238" s="5" t="s">
        <v>393</v>
      </c>
      <c r="Q1238" s="5" t="s">
        <v>766</v>
      </c>
      <c r="R1238" s="11" t="s">
        <v>1175</v>
      </c>
      <c r="S1238" s="14">
        <v>0</v>
      </c>
    </row>
    <row r="1239" spans="1:19" ht="63.75" outlineLevel="1">
      <c r="A1239" s="5">
        <v>1224</v>
      </c>
      <c r="B1239" s="15" t="s">
        <v>710</v>
      </c>
      <c r="C1239" s="5" t="s">
        <v>597</v>
      </c>
      <c r="D1239" s="11" t="s">
        <v>542</v>
      </c>
      <c r="E1239" s="57" t="s">
        <v>1852</v>
      </c>
      <c r="F1239" s="57" t="s">
        <v>704</v>
      </c>
      <c r="G1239" s="57" t="s">
        <v>1853</v>
      </c>
      <c r="H1239" s="57" t="s">
        <v>543</v>
      </c>
      <c r="I1239" s="57" t="s">
        <v>1855</v>
      </c>
      <c r="J1239" s="57" t="s">
        <v>1259</v>
      </c>
      <c r="K1239" s="57" t="s">
        <v>591</v>
      </c>
      <c r="L1239" s="11" t="s">
        <v>914</v>
      </c>
      <c r="M1239" s="9">
        <v>1</v>
      </c>
      <c r="N1239" s="46">
        <f>O1239</f>
        <v>5589265.3600000003</v>
      </c>
      <c r="O1239" s="49">
        <f>6496405-907139.64</f>
        <v>5589265.3600000003</v>
      </c>
      <c r="P1239" s="5" t="s">
        <v>393</v>
      </c>
      <c r="Q1239" s="5" t="s">
        <v>766</v>
      </c>
      <c r="R1239" s="11" t="s">
        <v>1175</v>
      </c>
      <c r="S1239" s="14">
        <v>0</v>
      </c>
    </row>
    <row r="1240" spans="1:19" ht="51" outlineLevel="1">
      <c r="A1240" s="5">
        <v>1225</v>
      </c>
      <c r="B1240" s="15" t="s">
        <v>710</v>
      </c>
      <c r="C1240" s="5" t="s">
        <v>597</v>
      </c>
      <c r="D1240" s="11" t="s">
        <v>1260</v>
      </c>
      <c r="E1240" s="57" t="s">
        <v>1856</v>
      </c>
      <c r="F1240" s="57" t="s">
        <v>1261</v>
      </c>
      <c r="G1240" s="57" t="s">
        <v>1856</v>
      </c>
      <c r="H1240" s="57" t="s">
        <v>1261</v>
      </c>
      <c r="I1240" s="57" t="s">
        <v>1857</v>
      </c>
      <c r="J1240" s="57" t="s">
        <v>270</v>
      </c>
      <c r="K1240" s="57" t="s">
        <v>591</v>
      </c>
      <c r="L1240" s="11" t="s">
        <v>914</v>
      </c>
      <c r="M1240" s="9">
        <v>1</v>
      </c>
      <c r="N1240" s="46">
        <f>O1240</f>
        <v>0</v>
      </c>
      <c r="O1240" s="49">
        <f>630000-630000</f>
        <v>0</v>
      </c>
      <c r="P1240" s="5" t="s">
        <v>393</v>
      </c>
      <c r="Q1240" s="5" t="s">
        <v>766</v>
      </c>
      <c r="R1240" s="11" t="s">
        <v>1175</v>
      </c>
      <c r="S1240" s="14">
        <v>0</v>
      </c>
    </row>
    <row r="1241" spans="1:19" ht="89.25" outlineLevel="1">
      <c r="A1241" s="5">
        <v>1226</v>
      </c>
      <c r="B1241" s="15" t="s">
        <v>710</v>
      </c>
      <c r="C1241" s="5" t="s">
        <v>597</v>
      </c>
      <c r="D1241" s="11" t="s">
        <v>1262</v>
      </c>
      <c r="E1241" s="57" t="s">
        <v>1858</v>
      </c>
      <c r="F1241" s="57" t="s">
        <v>1263</v>
      </c>
      <c r="G1241" s="57" t="s">
        <v>1859</v>
      </c>
      <c r="H1241" s="57" t="s">
        <v>1264</v>
      </c>
      <c r="I1241" s="57" t="s">
        <v>1860</v>
      </c>
      <c r="J1241" s="57" t="s">
        <v>271</v>
      </c>
      <c r="K1241" s="57" t="s">
        <v>591</v>
      </c>
      <c r="L1241" s="11" t="s">
        <v>914</v>
      </c>
      <c r="M1241" s="9">
        <v>1</v>
      </c>
      <c r="N1241" s="46">
        <v>369600</v>
      </c>
      <c r="O1241" s="49">
        <f t="shared" si="26"/>
        <v>369600</v>
      </c>
      <c r="P1241" s="5" t="s">
        <v>393</v>
      </c>
      <c r="Q1241" s="5" t="s">
        <v>766</v>
      </c>
      <c r="R1241" s="11" t="s">
        <v>1175</v>
      </c>
      <c r="S1241" s="14">
        <v>0</v>
      </c>
    </row>
    <row r="1242" spans="1:19" ht="63.75" outlineLevel="1">
      <c r="A1242" s="5">
        <v>1227</v>
      </c>
      <c r="B1242" s="15" t="s">
        <v>710</v>
      </c>
      <c r="C1242" s="5" t="s">
        <v>597</v>
      </c>
      <c r="D1242" s="11" t="s">
        <v>542</v>
      </c>
      <c r="E1242" s="57" t="s">
        <v>1852</v>
      </c>
      <c r="F1242" s="57" t="s">
        <v>704</v>
      </c>
      <c r="G1242" s="57" t="s">
        <v>1853</v>
      </c>
      <c r="H1242" s="57" t="s">
        <v>543</v>
      </c>
      <c r="I1242" s="57" t="s">
        <v>1861</v>
      </c>
      <c r="J1242" s="57" t="s">
        <v>272</v>
      </c>
      <c r="K1242" s="57" t="s">
        <v>591</v>
      </c>
      <c r="L1242" s="11" t="s">
        <v>914</v>
      </c>
      <c r="M1242" s="9">
        <v>1</v>
      </c>
      <c r="N1242" s="46">
        <v>186438</v>
      </c>
      <c r="O1242" s="49">
        <f t="shared" si="26"/>
        <v>186438</v>
      </c>
      <c r="P1242" s="5" t="s">
        <v>393</v>
      </c>
      <c r="Q1242" s="5" t="s">
        <v>766</v>
      </c>
      <c r="R1242" s="11" t="s">
        <v>1175</v>
      </c>
      <c r="S1242" s="14">
        <v>0</v>
      </c>
    </row>
    <row r="1243" spans="1:19" ht="63.75" outlineLevel="1">
      <c r="A1243" s="5">
        <v>1228</v>
      </c>
      <c r="B1243" s="15" t="s">
        <v>710</v>
      </c>
      <c r="C1243" s="5" t="s">
        <v>597</v>
      </c>
      <c r="D1243" s="11" t="s">
        <v>542</v>
      </c>
      <c r="E1243" s="57" t="s">
        <v>1852</v>
      </c>
      <c r="F1243" s="57" t="s">
        <v>704</v>
      </c>
      <c r="G1243" s="57" t="s">
        <v>1853</v>
      </c>
      <c r="H1243" s="57" t="s">
        <v>543</v>
      </c>
      <c r="I1243" s="57" t="s">
        <v>1862</v>
      </c>
      <c r="J1243" s="57" t="s">
        <v>273</v>
      </c>
      <c r="K1243" s="57" t="s">
        <v>591</v>
      </c>
      <c r="L1243" s="11" t="s">
        <v>914</v>
      </c>
      <c r="M1243" s="9">
        <v>1</v>
      </c>
      <c r="N1243" s="46">
        <v>2191208</v>
      </c>
      <c r="O1243" s="49">
        <f t="shared" si="26"/>
        <v>2191208</v>
      </c>
      <c r="P1243" s="5" t="s">
        <v>393</v>
      </c>
      <c r="Q1243" s="5" t="s">
        <v>766</v>
      </c>
      <c r="R1243" s="11" t="s">
        <v>1175</v>
      </c>
      <c r="S1243" s="14">
        <v>0</v>
      </c>
    </row>
    <row r="1244" spans="1:19" ht="51" outlineLevel="1">
      <c r="A1244" s="5">
        <v>1229</v>
      </c>
      <c r="B1244" s="15" t="s">
        <v>710</v>
      </c>
      <c r="C1244" s="5" t="s">
        <v>597</v>
      </c>
      <c r="D1244" s="11" t="s">
        <v>933</v>
      </c>
      <c r="E1244" s="57" t="s">
        <v>2235</v>
      </c>
      <c r="F1244" s="57" t="s">
        <v>934</v>
      </c>
      <c r="G1244" s="57" t="s">
        <v>2234</v>
      </c>
      <c r="H1244" s="57" t="s">
        <v>935</v>
      </c>
      <c r="I1244" s="57" t="s">
        <v>2233</v>
      </c>
      <c r="J1244" s="57" t="s">
        <v>274</v>
      </c>
      <c r="K1244" s="57" t="s">
        <v>591</v>
      </c>
      <c r="L1244" s="11" t="s">
        <v>914</v>
      </c>
      <c r="M1244" s="9">
        <v>1</v>
      </c>
      <c r="N1244" s="46">
        <v>16320000</v>
      </c>
      <c r="O1244" s="49">
        <f t="shared" si="26"/>
        <v>16320000</v>
      </c>
      <c r="P1244" s="5" t="s">
        <v>393</v>
      </c>
      <c r="Q1244" s="5" t="s">
        <v>766</v>
      </c>
      <c r="R1244" s="11" t="s">
        <v>1175</v>
      </c>
      <c r="S1244" s="14">
        <v>0</v>
      </c>
    </row>
    <row r="1245" spans="1:19" ht="76.5" outlineLevel="1">
      <c r="A1245" s="5">
        <v>1230</v>
      </c>
      <c r="B1245" s="15" t="s">
        <v>710</v>
      </c>
      <c r="C1245" s="5" t="s">
        <v>597</v>
      </c>
      <c r="D1245" s="11" t="s">
        <v>1256</v>
      </c>
      <c r="E1245" s="57" t="s">
        <v>1848</v>
      </c>
      <c r="F1245" s="57" t="s">
        <v>1257</v>
      </c>
      <c r="G1245" s="57" t="s">
        <v>1849</v>
      </c>
      <c r="H1245" s="57" t="s">
        <v>1258</v>
      </c>
      <c r="I1245" s="57" t="s">
        <v>1863</v>
      </c>
      <c r="J1245" s="57" t="s">
        <v>275</v>
      </c>
      <c r="K1245" s="57" t="s">
        <v>591</v>
      </c>
      <c r="L1245" s="11" t="s">
        <v>914</v>
      </c>
      <c r="M1245" s="9">
        <v>1</v>
      </c>
      <c r="N1245" s="46">
        <v>1336798</v>
      </c>
      <c r="O1245" s="49">
        <f t="shared" si="26"/>
        <v>1336798</v>
      </c>
      <c r="P1245" s="5" t="s">
        <v>393</v>
      </c>
      <c r="Q1245" s="5" t="s">
        <v>766</v>
      </c>
      <c r="R1245" s="11" t="s">
        <v>1175</v>
      </c>
      <c r="S1245" s="14">
        <v>0</v>
      </c>
    </row>
    <row r="1246" spans="1:19" ht="76.5" outlineLevel="1">
      <c r="A1246" s="5">
        <v>1231</v>
      </c>
      <c r="B1246" s="15" t="s">
        <v>710</v>
      </c>
      <c r="C1246" s="5" t="s">
        <v>597</v>
      </c>
      <c r="D1246" s="5" t="s">
        <v>1407</v>
      </c>
      <c r="E1246" s="57" t="s">
        <v>1871</v>
      </c>
      <c r="F1246" s="57" t="s">
        <v>1408</v>
      </c>
      <c r="G1246" s="57" t="s">
        <v>1872</v>
      </c>
      <c r="H1246" s="57" t="s">
        <v>1409</v>
      </c>
      <c r="I1246" s="57" t="s">
        <v>1870</v>
      </c>
      <c r="J1246" s="57" t="s">
        <v>65</v>
      </c>
      <c r="K1246" s="57" t="s">
        <v>591</v>
      </c>
      <c r="L1246" s="11" t="s">
        <v>914</v>
      </c>
      <c r="M1246" s="22">
        <v>1</v>
      </c>
      <c r="N1246" s="46">
        <v>178571</v>
      </c>
      <c r="O1246" s="49">
        <f t="shared" si="26"/>
        <v>178571</v>
      </c>
      <c r="P1246" s="5" t="s">
        <v>393</v>
      </c>
      <c r="Q1246" s="5" t="s">
        <v>2387</v>
      </c>
      <c r="R1246" s="11" t="s">
        <v>1175</v>
      </c>
      <c r="S1246" s="22">
        <v>0</v>
      </c>
    </row>
    <row r="1247" spans="1:19" ht="39" customHeight="1" outlineLevel="1">
      <c r="A1247" s="5">
        <v>1232</v>
      </c>
      <c r="B1247" s="15" t="s">
        <v>710</v>
      </c>
      <c r="C1247" s="5" t="s">
        <v>597</v>
      </c>
      <c r="D1247" s="11" t="s">
        <v>542</v>
      </c>
      <c r="E1247" s="57" t="s">
        <v>1852</v>
      </c>
      <c r="F1247" s="57" t="s">
        <v>704</v>
      </c>
      <c r="G1247" s="57" t="s">
        <v>1853</v>
      </c>
      <c r="H1247" s="57" t="s">
        <v>543</v>
      </c>
      <c r="I1247" s="57" t="s">
        <v>1869</v>
      </c>
      <c r="J1247" s="57" t="s">
        <v>276</v>
      </c>
      <c r="K1247" s="57" t="s">
        <v>591</v>
      </c>
      <c r="L1247" s="11" t="s">
        <v>914</v>
      </c>
      <c r="M1247" s="22">
        <v>1</v>
      </c>
      <c r="N1247" s="46">
        <f>O1247/M1247</f>
        <v>0</v>
      </c>
      <c r="O1247" s="49">
        <f>160714-160714</f>
        <v>0</v>
      </c>
      <c r="P1247" s="5" t="s">
        <v>393</v>
      </c>
      <c r="Q1247" s="5" t="s">
        <v>766</v>
      </c>
      <c r="R1247" s="11" t="s">
        <v>1175</v>
      </c>
      <c r="S1247" s="22">
        <v>0</v>
      </c>
    </row>
    <row r="1248" spans="1:19" ht="63.75" outlineLevel="1">
      <c r="A1248" s="5">
        <v>1233</v>
      </c>
      <c r="B1248" s="15" t="s">
        <v>710</v>
      </c>
      <c r="C1248" s="5" t="s">
        <v>597</v>
      </c>
      <c r="D1248" s="11" t="s">
        <v>1265</v>
      </c>
      <c r="E1248" s="57" t="s">
        <v>1864</v>
      </c>
      <c r="F1248" s="57" t="s">
        <v>1266</v>
      </c>
      <c r="G1248" s="57" t="s">
        <v>1865</v>
      </c>
      <c r="H1248" s="57" t="s">
        <v>1267</v>
      </c>
      <c r="I1248" s="57" t="s">
        <v>1866</v>
      </c>
      <c r="J1248" s="57" t="s">
        <v>48</v>
      </c>
      <c r="K1248" s="57" t="s">
        <v>591</v>
      </c>
      <c r="L1248" s="11" t="s">
        <v>914</v>
      </c>
      <c r="M1248" s="9">
        <v>1</v>
      </c>
      <c r="N1248" s="46">
        <v>38214</v>
      </c>
      <c r="O1248" s="49">
        <f t="shared" ref="O1248" si="27">M1248*N1248</f>
        <v>38214</v>
      </c>
      <c r="P1248" s="14" t="s">
        <v>588</v>
      </c>
      <c r="Q1248" s="15" t="s">
        <v>1471</v>
      </c>
      <c r="R1248" s="11" t="s">
        <v>1175</v>
      </c>
      <c r="S1248" s="14">
        <v>100</v>
      </c>
    </row>
    <row r="1249" spans="1:19" ht="111.75" customHeight="1" outlineLevel="1">
      <c r="A1249" s="5">
        <v>1234</v>
      </c>
      <c r="B1249" s="15" t="s">
        <v>710</v>
      </c>
      <c r="C1249" s="5" t="s">
        <v>597</v>
      </c>
      <c r="D1249" s="11" t="s">
        <v>1268</v>
      </c>
      <c r="E1249" s="57" t="s">
        <v>1867</v>
      </c>
      <c r="F1249" s="57" t="s">
        <v>1269</v>
      </c>
      <c r="G1249" s="57" t="s">
        <v>1867</v>
      </c>
      <c r="H1249" s="57" t="s">
        <v>1270</v>
      </c>
      <c r="I1249" s="57" t="s">
        <v>1868</v>
      </c>
      <c r="J1249" s="57" t="s">
        <v>49</v>
      </c>
      <c r="K1249" s="57" t="s">
        <v>591</v>
      </c>
      <c r="L1249" s="11" t="s">
        <v>914</v>
      </c>
      <c r="M1249" s="9">
        <v>1</v>
      </c>
      <c r="N1249" s="46">
        <v>804000</v>
      </c>
      <c r="O1249" s="49">
        <f t="shared" si="26"/>
        <v>804000</v>
      </c>
      <c r="P1249" s="5" t="s">
        <v>393</v>
      </c>
      <c r="Q1249" s="5" t="s">
        <v>766</v>
      </c>
      <c r="R1249" s="11" t="s">
        <v>1175</v>
      </c>
      <c r="S1249" s="14">
        <v>100</v>
      </c>
    </row>
    <row r="1250" spans="1:19" ht="63.75" outlineLevel="1">
      <c r="A1250" s="5">
        <v>1235</v>
      </c>
      <c r="B1250" s="29" t="s">
        <v>710</v>
      </c>
      <c r="C1250" s="35" t="s">
        <v>597</v>
      </c>
      <c r="D1250" s="11" t="s">
        <v>542</v>
      </c>
      <c r="E1250" s="57" t="s">
        <v>2070</v>
      </c>
      <c r="F1250" s="57" t="s">
        <v>704</v>
      </c>
      <c r="G1250" s="57" t="s">
        <v>2071</v>
      </c>
      <c r="H1250" s="57" t="s">
        <v>543</v>
      </c>
      <c r="I1250" s="57" t="s">
        <v>1012</v>
      </c>
      <c r="J1250" s="57" t="s">
        <v>66</v>
      </c>
      <c r="K1250" s="57" t="s">
        <v>591</v>
      </c>
      <c r="L1250" s="11" t="s">
        <v>914</v>
      </c>
      <c r="M1250" s="22">
        <v>1</v>
      </c>
      <c r="N1250" s="46">
        <v>721083</v>
      </c>
      <c r="O1250" s="49">
        <f t="shared" si="26"/>
        <v>721083</v>
      </c>
      <c r="P1250" s="5" t="s">
        <v>393</v>
      </c>
      <c r="Q1250" s="5" t="s">
        <v>766</v>
      </c>
      <c r="R1250" s="11" t="s">
        <v>2030</v>
      </c>
      <c r="S1250" s="22">
        <v>0</v>
      </c>
    </row>
    <row r="1251" spans="1:19" ht="63.75" outlineLevel="1">
      <c r="A1251" s="5">
        <v>1236</v>
      </c>
      <c r="B1251" s="15" t="s">
        <v>710</v>
      </c>
      <c r="C1251" s="5" t="s">
        <v>597</v>
      </c>
      <c r="D1251" s="11" t="s">
        <v>542</v>
      </c>
      <c r="E1251" s="57" t="s">
        <v>2070</v>
      </c>
      <c r="F1251" s="57" t="s">
        <v>704</v>
      </c>
      <c r="G1251" s="57" t="s">
        <v>2071</v>
      </c>
      <c r="H1251" s="57" t="s">
        <v>543</v>
      </c>
      <c r="I1251" s="57" t="s">
        <v>1012</v>
      </c>
      <c r="J1251" s="57" t="s">
        <v>66</v>
      </c>
      <c r="K1251" s="57" t="s">
        <v>591</v>
      </c>
      <c r="L1251" s="11" t="s">
        <v>914</v>
      </c>
      <c r="M1251" s="22">
        <v>1</v>
      </c>
      <c r="N1251" s="46">
        <v>743165</v>
      </c>
      <c r="O1251" s="49">
        <f t="shared" si="26"/>
        <v>743165</v>
      </c>
      <c r="P1251" s="5" t="s">
        <v>393</v>
      </c>
      <c r="Q1251" s="5" t="s">
        <v>766</v>
      </c>
      <c r="R1251" s="11" t="s">
        <v>1021</v>
      </c>
      <c r="S1251" s="5">
        <v>0</v>
      </c>
    </row>
    <row r="1252" spans="1:19" ht="63.75" outlineLevel="1">
      <c r="A1252" s="5">
        <v>1237</v>
      </c>
      <c r="B1252" s="15" t="s">
        <v>710</v>
      </c>
      <c r="C1252" s="5" t="s">
        <v>597</v>
      </c>
      <c r="D1252" s="11" t="s">
        <v>542</v>
      </c>
      <c r="E1252" s="57" t="s">
        <v>2070</v>
      </c>
      <c r="F1252" s="57" t="s">
        <v>704</v>
      </c>
      <c r="G1252" s="57" t="s">
        <v>2071</v>
      </c>
      <c r="H1252" s="57" t="s">
        <v>543</v>
      </c>
      <c r="I1252" s="57" t="s">
        <v>1012</v>
      </c>
      <c r="J1252" s="57" t="s">
        <v>66</v>
      </c>
      <c r="K1252" s="57" t="s">
        <v>591</v>
      </c>
      <c r="L1252" s="11" t="s">
        <v>914</v>
      </c>
      <c r="M1252" s="22">
        <v>1</v>
      </c>
      <c r="N1252" s="46">
        <v>863839</v>
      </c>
      <c r="O1252" s="49">
        <f t="shared" si="26"/>
        <v>863839</v>
      </c>
      <c r="P1252" s="5" t="s">
        <v>393</v>
      </c>
      <c r="Q1252" s="5" t="s">
        <v>766</v>
      </c>
      <c r="R1252" s="11" t="s">
        <v>789</v>
      </c>
      <c r="S1252" s="5">
        <v>0</v>
      </c>
    </row>
    <row r="1253" spans="1:19" ht="63.75">
      <c r="A1253" s="5">
        <v>1238</v>
      </c>
      <c r="B1253" s="15" t="s">
        <v>710</v>
      </c>
      <c r="C1253" s="5" t="s">
        <v>597</v>
      </c>
      <c r="D1253" s="11" t="s">
        <v>542</v>
      </c>
      <c r="E1253" s="57" t="s">
        <v>2070</v>
      </c>
      <c r="F1253" s="57" t="s">
        <v>704</v>
      </c>
      <c r="G1253" s="57" t="s">
        <v>2071</v>
      </c>
      <c r="H1253" s="57" t="s">
        <v>543</v>
      </c>
      <c r="I1253" s="57" t="s">
        <v>1012</v>
      </c>
      <c r="J1253" s="57" t="s">
        <v>66</v>
      </c>
      <c r="K1253" s="57" t="s">
        <v>591</v>
      </c>
      <c r="L1253" s="11" t="s">
        <v>914</v>
      </c>
      <c r="M1253" s="22">
        <v>1</v>
      </c>
      <c r="N1253" s="46">
        <f>O1253/M1253</f>
        <v>1401195</v>
      </c>
      <c r="O1253" s="49">
        <f>1681434-280239</f>
        <v>1401195</v>
      </c>
      <c r="P1253" s="5" t="s">
        <v>515</v>
      </c>
      <c r="Q1253" s="5" t="s">
        <v>766</v>
      </c>
      <c r="R1253" s="11" t="s">
        <v>2022</v>
      </c>
      <c r="S1253" s="22">
        <v>0</v>
      </c>
    </row>
    <row r="1254" spans="1:19" s="13" customFormat="1" ht="63.75">
      <c r="A1254" s="5">
        <v>1239</v>
      </c>
      <c r="B1254" s="15" t="s">
        <v>710</v>
      </c>
      <c r="C1254" s="5" t="s">
        <v>597</v>
      </c>
      <c r="D1254" s="11" t="s">
        <v>542</v>
      </c>
      <c r="E1254" s="57" t="s">
        <v>2070</v>
      </c>
      <c r="F1254" s="57" t="s">
        <v>704</v>
      </c>
      <c r="G1254" s="57" t="s">
        <v>2071</v>
      </c>
      <c r="H1254" s="57" t="s">
        <v>543</v>
      </c>
      <c r="I1254" s="57" t="s">
        <v>1012</v>
      </c>
      <c r="J1254" s="57" t="s">
        <v>66</v>
      </c>
      <c r="K1254" s="57" t="s">
        <v>591</v>
      </c>
      <c r="L1254" s="11" t="s">
        <v>914</v>
      </c>
      <c r="M1254" s="22">
        <v>1</v>
      </c>
      <c r="N1254" s="46">
        <f>O1254/M1254</f>
        <v>539771</v>
      </c>
      <c r="O1254" s="49">
        <f>939771-400000</f>
        <v>539771</v>
      </c>
      <c r="P1254" s="5" t="s">
        <v>393</v>
      </c>
      <c r="Q1254" s="5" t="s">
        <v>766</v>
      </c>
      <c r="R1254" s="11" t="s">
        <v>2023</v>
      </c>
      <c r="S1254" s="22">
        <v>100</v>
      </c>
    </row>
    <row r="1255" spans="1:19" ht="63.75">
      <c r="A1255" s="5">
        <v>1240</v>
      </c>
      <c r="B1255" s="15" t="s">
        <v>710</v>
      </c>
      <c r="C1255" s="5" t="s">
        <v>597</v>
      </c>
      <c r="D1255" s="11" t="s">
        <v>542</v>
      </c>
      <c r="E1255" s="57" t="s">
        <v>2070</v>
      </c>
      <c r="F1255" s="57" t="s">
        <v>704</v>
      </c>
      <c r="G1255" s="57" t="s">
        <v>2071</v>
      </c>
      <c r="H1255" s="57" t="s">
        <v>543</v>
      </c>
      <c r="I1255" s="57" t="s">
        <v>1012</v>
      </c>
      <c r="J1255" s="57" t="s">
        <v>66</v>
      </c>
      <c r="K1255" s="57" t="s">
        <v>591</v>
      </c>
      <c r="L1255" s="11" t="s">
        <v>914</v>
      </c>
      <c r="M1255" s="22">
        <v>1</v>
      </c>
      <c r="N1255" s="46">
        <v>1007813</v>
      </c>
      <c r="O1255" s="49">
        <f t="shared" si="26"/>
        <v>1007813</v>
      </c>
      <c r="P1255" s="5" t="s">
        <v>393</v>
      </c>
      <c r="Q1255" s="5" t="s">
        <v>766</v>
      </c>
      <c r="R1255" s="11" t="s">
        <v>633</v>
      </c>
      <c r="S1255" s="22">
        <v>0</v>
      </c>
    </row>
    <row r="1256" spans="1:19" ht="63.75" outlineLevel="1">
      <c r="A1256" s="5">
        <v>1241</v>
      </c>
      <c r="B1256" s="15" t="s">
        <v>710</v>
      </c>
      <c r="C1256" s="5" t="s">
        <v>597</v>
      </c>
      <c r="D1256" s="11" t="s">
        <v>542</v>
      </c>
      <c r="E1256" s="57" t="s">
        <v>2070</v>
      </c>
      <c r="F1256" s="57" t="s">
        <v>704</v>
      </c>
      <c r="G1256" s="57" t="s">
        <v>2071</v>
      </c>
      <c r="H1256" s="57" t="s">
        <v>543</v>
      </c>
      <c r="I1256" s="57" t="s">
        <v>1012</v>
      </c>
      <c r="J1256" s="57" t="s">
        <v>66</v>
      </c>
      <c r="K1256" s="57" t="s">
        <v>591</v>
      </c>
      <c r="L1256" s="11" t="s">
        <v>914</v>
      </c>
      <c r="M1256" s="22">
        <v>1</v>
      </c>
      <c r="N1256" s="46">
        <v>671852</v>
      </c>
      <c r="O1256" s="49">
        <f t="shared" si="26"/>
        <v>671852</v>
      </c>
      <c r="P1256" s="5" t="s">
        <v>393</v>
      </c>
      <c r="Q1256" s="5" t="s">
        <v>766</v>
      </c>
      <c r="R1256" s="11">
        <v>311000000</v>
      </c>
      <c r="S1256" s="22">
        <v>0</v>
      </c>
    </row>
    <row r="1257" spans="1:19" ht="63.75">
      <c r="A1257" s="5">
        <v>1242</v>
      </c>
      <c r="B1257" s="15" t="s">
        <v>710</v>
      </c>
      <c r="C1257" s="5" t="s">
        <v>597</v>
      </c>
      <c r="D1257" s="11" t="s">
        <v>542</v>
      </c>
      <c r="E1257" s="57" t="s">
        <v>2070</v>
      </c>
      <c r="F1257" s="57" t="s">
        <v>704</v>
      </c>
      <c r="G1257" s="57" t="s">
        <v>2071</v>
      </c>
      <c r="H1257" s="57" t="s">
        <v>543</v>
      </c>
      <c r="I1257" s="57" t="s">
        <v>1012</v>
      </c>
      <c r="J1257" s="57" t="s">
        <v>66</v>
      </c>
      <c r="K1257" s="57" t="s">
        <v>591</v>
      </c>
      <c r="L1257" s="11" t="s">
        <v>914</v>
      </c>
      <c r="M1257" s="22">
        <v>1</v>
      </c>
      <c r="N1257" s="46">
        <v>575893</v>
      </c>
      <c r="O1257" s="49">
        <f t="shared" si="26"/>
        <v>575893</v>
      </c>
      <c r="P1257" s="5" t="s">
        <v>393</v>
      </c>
      <c r="Q1257" s="5" t="s">
        <v>766</v>
      </c>
      <c r="R1257" s="11" t="s">
        <v>2024</v>
      </c>
      <c r="S1257" s="5">
        <v>100</v>
      </c>
    </row>
    <row r="1258" spans="1:19" ht="63.75">
      <c r="A1258" s="5">
        <v>1243</v>
      </c>
      <c r="B1258" s="15" t="s">
        <v>710</v>
      </c>
      <c r="C1258" s="5" t="s">
        <v>597</v>
      </c>
      <c r="D1258" s="11" t="s">
        <v>542</v>
      </c>
      <c r="E1258" s="57" t="s">
        <v>2070</v>
      </c>
      <c r="F1258" s="57" t="s">
        <v>704</v>
      </c>
      <c r="G1258" s="57" t="s">
        <v>2071</v>
      </c>
      <c r="H1258" s="57" t="s">
        <v>543</v>
      </c>
      <c r="I1258" s="57" t="s">
        <v>1012</v>
      </c>
      <c r="J1258" s="57" t="s">
        <v>66</v>
      </c>
      <c r="K1258" s="57" t="s">
        <v>591</v>
      </c>
      <c r="L1258" s="11" t="s">
        <v>914</v>
      </c>
      <c r="M1258" s="22">
        <v>1</v>
      </c>
      <c r="N1258" s="46">
        <v>1151785</v>
      </c>
      <c r="O1258" s="49">
        <f t="shared" si="26"/>
        <v>1151785</v>
      </c>
      <c r="P1258" s="5" t="s">
        <v>393</v>
      </c>
      <c r="Q1258" s="5" t="s">
        <v>766</v>
      </c>
      <c r="R1258" s="11">
        <v>351000000</v>
      </c>
      <c r="S1258" s="22">
        <v>0</v>
      </c>
    </row>
    <row r="1259" spans="1:19" ht="63.75">
      <c r="A1259" s="5">
        <v>1244</v>
      </c>
      <c r="B1259" s="15" t="s">
        <v>710</v>
      </c>
      <c r="C1259" s="5" t="s">
        <v>597</v>
      </c>
      <c r="D1259" s="11" t="s">
        <v>542</v>
      </c>
      <c r="E1259" s="57" t="s">
        <v>2070</v>
      </c>
      <c r="F1259" s="57" t="s">
        <v>704</v>
      </c>
      <c r="G1259" s="57" t="s">
        <v>2071</v>
      </c>
      <c r="H1259" s="57" t="s">
        <v>543</v>
      </c>
      <c r="I1259" s="57" t="s">
        <v>1012</v>
      </c>
      <c r="J1259" s="57" t="s">
        <v>66</v>
      </c>
      <c r="K1259" s="57" t="s">
        <v>591</v>
      </c>
      <c r="L1259" s="11" t="s">
        <v>914</v>
      </c>
      <c r="M1259" s="22">
        <v>1</v>
      </c>
      <c r="N1259" s="46">
        <v>1055804</v>
      </c>
      <c r="O1259" s="49">
        <f t="shared" si="26"/>
        <v>1055804</v>
      </c>
      <c r="P1259" s="5" t="s">
        <v>393</v>
      </c>
      <c r="Q1259" s="5" t="s">
        <v>766</v>
      </c>
      <c r="R1259" s="11" t="s">
        <v>925</v>
      </c>
      <c r="S1259" s="22">
        <v>0</v>
      </c>
    </row>
    <row r="1260" spans="1:19" ht="63.75" outlineLevel="1">
      <c r="A1260" s="5">
        <v>1245</v>
      </c>
      <c r="B1260" s="15" t="s">
        <v>710</v>
      </c>
      <c r="C1260" s="5" t="s">
        <v>597</v>
      </c>
      <c r="D1260" s="11" t="s">
        <v>542</v>
      </c>
      <c r="E1260" s="57" t="s">
        <v>2070</v>
      </c>
      <c r="F1260" s="57" t="s">
        <v>704</v>
      </c>
      <c r="G1260" s="57" t="s">
        <v>2071</v>
      </c>
      <c r="H1260" s="57" t="s">
        <v>543</v>
      </c>
      <c r="I1260" s="57" t="s">
        <v>1012</v>
      </c>
      <c r="J1260" s="57" t="s">
        <v>66</v>
      </c>
      <c r="K1260" s="57" t="s">
        <v>591</v>
      </c>
      <c r="L1260" s="11" t="s">
        <v>914</v>
      </c>
      <c r="M1260" s="22">
        <v>1</v>
      </c>
      <c r="N1260" s="46">
        <v>446429</v>
      </c>
      <c r="O1260" s="49">
        <f t="shared" si="26"/>
        <v>446429</v>
      </c>
      <c r="P1260" s="5" t="s">
        <v>393</v>
      </c>
      <c r="Q1260" s="5" t="s">
        <v>766</v>
      </c>
      <c r="R1260" s="11">
        <v>431000000</v>
      </c>
      <c r="S1260" s="22">
        <v>0</v>
      </c>
    </row>
    <row r="1261" spans="1:19" ht="63.75" outlineLevel="1">
      <c r="A1261" s="5">
        <v>1246</v>
      </c>
      <c r="B1261" s="29" t="s">
        <v>710</v>
      </c>
      <c r="C1261" s="35" t="s">
        <v>597</v>
      </c>
      <c r="D1261" s="11" t="s">
        <v>542</v>
      </c>
      <c r="E1261" s="57" t="s">
        <v>2070</v>
      </c>
      <c r="F1261" s="57" t="s">
        <v>704</v>
      </c>
      <c r="G1261" s="57" t="s">
        <v>2071</v>
      </c>
      <c r="H1261" s="57" t="s">
        <v>543</v>
      </c>
      <c r="I1261" s="57" t="s">
        <v>1012</v>
      </c>
      <c r="J1261" s="57" t="s">
        <v>66</v>
      </c>
      <c r="K1261" s="57" t="s">
        <v>591</v>
      </c>
      <c r="L1261" s="11" t="s">
        <v>914</v>
      </c>
      <c r="M1261" s="52">
        <v>1</v>
      </c>
      <c r="N1261" s="46">
        <v>1124431</v>
      </c>
      <c r="O1261" s="49">
        <f t="shared" si="26"/>
        <v>1124431</v>
      </c>
      <c r="P1261" s="5" t="s">
        <v>393</v>
      </c>
      <c r="Q1261" s="5" t="s">
        <v>766</v>
      </c>
      <c r="R1261" s="11" t="s">
        <v>715</v>
      </c>
      <c r="S1261" s="22">
        <v>100</v>
      </c>
    </row>
    <row r="1262" spans="1:19" s="32" customFormat="1" ht="63.75">
      <c r="A1262" s="5">
        <v>1247</v>
      </c>
      <c r="B1262" s="15" t="s">
        <v>710</v>
      </c>
      <c r="C1262" s="5" t="s">
        <v>597</v>
      </c>
      <c r="D1262" s="11" t="s">
        <v>542</v>
      </c>
      <c r="E1262" s="57" t="s">
        <v>2070</v>
      </c>
      <c r="F1262" s="57" t="s">
        <v>704</v>
      </c>
      <c r="G1262" s="57" t="s">
        <v>2071</v>
      </c>
      <c r="H1262" s="57" t="s">
        <v>543</v>
      </c>
      <c r="I1262" s="57" t="s">
        <v>1012</v>
      </c>
      <c r="J1262" s="57" t="s">
        <v>66</v>
      </c>
      <c r="K1262" s="57" t="s">
        <v>591</v>
      </c>
      <c r="L1262" s="11" t="s">
        <v>914</v>
      </c>
      <c r="M1262" s="22">
        <v>1</v>
      </c>
      <c r="N1262" s="46">
        <v>660300</v>
      </c>
      <c r="O1262" s="49">
        <f t="shared" si="26"/>
        <v>660300</v>
      </c>
      <c r="P1262" s="5" t="s">
        <v>393</v>
      </c>
      <c r="Q1262" s="5" t="s">
        <v>394</v>
      </c>
      <c r="R1262" s="11">
        <v>551000000</v>
      </c>
      <c r="S1262" s="22">
        <v>100</v>
      </c>
    </row>
    <row r="1263" spans="1:19" ht="63.75" outlineLevel="1">
      <c r="A1263" s="5">
        <v>1248</v>
      </c>
      <c r="B1263" s="15" t="s">
        <v>941</v>
      </c>
      <c r="C1263" s="5" t="s">
        <v>597</v>
      </c>
      <c r="D1263" s="11" t="s">
        <v>542</v>
      </c>
      <c r="E1263" s="57" t="s">
        <v>2070</v>
      </c>
      <c r="F1263" s="57" t="s">
        <v>704</v>
      </c>
      <c r="G1263" s="57" t="s">
        <v>2071</v>
      </c>
      <c r="H1263" s="57" t="s">
        <v>543</v>
      </c>
      <c r="I1263" s="57" t="s">
        <v>1012</v>
      </c>
      <c r="J1263" s="57" t="s">
        <v>66</v>
      </c>
      <c r="K1263" s="57" t="s">
        <v>591</v>
      </c>
      <c r="L1263" s="11" t="s">
        <v>914</v>
      </c>
      <c r="M1263" s="22">
        <v>1</v>
      </c>
      <c r="N1263" s="46">
        <v>795595</v>
      </c>
      <c r="O1263" s="49">
        <f t="shared" si="26"/>
        <v>795595</v>
      </c>
      <c r="P1263" s="5" t="s">
        <v>393</v>
      </c>
      <c r="Q1263" s="5" t="s">
        <v>766</v>
      </c>
      <c r="R1263" s="11">
        <v>591000000</v>
      </c>
      <c r="S1263" s="22">
        <v>0</v>
      </c>
    </row>
    <row r="1264" spans="1:19" ht="63.75" outlineLevel="1">
      <c r="A1264" s="5">
        <v>1249</v>
      </c>
      <c r="B1264" s="15" t="s">
        <v>710</v>
      </c>
      <c r="C1264" s="5" t="s">
        <v>597</v>
      </c>
      <c r="D1264" s="11" t="s">
        <v>542</v>
      </c>
      <c r="E1264" s="57" t="s">
        <v>2070</v>
      </c>
      <c r="F1264" s="57" t="s">
        <v>704</v>
      </c>
      <c r="G1264" s="57" t="s">
        <v>2071</v>
      </c>
      <c r="H1264" s="57" t="s">
        <v>543</v>
      </c>
      <c r="I1264" s="57" t="s">
        <v>1012</v>
      </c>
      <c r="J1264" s="57" t="s">
        <v>66</v>
      </c>
      <c r="K1264" s="57" t="s">
        <v>591</v>
      </c>
      <c r="L1264" s="11" t="s">
        <v>914</v>
      </c>
      <c r="M1264" s="22">
        <v>1</v>
      </c>
      <c r="N1264" s="46">
        <v>803865</v>
      </c>
      <c r="O1264" s="49">
        <f t="shared" si="26"/>
        <v>803865</v>
      </c>
      <c r="P1264" s="5" t="s">
        <v>393</v>
      </c>
      <c r="Q1264" s="5" t="s">
        <v>766</v>
      </c>
      <c r="R1264" s="11" t="s">
        <v>2029</v>
      </c>
      <c r="S1264" s="5">
        <v>0</v>
      </c>
    </row>
    <row r="1265" spans="1:19" ht="51" outlineLevel="1">
      <c r="A1265" s="5">
        <v>1250</v>
      </c>
      <c r="B1265" s="29" t="s">
        <v>710</v>
      </c>
      <c r="C1265" s="35" t="s">
        <v>597</v>
      </c>
      <c r="D1265" s="10" t="s">
        <v>544</v>
      </c>
      <c r="E1265" s="57" t="s">
        <v>1013</v>
      </c>
      <c r="F1265" s="57" t="s">
        <v>1014</v>
      </c>
      <c r="G1265" s="57" t="s">
        <v>1015</v>
      </c>
      <c r="H1265" s="57" t="s">
        <v>545</v>
      </c>
      <c r="I1265" s="57" t="s">
        <v>1013</v>
      </c>
      <c r="J1265" s="57" t="s">
        <v>67</v>
      </c>
      <c r="K1265" s="57" t="s">
        <v>591</v>
      </c>
      <c r="L1265" s="11" t="s">
        <v>914</v>
      </c>
      <c r="M1265" s="22">
        <v>1</v>
      </c>
      <c r="N1265" s="46">
        <v>1651786</v>
      </c>
      <c r="O1265" s="49">
        <f t="shared" si="26"/>
        <v>1651786</v>
      </c>
      <c r="P1265" s="5" t="s">
        <v>393</v>
      </c>
      <c r="Q1265" s="5" t="s">
        <v>766</v>
      </c>
      <c r="R1265" s="11" t="s">
        <v>1175</v>
      </c>
      <c r="S1265" s="5">
        <v>100</v>
      </c>
    </row>
    <row r="1266" spans="1:19" ht="51" outlineLevel="1">
      <c r="A1266" s="5">
        <v>1251</v>
      </c>
      <c r="B1266" s="15" t="s">
        <v>710</v>
      </c>
      <c r="C1266" s="5" t="s">
        <v>597</v>
      </c>
      <c r="D1266" s="5" t="s">
        <v>546</v>
      </c>
      <c r="E1266" s="57" t="s">
        <v>1016</v>
      </c>
      <c r="F1266" s="57" t="s">
        <v>68</v>
      </c>
      <c r="G1266" s="57" t="s">
        <v>547</v>
      </c>
      <c r="H1266" s="57" t="s">
        <v>68</v>
      </c>
      <c r="I1266" s="57" t="s">
        <v>547</v>
      </c>
      <c r="J1266" s="57" t="s">
        <v>68</v>
      </c>
      <c r="K1266" s="57" t="s">
        <v>591</v>
      </c>
      <c r="L1266" s="11" t="s">
        <v>914</v>
      </c>
      <c r="M1266" s="22">
        <v>1</v>
      </c>
      <c r="N1266" s="46">
        <v>1881848</v>
      </c>
      <c r="O1266" s="49">
        <f t="shared" si="26"/>
        <v>1881848</v>
      </c>
      <c r="P1266" s="5" t="s">
        <v>393</v>
      </c>
      <c r="Q1266" s="5" t="s">
        <v>766</v>
      </c>
      <c r="R1266" s="11" t="s">
        <v>1175</v>
      </c>
      <c r="S1266" s="22">
        <v>0</v>
      </c>
    </row>
    <row r="1267" spans="1:19" ht="51" outlineLevel="1">
      <c r="A1267" s="5">
        <v>1252</v>
      </c>
      <c r="B1267" s="29" t="s">
        <v>710</v>
      </c>
      <c r="C1267" s="35" t="s">
        <v>597</v>
      </c>
      <c r="D1267" s="10" t="s">
        <v>544</v>
      </c>
      <c r="E1267" s="57" t="s">
        <v>1013</v>
      </c>
      <c r="F1267" s="57" t="s">
        <v>1014</v>
      </c>
      <c r="G1267" s="57" t="s">
        <v>1015</v>
      </c>
      <c r="H1267" s="57" t="s">
        <v>545</v>
      </c>
      <c r="I1267" s="57" t="s">
        <v>1013</v>
      </c>
      <c r="J1267" s="57" t="s">
        <v>67</v>
      </c>
      <c r="K1267" s="57" t="s">
        <v>591</v>
      </c>
      <c r="L1267" s="11" t="s">
        <v>914</v>
      </c>
      <c r="M1267" s="22">
        <v>1</v>
      </c>
      <c r="N1267" s="46">
        <v>137571</v>
      </c>
      <c r="O1267" s="49">
        <f t="shared" si="26"/>
        <v>137571</v>
      </c>
      <c r="P1267" s="5" t="s">
        <v>393</v>
      </c>
      <c r="Q1267" s="5" t="s">
        <v>766</v>
      </c>
      <c r="R1267" s="11" t="s">
        <v>2030</v>
      </c>
      <c r="S1267" s="5">
        <v>100</v>
      </c>
    </row>
    <row r="1268" spans="1:19" ht="51" outlineLevel="1">
      <c r="A1268" s="5">
        <v>1253</v>
      </c>
      <c r="B1268" s="29" t="s">
        <v>710</v>
      </c>
      <c r="C1268" s="35" t="s">
        <v>597</v>
      </c>
      <c r="D1268" s="10" t="s">
        <v>544</v>
      </c>
      <c r="E1268" s="57" t="s">
        <v>1013</v>
      </c>
      <c r="F1268" s="57" t="s">
        <v>1014</v>
      </c>
      <c r="G1268" s="57" t="s">
        <v>1015</v>
      </c>
      <c r="H1268" s="57" t="s">
        <v>545</v>
      </c>
      <c r="I1268" s="57" t="s">
        <v>1013</v>
      </c>
      <c r="J1268" s="57" t="s">
        <v>67</v>
      </c>
      <c r="K1268" s="57" t="s">
        <v>591</v>
      </c>
      <c r="L1268" s="11" t="s">
        <v>914</v>
      </c>
      <c r="M1268" s="22">
        <v>1</v>
      </c>
      <c r="N1268" s="46">
        <v>214286</v>
      </c>
      <c r="O1268" s="49">
        <f t="shared" si="26"/>
        <v>214286</v>
      </c>
      <c r="P1268" s="5" t="s">
        <v>393</v>
      </c>
      <c r="Q1268" s="5" t="s">
        <v>766</v>
      </c>
      <c r="R1268" s="11" t="s">
        <v>1021</v>
      </c>
      <c r="S1268" s="5">
        <v>100</v>
      </c>
    </row>
    <row r="1269" spans="1:19" ht="51" outlineLevel="1">
      <c r="A1269" s="5">
        <v>1254</v>
      </c>
      <c r="B1269" s="29" t="s">
        <v>710</v>
      </c>
      <c r="C1269" s="35" t="s">
        <v>597</v>
      </c>
      <c r="D1269" s="10" t="s">
        <v>544</v>
      </c>
      <c r="E1269" s="57" t="s">
        <v>1013</v>
      </c>
      <c r="F1269" s="57" t="s">
        <v>1014</v>
      </c>
      <c r="G1269" s="57" t="s">
        <v>1015</v>
      </c>
      <c r="H1269" s="57" t="s">
        <v>545</v>
      </c>
      <c r="I1269" s="57" t="s">
        <v>1013</v>
      </c>
      <c r="J1269" s="57" t="s">
        <v>67</v>
      </c>
      <c r="K1269" s="57" t="s">
        <v>591</v>
      </c>
      <c r="L1269" s="11" t="s">
        <v>914</v>
      </c>
      <c r="M1269" s="22">
        <v>1</v>
      </c>
      <c r="N1269" s="46">
        <v>321429</v>
      </c>
      <c r="O1269" s="49">
        <f t="shared" si="26"/>
        <v>321429</v>
      </c>
      <c r="P1269" s="5" t="s">
        <v>393</v>
      </c>
      <c r="Q1269" s="5" t="s">
        <v>766</v>
      </c>
      <c r="R1269" s="11" t="s">
        <v>789</v>
      </c>
      <c r="S1269" s="5">
        <v>100</v>
      </c>
    </row>
    <row r="1270" spans="1:19" ht="51" outlineLevel="1">
      <c r="A1270" s="5">
        <v>1255</v>
      </c>
      <c r="B1270" s="29" t="s">
        <v>710</v>
      </c>
      <c r="C1270" s="35" t="s">
        <v>597</v>
      </c>
      <c r="D1270" s="10" t="s">
        <v>544</v>
      </c>
      <c r="E1270" s="57" t="s">
        <v>1013</v>
      </c>
      <c r="F1270" s="57" t="s">
        <v>1014</v>
      </c>
      <c r="G1270" s="57" t="s">
        <v>1015</v>
      </c>
      <c r="H1270" s="57" t="s">
        <v>545</v>
      </c>
      <c r="I1270" s="57" t="s">
        <v>1013</v>
      </c>
      <c r="J1270" s="57" t="s">
        <v>67</v>
      </c>
      <c r="K1270" s="57" t="s">
        <v>591</v>
      </c>
      <c r="L1270" s="11" t="s">
        <v>914</v>
      </c>
      <c r="M1270" s="22">
        <v>1</v>
      </c>
      <c r="N1270" s="46">
        <v>321429</v>
      </c>
      <c r="O1270" s="49">
        <f t="shared" si="26"/>
        <v>321429</v>
      </c>
      <c r="P1270" s="5" t="s">
        <v>393</v>
      </c>
      <c r="Q1270" s="5" t="s">
        <v>766</v>
      </c>
      <c r="R1270" s="11" t="s">
        <v>2022</v>
      </c>
      <c r="S1270" s="5">
        <v>100</v>
      </c>
    </row>
    <row r="1271" spans="1:19" ht="51">
      <c r="A1271" s="5">
        <v>1256</v>
      </c>
      <c r="B1271" s="29" t="s">
        <v>710</v>
      </c>
      <c r="C1271" s="35" t="s">
        <v>597</v>
      </c>
      <c r="D1271" s="10" t="s">
        <v>544</v>
      </c>
      <c r="E1271" s="57" t="s">
        <v>1013</v>
      </c>
      <c r="F1271" s="57" t="s">
        <v>1014</v>
      </c>
      <c r="G1271" s="57" t="s">
        <v>1015</v>
      </c>
      <c r="H1271" s="57" t="s">
        <v>545</v>
      </c>
      <c r="I1271" s="57" t="s">
        <v>1013</v>
      </c>
      <c r="J1271" s="57" t="s">
        <v>67</v>
      </c>
      <c r="K1271" s="57" t="s">
        <v>591</v>
      </c>
      <c r="L1271" s="11" t="s">
        <v>914</v>
      </c>
      <c r="M1271" s="22">
        <v>1</v>
      </c>
      <c r="N1271" s="46">
        <v>205357</v>
      </c>
      <c r="O1271" s="49">
        <f t="shared" si="26"/>
        <v>205357</v>
      </c>
      <c r="P1271" s="5" t="s">
        <v>393</v>
      </c>
      <c r="Q1271" s="5" t="s">
        <v>766</v>
      </c>
      <c r="R1271" s="11" t="s">
        <v>2027</v>
      </c>
      <c r="S1271" s="5">
        <v>100</v>
      </c>
    </row>
    <row r="1272" spans="1:19" s="13" customFormat="1" ht="51">
      <c r="A1272" s="5">
        <v>1257</v>
      </c>
      <c r="B1272" s="29" t="s">
        <v>710</v>
      </c>
      <c r="C1272" s="35" t="s">
        <v>597</v>
      </c>
      <c r="D1272" s="10" t="s">
        <v>544</v>
      </c>
      <c r="E1272" s="57" t="s">
        <v>1013</v>
      </c>
      <c r="F1272" s="57" t="s">
        <v>1014</v>
      </c>
      <c r="G1272" s="57" t="s">
        <v>1015</v>
      </c>
      <c r="H1272" s="57" t="s">
        <v>545</v>
      </c>
      <c r="I1272" s="57" t="s">
        <v>1013</v>
      </c>
      <c r="J1272" s="57" t="s">
        <v>67</v>
      </c>
      <c r="K1272" s="57" t="s">
        <v>591</v>
      </c>
      <c r="L1272" s="11" t="s">
        <v>914</v>
      </c>
      <c r="M1272" s="22">
        <v>1</v>
      </c>
      <c r="N1272" s="46">
        <v>62679</v>
      </c>
      <c r="O1272" s="49">
        <f t="shared" si="26"/>
        <v>62679</v>
      </c>
      <c r="P1272" s="5" t="s">
        <v>393</v>
      </c>
      <c r="Q1272" s="5" t="s">
        <v>766</v>
      </c>
      <c r="R1272" s="11" t="s">
        <v>2023</v>
      </c>
      <c r="S1272" s="5">
        <v>100</v>
      </c>
    </row>
    <row r="1273" spans="1:19" ht="51" outlineLevel="1">
      <c r="A1273" s="5">
        <v>1258</v>
      </c>
      <c r="B1273" s="29" t="s">
        <v>710</v>
      </c>
      <c r="C1273" s="35" t="s">
        <v>597</v>
      </c>
      <c r="D1273" s="10" t="s">
        <v>544</v>
      </c>
      <c r="E1273" s="57" t="s">
        <v>1013</v>
      </c>
      <c r="F1273" s="57" t="s">
        <v>1014</v>
      </c>
      <c r="G1273" s="57" t="s">
        <v>1015</v>
      </c>
      <c r="H1273" s="57" t="s">
        <v>545</v>
      </c>
      <c r="I1273" s="57" t="s">
        <v>1013</v>
      </c>
      <c r="J1273" s="57" t="s">
        <v>67</v>
      </c>
      <c r="K1273" s="57" t="s">
        <v>591</v>
      </c>
      <c r="L1273" s="11" t="s">
        <v>914</v>
      </c>
      <c r="M1273" s="22">
        <v>1</v>
      </c>
      <c r="N1273" s="46">
        <v>200000</v>
      </c>
      <c r="O1273" s="49">
        <f t="shared" si="26"/>
        <v>200000</v>
      </c>
      <c r="P1273" s="5" t="s">
        <v>393</v>
      </c>
      <c r="Q1273" s="5" t="s">
        <v>766</v>
      </c>
      <c r="R1273" s="11" t="s">
        <v>633</v>
      </c>
      <c r="S1273" s="5">
        <v>100</v>
      </c>
    </row>
    <row r="1274" spans="1:19" ht="51" outlineLevel="1">
      <c r="A1274" s="5">
        <v>1259</v>
      </c>
      <c r="B1274" s="29" t="s">
        <v>710</v>
      </c>
      <c r="C1274" s="35" t="s">
        <v>597</v>
      </c>
      <c r="D1274" s="10" t="s">
        <v>544</v>
      </c>
      <c r="E1274" s="57" t="s">
        <v>1013</v>
      </c>
      <c r="F1274" s="57" t="s">
        <v>1014</v>
      </c>
      <c r="G1274" s="57" t="s">
        <v>1015</v>
      </c>
      <c r="H1274" s="57" t="s">
        <v>545</v>
      </c>
      <c r="I1274" s="57" t="s">
        <v>1013</v>
      </c>
      <c r="J1274" s="57" t="s">
        <v>67</v>
      </c>
      <c r="K1274" s="57" t="s">
        <v>591</v>
      </c>
      <c r="L1274" s="11" t="s">
        <v>914</v>
      </c>
      <c r="M1274" s="22">
        <v>1</v>
      </c>
      <c r="N1274" s="46">
        <v>171429</v>
      </c>
      <c r="O1274" s="49">
        <f t="shared" si="26"/>
        <v>171429</v>
      </c>
      <c r="P1274" s="5" t="s">
        <v>393</v>
      </c>
      <c r="Q1274" s="5" t="s">
        <v>766</v>
      </c>
      <c r="R1274" s="11">
        <v>311000000</v>
      </c>
      <c r="S1274" s="5">
        <v>100</v>
      </c>
    </row>
    <row r="1275" spans="1:19" ht="51" outlineLevel="1">
      <c r="A1275" s="5">
        <v>1260</v>
      </c>
      <c r="B1275" s="29" t="s">
        <v>710</v>
      </c>
      <c r="C1275" s="35" t="s">
        <v>597</v>
      </c>
      <c r="D1275" s="10" t="s">
        <v>544</v>
      </c>
      <c r="E1275" s="57" t="s">
        <v>1013</v>
      </c>
      <c r="F1275" s="57" t="s">
        <v>1014</v>
      </c>
      <c r="G1275" s="57" t="s">
        <v>1015</v>
      </c>
      <c r="H1275" s="57" t="s">
        <v>545</v>
      </c>
      <c r="I1275" s="57" t="s">
        <v>1013</v>
      </c>
      <c r="J1275" s="57" t="s">
        <v>67</v>
      </c>
      <c r="K1275" s="57" t="s">
        <v>591</v>
      </c>
      <c r="L1275" s="11" t="s">
        <v>914</v>
      </c>
      <c r="M1275" s="22">
        <v>1</v>
      </c>
      <c r="N1275" s="46">
        <v>53571</v>
      </c>
      <c r="O1275" s="49">
        <f t="shared" si="26"/>
        <v>53571</v>
      </c>
      <c r="P1275" s="5" t="s">
        <v>393</v>
      </c>
      <c r="Q1275" s="5" t="s">
        <v>766</v>
      </c>
      <c r="R1275" s="11" t="s">
        <v>2024</v>
      </c>
      <c r="S1275" s="5">
        <v>100</v>
      </c>
    </row>
    <row r="1276" spans="1:19" ht="51" outlineLevel="1">
      <c r="A1276" s="5">
        <v>1261</v>
      </c>
      <c r="B1276" s="29" t="s">
        <v>710</v>
      </c>
      <c r="C1276" s="35" t="s">
        <v>597</v>
      </c>
      <c r="D1276" s="10" t="s">
        <v>544</v>
      </c>
      <c r="E1276" s="57" t="s">
        <v>1013</v>
      </c>
      <c r="F1276" s="57" t="s">
        <v>1014</v>
      </c>
      <c r="G1276" s="57" t="s">
        <v>1015</v>
      </c>
      <c r="H1276" s="57" t="s">
        <v>545</v>
      </c>
      <c r="I1276" s="57" t="s">
        <v>1013</v>
      </c>
      <c r="J1276" s="57" t="s">
        <v>67</v>
      </c>
      <c r="K1276" s="57" t="s">
        <v>591</v>
      </c>
      <c r="L1276" s="11" t="s">
        <v>914</v>
      </c>
      <c r="M1276" s="22">
        <v>1</v>
      </c>
      <c r="N1276" s="46">
        <f>O1276/M1276</f>
        <v>233929</v>
      </c>
      <c r="O1276" s="49">
        <f>133929+100000</f>
        <v>233929</v>
      </c>
      <c r="P1276" s="5" t="s">
        <v>393</v>
      </c>
      <c r="Q1276" s="5" t="s">
        <v>766</v>
      </c>
      <c r="R1276" s="11">
        <v>351000000</v>
      </c>
      <c r="S1276" s="5">
        <v>100</v>
      </c>
    </row>
    <row r="1277" spans="1:19" ht="51" outlineLevel="1">
      <c r="A1277" s="5">
        <v>1262</v>
      </c>
      <c r="B1277" s="29" t="s">
        <v>710</v>
      </c>
      <c r="C1277" s="35" t="s">
        <v>597</v>
      </c>
      <c r="D1277" s="10" t="s">
        <v>544</v>
      </c>
      <c r="E1277" s="57" t="s">
        <v>1013</v>
      </c>
      <c r="F1277" s="57" t="s">
        <v>1014</v>
      </c>
      <c r="G1277" s="57" t="s">
        <v>1015</v>
      </c>
      <c r="H1277" s="57" t="s">
        <v>545</v>
      </c>
      <c r="I1277" s="57" t="s">
        <v>1013</v>
      </c>
      <c r="J1277" s="57" t="s">
        <v>67</v>
      </c>
      <c r="K1277" s="57" t="s">
        <v>591</v>
      </c>
      <c r="L1277" s="11" t="s">
        <v>914</v>
      </c>
      <c r="M1277" s="22">
        <v>1</v>
      </c>
      <c r="N1277" s="46">
        <v>214286</v>
      </c>
      <c r="O1277" s="49">
        <f t="shared" si="26"/>
        <v>214286</v>
      </c>
      <c r="P1277" s="5" t="s">
        <v>393</v>
      </c>
      <c r="Q1277" s="5" t="s">
        <v>766</v>
      </c>
      <c r="R1277" s="11" t="s">
        <v>925</v>
      </c>
      <c r="S1277" s="5">
        <v>100</v>
      </c>
    </row>
    <row r="1278" spans="1:19" ht="51" outlineLevel="1">
      <c r="A1278" s="5">
        <v>1263</v>
      </c>
      <c r="B1278" s="29" t="s">
        <v>710</v>
      </c>
      <c r="C1278" s="35" t="s">
        <v>597</v>
      </c>
      <c r="D1278" s="10" t="s">
        <v>544</v>
      </c>
      <c r="E1278" s="57" t="s">
        <v>1013</v>
      </c>
      <c r="F1278" s="57" t="s">
        <v>1014</v>
      </c>
      <c r="G1278" s="57" t="s">
        <v>1015</v>
      </c>
      <c r="H1278" s="57" t="s">
        <v>545</v>
      </c>
      <c r="I1278" s="57" t="s">
        <v>1013</v>
      </c>
      <c r="J1278" s="57" t="s">
        <v>67</v>
      </c>
      <c r="K1278" s="57" t="s">
        <v>591</v>
      </c>
      <c r="L1278" s="11" t="s">
        <v>914</v>
      </c>
      <c r="M1278" s="22">
        <v>1</v>
      </c>
      <c r="N1278" s="46">
        <v>214286</v>
      </c>
      <c r="O1278" s="49">
        <f t="shared" si="26"/>
        <v>214286</v>
      </c>
      <c r="P1278" s="5" t="s">
        <v>393</v>
      </c>
      <c r="Q1278" s="5" t="s">
        <v>766</v>
      </c>
      <c r="R1278" s="11">
        <v>431000000</v>
      </c>
      <c r="S1278" s="5">
        <v>100</v>
      </c>
    </row>
    <row r="1279" spans="1:19" ht="51" outlineLevel="1">
      <c r="A1279" s="5">
        <v>1264</v>
      </c>
      <c r="B1279" s="29" t="s">
        <v>710</v>
      </c>
      <c r="C1279" s="35" t="s">
        <v>597</v>
      </c>
      <c r="D1279" s="10" t="s">
        <v>544</v>
      </c>
      <c r="E1279" s="57" t="s">
        <v>1013</v>
      </c>
      <c r="F1279" s="57" t="s">
        <v>1014</v>
      </c>
      <c r="G1279" s="57" t="s">
        <v>1015</v>
      </c>
      <c r="H1279" s="57" t="s">
        <v>545</v>
      </c>
      <c r="I1279" s="57" t="s">
        <v>1013</v>
      </c>
      <c r="J1279" s="57" t="s">
        <v>67</v>
      </c>
      <c r="K1279" s="57" t="s">
        <v>591</v>
      </c>
      <c r="L1279" s="11" t="s">
        <v>914</v>
      </c>
      <c r="M1279" s="52">
        <v>1</v>
      </c>
      <c r="N1279" s="46">
        <v>53571</v>
      </c>
      <c r="O1279" s="49">
        <f t="shared" si="26"/>
        <v>53571</v>
      </c>
      <c r="P1279" s="5" t="s">
        <v>393</v>
      </c>
      <c r="Q1279" s="5" t="s">
        <v>766</v>
      </c>
      <c r="R1279" s="11" t="s">
        <v>715</v>
      </c>
      <c r="S1279" s="5">
        <v>100</v>
      </c>
    </row>
    <row r="1280" spans="1:19" s="32" customFormat="1" ht="60.75" customHeight="1">
      <c r="A1280" s="5">
        <v>1265</v>
      </c>
      <c r="B1280" s="29" t="s">
        <v>710</v>
      </c>
      <c r="C1280" s="35" t="s">
        <v>597</v>
      </c>
      <c r="D1280" s="10" t="s">
        <v>544</v>
      </c>
      <c r="E1280" s="57" t="s">
        <v>1013</v>
      </c>
      <c r="F1280" s="57" t="s">
        <v>1014</v>
      </c>
      <c r="G1280" s="57" t="s">
        <v>1015</v>
      </c>
      <c r="H1280" s="57" t="s">
        <v>545</v>
      </c>
      <c r="I1280" s="57" t="s">
        <v>1013</v>
      </c>
      <c r="J1280" s="57" t="s">
        <v>67</v>
      </c>
      <c r="K1280" s="57" t="s">
        <v>591</v>
      </c>
      <c r="L1280" s="11" t="s">
        <v>914</v>
      </c>
      <c r="M1280" s="22">
        <v>1</v>
      </c>
      <c r="N1280" s="46">
        <v>107143</v>
      </c>
      <c r="O1280" s="49">
        <f t="shared" ref="O1280:O1343" si="28">M1280*N1280</f>
        <v>107143</v>
      </c>
      <c r="P1280" s="5" t="s">
        <v>393</v>
      </c>
      <c r="Q1280" s="5" t="s">
        <v>766</v>
      </c>
      <c r="R1280" s="11">
        <v>551000000</v>
      </c>
      <c r="S1280" s="5">
        <v>100</v>
      </c>
    </row>
    <row r="1281" spans="1:19" ht="51" outlineLevel="1">
      <c r="A1281" s="5">
        <v>1266</v>
      </c>
      <c r="B1281" s="29" t="s">
        <v>710</v>
      </c>
      <c r="C1281" s="35" t="s">
        <v>597</v>
      </c>
      <c r="D1281" s="10" t="s">
        <v>544</v>
      </c>
      <c r="E1281" s="57" t="s">
        <v>1013</v>
      </c>
      <c r="F1281" s="57" t="s">
        <v>1014</v>
      </c>
      <c r="G1281" s="57" t="s">
        <v>1015</v>
      </c>
      <c r="H1281" s="57" t="s">
        <v>545</v>
      </c>
      <c r="I1281" s="57" t="s">
        <v>1013</v>
      </c>
      <c r="J1281" s="57" t="s">
        <v>67</v>
      </c>
      <c r="K1281" s="57" t="s">
        <v>591</v>
      </c>
      <c r="L1281" s="11" t="s">
        <v>914</v>
      </c>
      <c r="M1281" s="22">
        <v>1</v>
      </c>
      <c r="N1281" s="46">
        <v>214286</v>
      </c>
      <c r="O1281" s="49">
        <f t="shared" si="28"/>
        <v>214286</v>
      </c>
      <c r="P1281" s="5" t="s">
        <v>393</v>
      </c>
      <c r="Q1281" s="5" t="s">
        <v>766</v>
      </c>
      <c r="R1281" s="11">
        <v>591000000</v>
      </c>
      <c r="S1281" s="5">
        <v>100</v>
      </c>
    </row>
    <row r="1282" spans="1:19" ht="51" outlineLevel="1">
      <c r="A1282" s="5">
        <v>1267</v>
      </c>
      <c r="B1282" s="29" t="s">
        <v>710</v>
      </c>
      <c r="C1282" s="35" t="s">
        <v>597</v>
      </c>
      <c r="D1282" s="10" t="s">
        <v>544</v>
      </c>
      <c r="E1282" s="57" t="s">
        <v>1013</v>
      </c>
      <c r="F1282" s="57" t="s">
        <v>1014</v>
      </c>
      <c r="G1282" s="57" t="s">
        <v>1015</v>
      </c>
      <c r="H1282" s="57" t="s">
        <v>545</v>
      </c>
      <c r="I1282" s="57" t="s">
        <v>1013</v>
      </c>
      <c r="J1282" s="57" t="s">
        <v>67</v>
      </c>
      <c r="K1282" s="57" t="s">
        <v>591</v>
      </c>
      <c r="L1282" s="11" t="s">
        <v>914</v>
      </c>
      <c r="M1282" s="22">
        <v>1</v>
      </c>
      <c r="N1282" s="46">
        <f>O1282/M1282</f>
        <v>139732</v>
      </c>
      <c r="O1282" s="49">
        <f>89732+50000</f>
        <v>139732</v>
      </c>
      <c r="P1282" s="5" t="s">
        <v>391</v>
      </c>
      <c r="Q1282" s="5" t="s">
        <v>766</v>
      </c>
      <c r="R1282" s="11" t="s">
        <v>2029</v>
      </c>
      <c r="S1282" s="5">
        <v>100</v>
      </c>
    </row>
    <row r="1283" spans="1:19" ht="51" outlineLevel="1">
      <c r="A1283" s="5">
        <v>1268</v>
      </c>
      <c r="B1283" s="29" t="s">
        <v>710</v>
      </c>
      <c r="C1283" s="35" t="s">
        <v>597</v>
      </c>
      <c r="D1283" s="5" t="s">
        <v>546</v>
      </c>
      <c r="E1283" s="57" t="s">
        <v>1016</v>
      </c>
      <c r="F1283" s="57" t="s">
        <v>68</v>
      </c>
      <c r="G1283" s="57" t="s">
        <v>547</v>
      </c>
      <c r="H1283" s="57" t="s">
        <v>68</v>
      </c>
      <c r="I1283" s="57" t="s">
        <v>547</v>
      </c>
      <c r="J1283" s="57" t="s">
        <v>68</v>
      </c>
      <c r="K1283" s="57" t="s">
        <v>591</v>
      </c>
      <c r="L1283" s="11" t="s">
        <v>914</v>
      </c>
      <c r="M1283" s="22">
        <v>1</v>
      </c>
      <c r="N1283" s="46">
        <v>286607</v>
      </c>
      <c r="O1283" s="49">
        <f t="shared" si="28"/>
        <v>286607</v>
      </c>
      <c r="P1283" s="5" t="s">
        <v>393</v>
      </c>
      <c r="Q1283" s="5" t="s">
        <v>766</v>
      </c>
      <c r="R1283" s="11" t="s">
        <v>2030</v>
      </c>
      <c r="S1283" s="22">
        <v>100</v>
      </c>
    </row>
    <row r="1284" spans="1:19" ht="51" outlineLevel="1">
      <c r="A1284" s="5">
        <v>1269</v>
      </c>
      <c r="B1284" s="15" t="s">
        <v>710</v>
      </c>
      <c r="C1284" s="5" t="s">
        <v>597</v>
      </c>
      <c r="D1284" s="5" t="s">
        <v>546</v>
      </c>
      <c r="E1284" s="57" t="s">
        <v>1016</v>
      </c>
      <c r="F1284" s="57" t="s">
        <v>68</v>
      </c>
      <c r="G1284" s="57" t="s">
        <v>547</v>
      </c>
      <c r="H1284" s="57" t="s">
        <v>68</v>
      </c>
      <c r="I1284" s="57" t="s">
        <v>547</v>
      </c>
      <c r="J1284" s="57" t="s">
        <v>68</v>
      </c>
      <c r="K1284" s="57" t="s">
        <v>591</v>
      </c>
      <c r="L1284" s="11" t="s">
        <v>914</v>
      </c>
      <c r="M1284" s="22">
        <v>1</v>
      </c>
      <c r="N1284" s="46">
        <v>375000</v>
      </c>
      <c r="O1284" s="49">
        <f t="shared" si="28"/>
        <v>375000</v>
      </c>
      <c r="P1284" s="5" t="s">
        <v>393</v>
      </c>
      <c r="Q1284" s="5" t="s">
        <v>766</v>
      </c>
      <c r="R1284" s="11" t="s">
        <v>1021</v>
      </c>
      <c r="S1284" s="5">
        <v>0</v>
      </c>
    </row>
    <row r="1285" spans="1:19" ht="51" outlineLevel="1">
      <c r="A1285" s="5">
        <v>1270</v>
      </c>
      <c r="B1285" s="15" t="s">
        <v>710</v>
      </c>
      <c r="C1285" s="5" t="s">
        <v>597</v>
      </c>
      <c r="D1285" s="5" t="s">
        <v>546</v>
      </c>
      <c r="E1285" s="57" t="s">
        <v>1016</v>
      </c>
      <c r="F1285" s="57" t="s">
        <v>68</v>
      </c>
      <c r="G1285" s="57" t="s">
        <v>547</v>
      </c>
      <c r="H1285" s="57" t="s">
        <v>68</v>
      </c>
      <c r="I1285" s="57" t="s">
        <v>547</v>
      </c>
      <c r="J1285" s="57" t="s">
        <v>68</v>
      </c>
      <c r="K1285" s="57" t="s">
        <v>591</v>
      </c>
      <c r="L1285" s="11" t="s">
        <v>914</v>
      </c>
      <c r="M1285" s="22">
        <v>1</v>
      </c>
      <c r="N1285" s="46">
        <v>214286</v>
      </c>
      <c r="O1285" s="49">
        <f t="shared" si="28"/>
        <v>214286</v>
      </c>
      <c r="P1285" s="5" t="s">
        <v>393</v>
      </c>
      <c r="Q1285" s="5" t="s">
        <v>766</v>
      </c>
      <c r="R1285" s="11" t="s">
        <v>789</v>
      </c>
      <c r="S1285" s="5">
        <v>0</v>
      </c>
    </row>
    <row r="1286" spans="1:19" ht="51" outlineLevel="1">
      <c r="A1286" s="5">
        <v>1271</v>
      </c>
      <c r="B1286" s="15" t="s">
        <v>710</v>
      </c>
      <c r="C1286" s="5" t="s">
        <v>597</v>
      </c>
      <c r="D1286" s="5" t="s">
        <v>546</v>
      </c>
      <c r="E1286" s="57" t="s">
        <v>1016</v>
      </c>
      <c r="F1286" s="57" t="s">
        <v>68</v>
      </c>
      <c r="G1286" s="57" t="s">
        <v>547</v>
      </c>
      <c r="H1286" s="57" t="s">
        <v>68</v>
      </c>
      <c r="I1286" s="57" t="s">
        <v>547</v>
      </c>
      <c r="J1286" s="57" t="s">
        <v>68</v>
      </c>
      <c r="K1286" s="57" t="s">
        <v>591</v>
      </c>
      <c r="L1286" s="11" t="s">
        <v>914</v>
      </c>
      <c r="M1286" s="22">
        <v>1</v>
      </c>
      <c r="N1286" s="46">
        <f>O1286/M1286</f>
        <v>572434</v>
      </c>
      <c r="O1286" s="49">
        <f>428571+143863</f>
        <v>572434</v>
      </c>
      <c r="P1286" s="5" t="s">
        <v>393</v>
      </c>
      <c r="Q1286" s="5" t="s">
        <v>766</v>
      </c>
      <c r="R1286" s="11" t="s">
        <v>2022</v>
      </c>
      <c r="S1286" s="22">
        <v>100</v>
      </c>
    </row>
    <row r="1287" spans="1:19" ht="51" outlineLevel="1">
      <c r="A1287" s="5">
        <v>1272</v>
      </c>
      <c r="B1287" s="15" t="s">
        <v>710</v>
      </c>
      <c r="C1287" s="5" t="s">
        <v>597</v>
      </c>
      <c r="D1287" s="5" t="s">
        <v>546</v>
      </c>
      <c r="E1287" s="57" t="s">
        <v>1016</v>
      </c>
      <c r="F1287" s="57" t="s">
        <v>68</v>
      </c>
      <c r="G1287" s="57" t="s">
        <v>547</v>
      </c>
      <c r="H1287" s="57" t="s">
        <v>68</v>
      </c>
      <c r="I1287" s="57" t="s">
        <v>547</v>
      </c>
      <c r="J1287" s="57" t="s">
        <v>68</v>
      </c>
      <c r="K1287" s="57" t="s">
        <v>591</v>
      </c>
      <c r="L1287" s="11" t="s">
        <v>914</v>
      </c>
      <c r="M1287" s="22">
        <v>1</v>
      </c>
      <c r="N1287" s="46">
        <v>267857</v>
      </c>
      <c r="O1287" s="49">
        <f t="shared" si="28"/>
        <v>267857</v>
      </c>
      <c r="P1287" s="5" t="s">
        <v>393</v>
      </c>
      <c r="Q1287" s="5" t="s">
        <v>766</v>
      </c>
      <c r="R1287" s="11" t="s">
        <v>2027</v>
      </c>
      <c r="S1287" s="5">
        <v>100</v>
      </c>
    </row>
    <row r="1288" spans="1:19" s="13" customFormat="1" ht="51">
      <c r="A1288" s="5">
        <v>1273</v>
      </c>
      <c r="B1288" s="15" t="s">
        <v>710</v>
      </c>
      <c r="C1288" s="5" t="s">
        <v>597</v>
      </c>
      <c r="D1288" s="5" t="s">
        <v>546</v>
      </c>
      <c r="E1288" s="57" t="s">
        <v>1016</v>
      </c>
      <c r="F1288" s="57" t="s">
        <v>68</v>
      </c>
      <c r="G1288" s="57" t="s">
        <v>547</v>
      </c>
      <c r="H1288" s="57" t="s">
        <v>68</v>
      </c>
      <c r="I1288" s="57" t="s">
        <v>547</v>
      </c>
      <c r="J1288" s="57" t="s">
        <v>68</v>
      </c>
      <c r="K1288" s="57" t="s">
        <v>591</v>
      </c>
      <c r="L1288" s="11" t="s">
        <v>914</v>
      </c>
      <c r="M1288" s="22">
        <v>1</v>
      </c>
      <c r="N1288" s="46">
        <v>214286</v>
      </c>
      <c r="O1288" s="49">
        <f t="shared" si="28"/>
        <v>214286</v>
      </c>
      <c r="P1288" s="5" t="s">
        <v>393</v>
      </c>
      <c r="Q1288" s="5" t="s">
        <v>766</v>
      </c>
      <c r="R1288" s="11" t="s">
        <v>2023</v>
      </c>
      <c r="S1288" s="22">
        <v>100</v>
      </c>
    </row>
    <row r="1289" spans="1:19" ht="51" outlineLevel="1">
      <c r="A1289" s="5">
        <v>1274</v>
      </c>
      <c r="B1289" s="15" t="s">
        <v>710</v>
      </c>
      <c r="C1289" s="5" t="s">
        <v>597</v>
      </c>
      <c r="D1289" s="5" t="s">
        <v>546</v>
      </c>
      <c r="E1289" s="57" t="s">
        <v>1016</v>
      </c>
      <c r="F1289" s="57" t="s">
        <v>68</v>
      </c>
      <c r="G1289" s="57" t="s">
        <v>547</v>
      </c>
      <c r="H1289" s="57" t="s">
        <v>68</v>
      </c>
      <c r="I1289" s="57" t="s">
        <v>547</v>
      </c>
      <c r="J1289" s="57" t="s">
        <v>68</v>
      </c>
      <c r="K1289" s="57" t="s">
        <v>591</v>
      </c>
      <c r="L1289" s="11" t="s">
        <v>914</v>
      </c>
      <c r="M1289" s="22">
        <v>1</v>
      </c>
      <c r="N1289" s="46">
        <v>500000</v>
      </c>
      <c r="O1289" s="49">
        <f t="shared" si="28"/>
        <v>500000</v>
      </c>
      <c r="P1289" s="5" t="s">
        <v>393</v>
      </c>
      <c r="Q1289" s="5" t="s">
        <v>766</v>
      </c>
      <c r="R1289" s="11" t="s">
        <v>633</v>
      </c>
      <c r="S1289" s="22">
        <v>100</v>
      </c>
    </row>
    <row r="1290" spans="1:19" ht="51" outlineLevel="1">
      <c r="A1290" s="5">
        <v>1275</v>
      </c>
      <c r="B1290" s="15" t="s">
        <v>710</v>
      </c>
      <c r="C1290" s="5" t="s">
        <v>597</v>
      </c>
      <c r="D1290" s="5" t="s">
        <v>546</v>
      </c>
      <c r="E1290" s="57" t="s">
        <v>1016</v>
      </c>
      <c r="F1290" s="57" t="s">
        <v>68</v>
      </c>
      <c r="G1290" s="57" t="s">
        <v>547</v>
      </c>
      <c r="H1290" s="57" t="s">
        <v>68</v>
      </c>
      <c r="I1290" s="57" t="s">
        <v>547</v>
      </c>
      <c r="J1290" s="57" t="s">
        <v>68</v>
      </c>
      <c r="K1290" s="57" t="s">
        <v>591</v>
      </c>
      <c r="L1290" s="11" t="s">
        <v>914</v>
      </c>
      <c r="M1290" s="22">
        <v>1</v>
      </c>
      <c r="N1290" s="46">
        <v>75000</v>
      </c>
      <c r="O1290" s="49">
        <f t="shared" si="28"/>
        <v>75000</v>
      </c>
      <c r="P1290" s="5" t="s">
        <v>393</v>
      </c>
      <c r="Q1290" s="5" t="s">
        <v>766</v>
      </c>
      <c r="R1290" s="11">
        <v>311000000</v>
      </c>
      <c r="S1290" s="22">
        <v>100</v>
      </c>
    </row>
    <row r="1291" spans="1:19" ht="51" outlineLevel="1">
      <c r="A1291" s="5">
        <v>1276</v>
      </c>
      <c r="B1291" s="15" t="s">
        <v>710</v>
      </c>
      <c r="C1291" s="5" t="s">
        <v>597</v>
      </c>
      <c r="D1291" s="5" t="s">
        <v>546</v>
      </c>
      <c r="E1291" s="57" t="s">
        <v>1016</v>
      </c>
      <c r="F1291" s="57" t="s">
        <v>68</v>
      </c>
      <c r="G1291" s="57" t="s">
        <v>547</v>
      </c>
      <c r="H1291" s="57" t="s">
        <v>68</v>
      </c>
      <c r="I1291" s="57" t="s">
        <v>547</v>
      </c>
      <c r="J1291" s="57" t="s">
        <v>68</v>
      </c>
      <c r="K1291" s="57" t="s">
        <v>591</v>
      </c>
      <c r="L1291" s="11" t="s">
        <v>914</v>
      </c>
      <c r="M1291" s="22">
        <v>1</v>
      </c>
      <c r="N1291" s="46">
        <v>107143</v>
      </c>
      <c r="O1291" s="49">
        <f t="shared" si="28"/>
        <v>107143</v>
      </c>
      <c r="P1291" s="5" t="s">
        <v>391</v>
      </c>
      <c r="Q1291" s="5" t="s">
        <v>766</v>
      </c>
      <c r="R1291" s="11" t="s">
        <v>2024</v>
      </c>
      <c r="S1291" s="5">
        <v>100</v>
      </c>
    </row>
    <row r="1292" spans="1:19" ht="51" outlineLevel="1">
      <c r="A1292" s="5">
        <v>1277</v>
      </c>
      <c r="B1292" s="15" t="s">
        <v>710</v>
      </c>
      <c r="C1292" s="5" t="s">
        <v>597</v>
      </c>
      <c r="D1292" s="5" t="s">
        <v>546</v>
      </c>
      <c r="E1292" s="57" t="s">
        <v>1016</v>
      </c>
      <c r="F1292" s="57" t="s">
        <v>68</v>
      </c>
      <c r="G1292" s="57" t="s">
        <v>547</v>
      </c>
      <c r="H1292" s="57" t="s">
        <v>68</v>
      </c>
      <c r="I1292" s="57" t="s">
        <v>547</v>
      </c>
      <c r="J1292" s="57" t="s">
        <v>68</v>
      </c>
      <c r="K1292" s="57" t="s">
        <v>591</v>
      </c>
      <c r="L1292" s="11" t="s">
        <v>914</v>
      </c>
      <c r="M1292" s="22">
        <v>1</v>
      </c>
      <c r="N1292" s="46">
        <v>314286</v>
      </c>
      <c r="O1292" s="49">
        <f t="shared" si="28"/>
        <v>314286</v>
      </c>
      <c r="P1292" s="5" t="s">
        <v>393</v>
      </c>
      <c r="Q1292" s="5" t="s">
        <v>766</v>
      </c>
      <c r="R1292" s="11">
        <v>351000000</v>
      </c>
      <c r="S1292" s="5">
        <v>100</v>
      </c>
    </row>
    <row r="1293" spans="1:19" ht="51" outlineLevel="1">
      <c r="A1293" s="5">
        <v>1278</v>
      </c>
      <c r="B1293" s="15" t="s">
        <v>710</v>
      </c>
      <c r="C1293" s="5" t="s">
        <v>597</v>
      </c>
      <c r="D1293" s="5" t="s">
        <v>546</v>
      </c>
      <c r="E1293" s="57" t="s">
        <v>1016</v>
      </c>
      <c r="F1293" s="57" t="s">
        <v>68</v>
      </c>
      <c r="G1293" s="57" t="s">
        <v>547</v>
      </c>
      <c r="H1293" s="57" t="s">
        <v>68</v>
      </c>
      <c r="I1293" s="57" t="s">
        <v>547</v>
      </c>
      <c r="J1293" s="57" t="s">
        <v>68</v>
      </c>
      <c r="K1293" s="57" t="s">
        <v>591</v>
      </c>
      <c r="L1293" s="11" t="s">
        <v>914</v>
      </c>
      <c r="M1293" s="22">
        <v>1</v>
      </c>
      <c r="N1293" s="46">
        <v>214286</v>
      </c>
      <c r="O1293" s="49">
        <f t="shared" si="28"/>
        <v>214286</v>
      </c>
      <c r="P1293" s="5" t="s">
        <v>393</v>
      </c>
      <c r="Q1293" s="5" t="s">
        <v>766</v>
      </c>
      <c r="R1293" s="11" t="s">
        <v>925</v>
      </c>
      <c r="S1293" s="22">
        <v>100</v>
      </c>
    </row>
    <row r="1294" spans="1:19" ht="51" outlineLevel="1">
      <c r="A1294" s="5">
        <v>1279</v>
      </c>
      <c r="B1294" s="15" t="s">
        <v>710</v>
      </c>
      <c r="C1294" s="5" t="s">
        <v>597</v>
      </c>
      <c r="D1294" s="5" t="s">
        <v>546</v>
      </c>
      <c r="E1294" s="57" t="s">
        <v>1016</v>
      </c>
      <c r="F1294" s="57" t="s">
        <v>68</v>
      </c>
      <c r="G1294" s="57" t="s">
        <v>547</v>
      </c>
      <c r="H1294" s="57" t="s">
        <v>68</v>
      </c>
      <c r="I1294" s="57" t="s">
        <v>547</v>
      </c>
      <c r="J1294" s="57" t="s">
        <v>68</v>
      </c>
      <c r="K1294" s="57" t="s">
        <v>591</v>
      </c>
      <c r="L1294" s="11" t="s">
        <v>914</v>
      </c>
      <c r="M1294" s="22">
        <v>1</v>
      </c>
      <c r="N1294" s="46">
        <v>214286</v>
      </c>
      <c r="O1294" s="49">
        <f t="shared" si="28"/>
        <v>214286</v>
      </c>
      <c r="P1294" s="5" t="s">
        <v>393</v>
      </c>
      <c r="Q1294" s="5" t="s">
        <v>766</v>
      </c>
      <c r="R1294" s="11">
        <v>431000000</v>
      </c>
      <c r="S1294" s="22">
        <v>100</v>
      </c>
    </row>
    <row r="1295" spans="1:19" ht="51" outlineLevel="1">
      <c r="A1295" s="5">
        <v>1280</v>
      </c>
      <c r="B1295" s="29" t="s">
        <v>710</v>
      </c>
      <c r="C1295" s="35" t="s">
        <v>597</v>
      </c>
      <c r="D1295" s="5" t="s">
        <v>546</v>
      </c>
      <c r="E1295" s="57" t="s">
        <v>1016</v>
      </c>
      <c r="F1295" s="57" t="s">
        <v>68</v>
      </c>
      <c r="G1295" s="57" t="s">
        <v>547</v>
      </c>
      <c r="H1295" s="57" t="s">
        <v>68</v>
      </c>
      <c r="I1295" s="57" t="s">
        <v>547</v>
      </c>
      <c r="J1295" s="57" t="s">
        <v>68</v>
      </c>
      <c r="K1295" s="57" t="s">
        <v>591</v>
      </c>
      <c r="L1295" s="11" t="s">
        <v>914</v>
      </c>
      <c r="M1295" s="52">
        <v>1</v>
      </c>
      <c r="N1295" s="46">
        <v>375000</v>
      </c>
      <c r="O1295" s="49">
        <f t="shared" si="28"/>
        <v>375000</v>
      </c>
      <c r="P1295" s="5" t="s">
        <v>393</v>
      </c>
      <c r="Q1295" s="5" t="s">
        <v>766</v>
      </c>
      <c r="R1295" s="11" t="s">
        <v>715</v>
      </c>
      <c r="S1295" s="22">
        <v>100</v>
      </c>
    </row>
    <row r="1296" spans="1:19" s="32" customFormat="1" ht="25.5">
      <c r="A1296" s="5">
        <v>1281</v>
      </c>
      <c r="B1296" s="15" t="s">
        <v>710</v>
      </c>
      <c r="C1296" s="5" t="s">
        <v>597</v>
      </c>
      <c r="D1296" s="5" t="s">
        <v>546</v>
      </c>
      <c r="E1296" s="57" t="s">
        <v>1016</v>
      </c>
      <c r="F1296" s="57" t="s">
        <v>68</v>
      </c>
      <c r="G1296" s="57" t="s">
        <v>547</v>
      </c>
      <c r="H1296" s="57" t="s">
        <v>68</v>
      </c>
      <c r="I1296" s="57" t="s">
        <v>547</v>
      </c>
      <c r="J1296" s="57" t="s">
        <v>68</v>
      </c>
      <c r="K1296" s="57" t="s">
        <v>591</v>
      </c>
      <c r="L1296" s="11" t="s">
        <v>914</v>
      </c>
      <c r="M1296" s="22">
        <v>1</v>
      </c>
      <c r="N1296" s="46">
        <v>214286</v>
      </c>
      <c r="O1296" s="49">
        <f t="shared" si="28"/>
        <v>214286</v>
      </c>
      <c r="P1296" s="5" t="s">
        <v>393</v>
      </c>
      <c r="Q1296" s="5" t="s">
        <v>394</v>
      </c>
      <c r="R1296" s="11">
        <v>551000000</v>
      </c>
      <c r="S1296" s="22">
        <v>100</v>
      </c>
    </row>
    <row r="1297" spans="1:19" ht="51" outlineLevel="1">
      <c r="A1297" s="5">
        <v>1282</v>
      </c>
      <c r="B1297" s="15" t="s">
        <v>941</v>
      </c>
      <c r="C1297" s="5" t="s">
        <v>597</v>
      </c>
      <c r="D1297" s="5" t="s">
        <v>546</v>
      </c>
      <c r="E1297" s="57" t="s">
        <v>1016</v>
      </c>
      <c r="F1297" s="57" t="s">
        <v>68</v>
      </c>
      <c r="G1297" s="57" t="s">
        <v>547</v>
      </c>
      <c r="H1297" s="57" t="s">
        <v>68</v>
      </c>
      <c r="I1297" s="57" t="s">
        <v>547</v>
      </c>
      <c r="J1297" s="57" t="s">
        <v>68</v>
      </c>
      <c r="K1297" s="57" t="s">
        <v>591</v>
      </c>
      <c r="L1297" s="11" t="s">
        <v>914</v>
      </c>
      <c r="M1297" s="22">
        <v>1</v>
      </c>
      <c r="N1297" s="46">
        <v>267857</v>
      </c>
      <c r="O1297" s="49">
        <f t="shared" si="28"/>
        <v>267857</v>
      </c>
      <c r="P1297" s="5" t="s">
        <v>393</v>
      </c>
      <c r="Q1297" s="5" t="s">
        <v>766</v>
      </c>
      <c r="R1297" s="11">
        <v>591000000</v>
      </c>
      <c r="S1297" s="22">
        <v>100</v>
      </c>
    </row>
    <row r="1298" spans="1:19" s="36" customFormat="1" ht="51" outlineLevel="1">
      <c r="A1298" s="5">
        <v>1283</v>
      </c>
      <c r="B1298" s="15" t="s">
        <v>710</v>
      </c>
      <c r="C1298" s="5" t="s">
        <v>597</v>
      </c>
      <c r="D1298" s="5" t="s">
        <v>546</v>
      </c>
      <c r="E1298" s="57" t="s">
        <v>1016</v>
      </c>
      <c r="F1298" s="57" t="s">
        <v>68</v>
      </c>
      <c r="G1298" s="57" t="s">
        <v>547</v>
      </c>
      <c r="H1298" s="57" t="s">
        <v>68</v>
      </c>
      <c r="I1298" s="57" t="s">
        <v>547</v>
      </c>
      <c r="J1298" s="57" t="s">
        <v>68</v>
      </c>
      <c r="K1298" s="57" t="s">
        <v>591</v>
      </c>
      <c r="L1298" s="11" t="s">
        <v>914</v>
      </c>
      <c r="M1298" s="22">
        <v>1</v>
      </c>
      <c r="N1298" s="46">
        <f>O1298/M1298</f>
        <v>149554</v>
      </c>
      <c r="O1298" s="46">
        <f>99554+50000</f>
        <v>149554</v>
      </c>
      <c r="P1298" s="5" t="s">
        <v>391</v>
      </c>
      <c r="Q1298" s="5" t="s">
        <v>766</v>
      </c>
      <c r="R1298" s="11" t="s">
        <v>2029</v>
      </c>
      <c r="S1298" s="5">
        <v>100</v>
      </c>
    </row>
    <row r="1299" spans="1:19" ht="38.25" outlineLevel="1">
      <c r="A1299" s="5">
        <v>1284</v>
      </c>
      <c r="B1299" s="15" t="s">
        <v>710</v>
      </c>
      <c r="C1299" s="5" t="s">
        <v>597</v>
      </c>
      <c r="D1299" s="5" t="s">
        <v>548</v>
      </c>
      <c r="E1299" s="57" t="s">
        <v>549</v>
      </c>
      <c r="F1299" s="57" t="s">
        <v>550</v>
      </c>
      <c r="G1299" s="57" t="s">
        <v>549</v>
      </c>
      <c r="H1299" s="57" t="s">
        <v>550</v>
      </c>
      <c r="I1299" s="57" t="s">
        <v>1410</v>
      </c>
      <c r="J1299" s="57" t="s">
        <v>69</v>
      </c>
      <c r="K1299" s="57" t="s">
        <v>591</v>
      </c>
      <c r="L1299" s="11" t="s">
        <v>914</v>
      </c>
      <c r="M1299" s="22">
        <v>1</v>
      </c>
      <c r="N1299" s="46">
        <v>3875000</v>
      </c>
      <c r="O1299" s="49">
        <f t="shared" si="28"/>
        <v>3875000</v>
      </c>
      <c r="P1299" s="5" t="s">
        <v>393</v>
      </c>
      <c r="Q1299" s="5" t="s">
        <v>2387</v>
      </c>
      <c r="R1299" s="11" t="s">
        <v>1175</v>
      </c>
      <c r="S1299" s="22">
        <v>0</v>
      </c>
    </row>
    <row r="1300" spans="1:19" ht="57.75" customHeight="1" outlineLevel="1">
      <c r="A1300" s="5">
        <v>1285</v>
      </c>
      <c r="B1300" s="15" t="s">
        <v>710</v>
      </c>
      <c r="C1300" s="5" t="s">
        <v>597</v>
      </c>
      <c r="D1300" s="5" t="s">
        <v>556</v>
      </c>
      <c r="E1300" s="57" t="s">
        <v>557</v>
      </c>
      <c r="F1300" s="57" t="s">
        <v>558</v>
      </c>
      <c r="G1300" s="57" t="s">
        <v>559</v>
      </c>
      <c r="H1300" s="57" t="s">
        <v>560</v>
      </c>
      <c r="I1300" s="57" t="s">
        <v>1411</v>
      </c>
      <c r="J1300" s="57" t="s">
        <v>70</v>
      </c>
      <c r="K1300" s="57" t="s">
        <v>591</v>
      </c>
      <c r="L1300" s="11" t="s">
        <v>914</v>
      </c>
      <c r="M1300" s="22">
        <v>1</v>
      </c>
      <c r="N1300" s="46">
        <v>187500</v>
      </c>
      <c r="O1300" s="49">
        <f t="shared" si="28"/>
        <v>187500</v>
      </c>
      <c r="P1300" s="5" t="s">
        <v>393</v>
      </c>
      <c r="Q1300" s="5" t="s">
        <v>2387</v>
      </c>
      <c r="R1300" s="11" t="s">
        <v>1175</v>
      </c>
      <c r="S1300" s="22">
        <v>0</v>
      </c>
    </row>
    <row r="1301" spans="1:19" ht="57.75" customHeight="1" outlineLevel="1">
      <c r="A1301" s="5">
        <v>1286</v>
      </c>
      <c r="B1301" s="15" t="s">
        <v>710</v>
      </c>
      <c r="C1301" s="5" t="s">
        <v>597</v>
      </c>
      <c r="D1301" s="5" t="s">
        <v>551</v>
      </c>
      <c r="E1301" s="57" t="s">
        <v>552</v>
      </c>
      <c r="F1301" s="57" t="s">
        <v>553</v>
      </c>
      <c r="G1301" s="57" t="s">
        <v>554</v>
      </c>
      <c r="H1301" s="57" t="s">
        <v>555</v>
      </c>
      <c r="I1301" s="57" t="s">
        <v>1412</v>
      </c>
      <c r="J1301" s="57" t="s">
        <v>71</v>
      </c>
      <c r="K1301" s="57" t="s">
        <v>591</v>
      </c>
      <c r="L1301" s="11" t="s">
        <v>914</v>
      </c>
      <c r="M1301" s="22">
        <v>1</v>
      </c>
      <c r="N1301" s="46">
        <v>7070742</v>
      </c>
      <c r="O1301" s="49">
        <f t="shared" si="28"/>
        <v>7070742</v>
      </c>
      <c r="P1301" s="5" t="s">
        <v>393</v>
      </c>
      <c r="Q1301" s="5" t="s">
        <v>2387</v>
      </c>
      <c r="R1301" s="11" t="s">
        <v>1175</v>
      </c>
      <c r="S1301" s="22">
        <v>0</v>
      </c>
    </row>
    <row r="1302" spans="1:19" ht="76.5" outlineLevel="1">
      <c r="A1302" s="5">
        <v>1287</v>
      </c>
      <c r="B1302" s="15" t="s">
        <v>710</v>
      </c>
      <c r="C1302" s="5" t="s">
        <v>597</v>
      </c>
      <c r="D1302" s="5" t="s">
        <v>868</v>
      </c>
      <c r="E1302" s="57" t="s">
        <v>1874</v>
      </c>
      <c r="F1302" s="57" t="s">
        <v>869</v>
      </c>
      <c r="G1302" s="57" t="s">
        <v>1875</v>
      </c>
      <c r="H1302" s="57" t="s">
        <v>870</v>
      </c>
      <c r="I1302" s="57" t="s">
        <v>1873</v>
      </c>
      <c r="J1302" s="57" t="s">
        <v>72</v>
      </c>
      <c r="K1302" s="57" t="s">
        <v>591</v>
      </c>
      <c r="L1302" s="11" t="s">
        <v>914</v>
      </c>
      <c r="M1302" s="22">
        <v>1</v>
      </c>
      <c r="N1302" s="46">
        <v>1053429</v>
      </c>
      <c r="O1302" s="49">
        <f t="shared" si="28"/>
        <v>1053429</v>
      </c>
      <c r="P1302" s="5" t="s">
        <v>393</v>
      </c>
      <c r="Q1302" s="5" t="s">
        <v>2387</v>
      </c>
      <c r="R1302" s="11" t="s">
        <v>1175</v>
      </c>
      <c r="S1302" s="22">
        <v>0</v>
      </c>
    </row>
    <row r="1303" spans="1:19" s="39" customFormat="1" ht="51" outlineLevel="1">
      <c r="A1303" s="5">
        <v>1288</v>
      </c>
      <c r="B1303" s="15" t="s">
        <v>710</v>
      </c>
      <c r="C1303" s="5" t="s">
        <v>597</v>
      </c>
      <c r="D1303" s="5" t="s">
        <v>561</v>
      </c>
      <c r="E1303" s="57" t="s">
        <v>562</v>
      </c>
      <c r="F1303" s="57" t="s">
        <v>563</v>
      </c>
      <c r="G1303" s="57" t="s">
        <v>564</v>
      </c>
      <c r="H1303" s="57" t="s">
        <v>565</v>
      </c>
      <c r="I1303" s="57" t="s">
        <v>562</v>
      </c>
      <c r="J1303" s="57" t="s">
        <v>73</v>
      </c>
      <c r="K1303" s="57" t="s">
        <v>591</v>
      </c>
      <c r="L1303" s="11" t="s">
        <v>914</v>
      </c>
      <c r="M1303" s="22">
        <v>1</v>
      </c>
      <c r="N1303" s="46">
        <v>810000</v>
      </c>
      <c r="O1303" s="49">
        <f t="shared" si="28"/>
        <v>810000</v>
      </c>
      <c r="P1303" s="5" t="s">
        <v>393</v>
      </c>
      <c r="Q1303" s="5" t="s">
        <v>2387</v>
      </c>
      <c r="R1303" s="11" t="s">
        <v>1175</v>
      </c>
      <c r="S1303" s="22">
        <v>0</v>
      </c>
    </row>
    <row r="1304" spans="1:19" ht="51" outlineLevel="1">
      <c r="A1304" s="5">
        <v>1289</v>
      </c>
      <c r="B1304" s="29" t="s">
        <v>710</v>
      </c>
      <c r="C1304" s="35" t="s">
        <v>597</v>
      </c>
      <c r="D1304" s="5" t="s">
        <v>548</v>
      </c>
      <c r="E1304" s="57" t="s">
        <v>549</v>
      </c>
      <c r="F1304" s="57" t="s">
        <v>550</v>
      </c>
      <c r="G1304" s="57" t="s">
        <v>549</v>
      </c>
      <c r="H1304" s="57" t="s">
        <v>550</v>
      </c>
      <c r="I1304" s="57" t="s">
        <v>1410</v>
      </c>
      <c r="J1304" s="57" t="s">
        <v>69</v>
      </c>
      <c r="K1304" s="57" t="s">
        <v>591</v>
      </c>
      <c r="L1304" s="11" t="s">
        <v>914</v>
      </c>
      <c r="M1304" s="22">
        <v>1</v>
      </c>
      <c r="N1304" s="46">
        <v>957191</v>
      </c>
      <c r="O1304" s="49">
        <f t="shared" si="28"/>
        <v>957191</v>
      </c>
      <c r="P1304" s="5" t="s">
        <v>393</v>
      </c>
      <c r="Q1304" s="5" t="s">
        <v>766</v>
      </c>
      <c r="R1304" s="11" t="s">
        <v>2030</v>
      </c>
      <c r="S1304" s="22">
        <v>0</v>
      </c>
    </row>
    <row r="1305" spans="1:19" ht="63.75" outlineLevel="1">
      <c r="A1305" s="5">
        <v>1290</v>
      </c>
      <c r="B1305" s="29" t="s">
        <v>710</v>
      </c>
      <c r="C1305" s="35" t="s">
        <v>597</v>
      </c>
      <c r="D1305" s="5" t="s">
        <v>551</v>
      </c>
      <c r="E1305" s="57" t="s">
        <v>552</v>
      </c>
      <c r="F1305" s="57" t="s">
        <v>553</v>
      </c>
      <c r="G1305" s="57" t="s">
        <v>554</v>
      </c>
      <c r="H1305" s="57" t="s">
        <v>555</v>
      </c>
      <c r="I1305" s="57" t="s">
        <v>1412</v>
      </c>
      <c r="J1305" s="57" t="s">
        <v>71</v>
      </c>
      <c r="K1305" s="57" t="s">
        <v>591</v>
      </c>
      <c r="L1305" s="11" t="s">
        <v>914</v>
      </c>
      <c r="M1305" s="22">
        <v>1</v>
      </c>
      <c r="N1305" s="46">
        <v>1634002</v>
      </c>
      <c r="O1305" s="49">
        <f t="shared" si="28"/>
        <v>1634002</v>
      </c>
      <c r="P1305" s="5" t="s">
        <v>393</v>
      </c>
      <c r="Q1305" s="5" t="s">
        <v>766</v>
      </c>
      <c r="R1305" s="11" t="s">
        <v>2030</v>
      </c>
      <c r="S1305" s="22">
        <v>0</v>
      </c>
    </row>
    <row r="1306" spans="1:19" ht="76.5" outlineLevel="1">
      <c r="A1306" s="5">
        <v>1291</v>
      </c>
      <c r="B1306" s="29" t="s">
        <v>710</v>
      </c>
      <c r="C1306" s="35" t="s">
        <v>597</v>
      </c>
      <c r="D1306" s="11" t="s">
        <v>868</v>
      </c>
      <c r="E1306" s="57" t="s">
        <v>1874</v>
      </c>
      <c r="F1306" s="57" t="s">
        <v>869</v>
      </c>
      <c r="G1306" s="57" t="s">
        <v>1875</v>
      </c>
      <c r="H1306" s="57" t="s">
        <v>870</v>
      </c>
      <c r="I1306" s="57" t="s">
        <v>1873</v>
      </c>
      <c r="J1306" s="57" t="s">
        <v>72</v>
      </c>
      <c r="K1306" s="57" t="s">
        <v>591</v>
      </c>
      <c r="L1306" s="11" t="s">
        <v>914</v>
      </c>
      <c r="M1306" s="22">
        <v>1</v>
      </c>
      <c r="N1306" s="46">
        <v>186107</v>
      </c>
      <c r="O1306" s="49">
        <f t="shared" si="28"/>
        <v>186107</v>
      </c>
      <c r="P1306" s="5" t="s">
        <v>393</v>
      </c>
      <c r="Q1306" s="5" t="s">
        <v>766</v>
      </c>
      <c r="R1306" s="11" t="s">
        <v>2030</v>
      </c>
      <c r="S1306" s="22">
        <v>0</v>
      </c>
    </row>
    <row r="1307" spans="1:19" ht="51" outlineLevel="1">
      <c r="A1307" s="5">
        <v>1292</v>
      </c>
      <c r="B1307" s="29" t="s">
        <v>710</v>
      </c>
      <c r="C1307" s="35" t="s">
        <v>597</v>
      </c>
      <c r="D1307" s="5" t="s">
        <v>561</v>
      </c>
      <c r="E1307" s="57" t="s">
        <v>562</v>
      </c>
      <c r="F1307" s="57" t="s">
        <v>563</v>
      </c>
      <c r="G1307" s="57" t="s">
        <v>564</v>
      </c>
      <c r="H1307" s="57" t="s">
        <v>565</v>
      </c>
      <c r="I1307" s="57" t="s">
        <v>562</v>
      </c>
      <c r="J1307" s="57" t="s">
        <v>73</v>
      </c>
      <c r="K1307" s="57" t="s">
        <v>591</v>
      </c>
      <c r="L1307" s="11" t="s">
        <v>914</v>
      </c>
      <c r="M1307" s="22">
        <v>1</v>
      </c>
      <c r="N1307" s="46">
        <v>178843</v>
      </c>
      <c r="O1307" s="49">
        <f t="shared" si="28"/>
        <v>178843</v>
      </c>
      <c r="P1307" s="5" t="s">
        <v>393</v>
      </c>
      <c r="Q1307" s="5" t="s">
        <v>766</v>
      </c>
      <c r="R1307" s="11" t="s">
        <v>2030</v>
      </c>
      <c r="S1307" s="22">
        <v>0</v>
      </c>
    </row>
    <row r="1308" spans="1:19" ht="51" outlineLevel="1">
      <c r="A1308" s="5">
        <v>1293</v>
      </c>
      <c r="B1308" s="15" t="s">
        <v>710</v>
      </c>
      <c r="C1308" s="5" t="s">
        <v>597</v>
      </c>
      <c r="D1308" s="5" t="s">
        <v>548</v>
      </c>
      <c r="E1308" s="57" t="s">
        <v>549</v>
      </c>
      <c r="F1308" s="57" t="s">
        <v>550</v>
      </c>
      <c r="G1308" s="57" t="s">
        <v>549</v>
      </c>
      <c r="H1308" s="57" t="s">
        <v>550</v>
      </c>
      <c r="I1308" s="57" t="s">
        <v>1410</v>
      </c>
      <c r="J1308" s="57" t="s">
        <v>69</v>
      </c>
      <c r="K1308" s="57" t="s">
        <v>591</v>
      </c>
      <c r="L1308" s="11" t="s">
        <v>914</v>
      </c>
      <c r="M1308" s="22">
        <v>1</v>
      </c>
      <c r="N1308" s="46">
        <v>1141857</v>
      </c>
      <c r="O1308" s="49">
        <f t="shared" si="28"/>
        <v>1141857</v>
      </c>
      <c r="P1308" s="5" t="s">
        <v>393</v>
      </c>
      <c r="Q1308" s="5" t="s">
        <v>766</v>
      </c>
      <c r="R1308" s="11" t="s">
        <v>1021</v>
      </c>
      <c r="S1308" s="5">
        <v>0</v>
      </c>
    </row>
    <row r="1309" spans="1:19" ht="63.75" outlineLevel="1">
      <c r="A1309" s="5">
        <v>1294</v>
      </c>
      <c r="B1309" s="15" t="s">
        <v>710</v>
      </c>
      <c r="C1309" s="5" t="s">
        <v>597</v>
      </c>
      <c r="D1309" s="5" t="s">
        <v>551</v>
      </c>
      <c r="E1309" s="57" t="s">
        <v>552</v>
      </c>
      <c r="F1309" s="57" t="s">
        <v>553</v>
      </c>
      <c r="G1309" s="57" t="s">
        <v>554</v>
      </c>
      <c r="H1309" s="57" t="s">
        <v>555</v>
      </c>
      <c r="I1309" s="57" t="s">
        <v>1412</v>
      </c>
      <c r="J1309" s="57" t="s">
        <v>71</v>
      </c>
      <c r="K1309" s="57" t="s">
        <v>591</v>
      </c>
      <c r="L1309" s="11" t="s">
        <v>914</v>
      </c>
      <c r="M1309" s="22">
        <v>1</v>
      </c>
      <c r="N1309" s="46">
        <v>1369693</v>
      </c>
      <c r="O1309" s="49">
        <f t="shared" si="28"/>
        <v>1369693</v>
      </c>
      <c r="P1309" s="5" t="s">
        <v>393</v>
      </c>
      <c r="Q1309" s="5" t="s">
        <v>766</v>
      </c>
      <c r="R1309" s="11" t="s">
        <v>1021</v>
      </c>
      <c r="S1309" s="5">
        <v>0</v>
      </c>
    </row>
    <row r="1310" spans="1:19" ht="76.5" outlineLevel="1">
      <c r="A1310" s="5">
        <v>1295</v>
      </c>
      <c r="B1310" s="15" t="s">
        <v>710</v>
      </c>
      <c r="C1310" s="5" t="s">
        <v>597</v>
      </c>
      <c r="D1310" s="5" t="s">
        <v>868</v>
      </c>
      <c r="E1310" s="57" t="s">
        <v>1874</v>
      </c>
      <c r="F1310" s="57" t="s">
        <v>869</v>
      </c>
      <c r="G1310" s="57" t="s">
        <v>1875</v>
      </c>
      <c r="H1310" s="57" t="s">
        <v>870</v>
      </c>
      <c r="I1310" s="57" t="s">
        <v>1873</v>
      </c>
      <c r="J1310" s="57" t="s">
        <v>72</v>
      </c>
      <c r="K1310" s="57" t="s">
        <v>591</v>
      </c>
      <c r="L1310" s="11" t="s">
        <v>914</v>
      </c>
      <c r="M1310" s="22">
        <v>1</v>
      </c>
      <c r="N1310" s="46">
        <v>146990</v>
      </c>
      <c r="O1310" s="49">
        <f t="shared" si="28"/>
        <v>146990</v>
      </c>
      <c r="P1310" s="5" t="s">
        <v>393</v>
      </c>
      <c r="Q1310" s="5" t="s">
        <v>766</v>
      </c>
      <c r="R1310" s="11" t="s">
        <v>1021</v>
      </c>
      <c r="S1310" s="5">
        <v>0</v>
      </c>
    </row>
    <row r="1311" spans="1:19" ht="51" outlineLevel="1">
      <c r="A1311" s="5">
        <v>1296</v>
      </c>
      <c r="B1311" s="15" t="s">
        <v>710</v>
      </c>
      <c r="C1311" s="5" t="s">
        <v>597</v>
      </c>
      <c r="D1311" s="5" t="s">
        <v>561</v>
      </c>
      <c r="E1311" s="57" t="s">
        <v>562</v>
      </c>
      <c r="F1311" s="57" t="s">
        <v>563</v>
      </c>
      <c r="G1311" s="57" t="s">
        <v>564</v>
      </c>
      <c r="H1311" s="57" t="s">
        <v>565</v>
      </c>
      <c r="I1311" s="57" t="s">
        <v>562</v>
      </c>
      <c r="J1311" s="57" t="s">
        <v>73</v>
      </c>
      <c r="K1311" s="57" t="s">
        <v>591</v>
      </c>
      <c r="L1311" s="11" t="s">
        <v>914</v>
      </c>
      <c r="M1311" s="22">
        <v>1</v>
      </c>
      <c r="N1311" s="46">
        <v>385714</v>
      </c>
      <c r="O1311" s="49">
        <f t="shared" si="28"/>
        <v>385714</v>
      </c>
      <c r="P1311" s="5" t="s">
        <v>393</v>
      </c>
      <c r="Q1311" s="5" t="s">
        <v>766</v>
      </c>
      <c r="R1311" s="11" t="s">
        <v>1021</v>
      </c>
      <c r="S1311" s="5">
        <v>0</v>
      </c>
    </row>
    <row r="1312" spans="1:19" ht="51" outlineLevel="1">
      <c r="A1312" s="5">
        <v>1297</v>
      </c>
      <c r="B1312" s="15" t="s">
        <v>710</v>
      </c>
      <c r="C1312" s="5" t="s">
        <v>597</v>
      </c>
      <c r="D1312" s="5" t="s">
        <v>548</v>
      </c>
      <c r="E1312" s="57" t="s">
        <v>549</v>
      </c>
      <c r="F1312" s="57" t="s">
        <v>550</v>
      </c>
      <c r="G1312" s="57" t="s">
        <v>549</v>
      </c>
      <c r="H1312" s="57" t="s">
        <v>550</v>
      </c>
      <c r="I1312" s="57" t="s">
        <v>1410</v>
      </c>
      <c r="J1312" s="57" t="s">
        <v>69</v>
      </c>
      <c r="K1312" s="57" t="s">
        <v>591</v>
      </c>
      <c r="L1312" s="11" t="s">
        <v>914</v>
      </c>
      <c r="M1312" s="22">
        <v>1</v>
      </c>
      <c r="N1312" s="46">
        <v>396481</v>
      </c>
      <c r="O1312" s="49">
        <f t="shared" si="28"/>
        <v>396481</v>
      </c>
      <c r="P1312" s="5" t="s">
        <v>393</v>
      </c>
      <c r="Q1312" s="5" t="s">
        <v>766</v>
      </c>
      <c r="R1312" s="11" t="s">
        <v>789</v>
      </c>
      <c r="S1312" s="5">
        <v>0</v>
      </c>
    </row>
    <row r="1313" spans="1:19" ht="76.5" outlineLevel="1">
      <c r="A1313" s="5">
        <v>1298</v>
      </c>
      <c r="B1313" s="15" t="s">
        <v>710</v>
      </c>
      <c r="C1313" s="5" t="s">
        <v>597</v>
      </c>
      <c r="D1313" s="5" t="s">
        <v>556</v>
      </c>
      <c r="E1313" s="57" t="s">
        <v>557</v>
      </c>
      <c r="F1313" s="57" t="s">
        <v>558</v>
      </c>
      <c r="G1313" s="57" t="s">
        <v>559</v>
      </c>
      <c r="H1313" s="57" t="s">
        <v>560</v>
      </c>
      <c r="I1313" s="57" t="s">
        <v>1411</v>
      </c>
      <c r="J1313" s="57" t="s">
        <v>70</v>
      </c>
      <c r="K1313" s="57" t="s">
        <v>591</v>
      </c>
      <c r="L1313" s="11" t="s">
        <v>914</v>
      </c>
      <c r="M1313" s="22">
        <v>1</v>
      </c>
      <c r="N1313" s="46">
        <v>556463</v>
      </c>
      <c r="O1313" s="49">
        <f t="shared" si="28"/>
        <v>556463</v>
      </c>
      <c r="P1313" s="5" t="s">
        <v>393</v>
      </c>
      <c r="Q1313" s="5" t="s">
        <v>766</v>
      </c>
      <c r="R1313" s="11" t="s">
        <v>789</v>
      </c>
      <c r="S1313" s="5">
        <v>0</v>
      </c>
    </row>
    <row r="1314" spans="1:19" ht="63.75" outlineLevel="1">
      <c r="A1314" s="5">
        <v>1299</v>
      </c>
      <c r="B1314" s="15" t="s">
        <v>710</v>
      </c>
      <c r="C1314" s="5" t="s">
        <v>597</v>
      </c>
      <c r="D1314" s="5" t="s">
        <v>551</v>
      </c>
      <c r="E1314" s="57" t="s">
        <v>552</v>
      </c>
      <c r="F1314" s="57" t="s">
        <v>553</v>
      </c>
      <c r="G1314" s="57" t="s">
        <v>554</v>
      </c>
      <c r="H1314" s="57" t="s">
        <v>555</v>
      </c>
      <c r="I1314" s="57" t="s">
        <v>1412</v>
      </c>
      <c r="J1314" s="57" t="s">
        <v>71</v>
      </c>
      <c r="K1314" s="57" t="s">
        <v>591</v>
      </c>
      <c r="L1314" s="11" t="s">
        <v>914</v>
      </c>
      <c r="M1314" s="22">
        <v>1</v>
      </c>
      <c r="N1314" s="46">
        <v>1093929</v>
      </c>
      <c r="O1314" s="49">
        <f t="shared" si="28"/>
        <v>1093929</v>
      </c>
      <c r="P1314" s="5" t="s">
        <v>391</v>
      </c>
      <c r="Q1314" s="5" t="s">
        <v>766</v>
      </c>
      <c r="R1314" s="11" t="s">
        <v>789</v>
      </c>
      <c r="S1314" s="5">
        <v>0</v>
      </c>
    </row>
    <row r="1315" spans="1:19" ht="76.5" outlineLevel="1">
      <c r="A1315" s="5">
        <v>1300</v>
      </c>
      <c r="B1315" s="15" t="s">
        <v>710</v>
      </c>
      <c r="C1315" s="5" t="s">
        <v>597</v>
      </c>
      <c r="D1315" s="5" t="s">
        <v>868</v>
      </c>
      <c r="E1315" s="57" t="s">
        <v>1874</v>
      </c>
      <c r="F1315" s="57" t="s">
        <v>869</v>
      </c>
      <c r="G1315" s="57" t="s">
        <v>1875</v>
      </c>
      <c r="H1315" s="57" t="s">
        <v>870</v>
      </c>
      <c r="I1315" s="57" t="s">
        <v>1873</v>
      </c>
      <c r="J1315" s="57" t="s">
        <v>72</v>
      </c>
      <c r="K1315" s="57" t="s">
        <v>591</v>
      </c>
      <c r="L1315" s="11" t="s">
        <v>914</v>
      </c>
      <c r="M1315" s="22">
        <v>1</v>
      </c>
      <c r="N1315" s="46">
        <v>465267</v>
      </c>
      <c r="O1315" s="49">
        <f t="shared" si="28"/>
        <v>465267</v>
      </c>
      <c r="P1315" s="5" t="s">
        <v>391</v>
      </c>
      <c r="Q1315" s="5" t="s">
        <v>766</v>
      </c>
      <c r="R1315" s="11" t="s">
        <v>789</v>
      </c>
      <c r="S1315" s="5">
        <v>0</v>
      </c>
    </row>
    <row r="1316" spans="1:19" ht="51" outlineLevel="1">
      <c r="A1316" s="5">
        <v>1301</v>
      </c>
      <c r="B1316" s="15" t="s">
        <v>710</v>
      </c>
      <c r="C1316" s="5" t="s">
        <v>597</v>
      </c>
      <c r="D1316" s="5" t="s">
        <v>561</v>
      </c>
      <c r="E1316" s="57" t="s">
        <v>562</v>
      </c>
      <c r="F1316" s="57" t="s">
        <v>563</v>
      </c>
      <c r="G1316" s="57" t="s">
        <v>564</v>
      </c>
      <c r="H1316" s="57" t="s">
        <v>565</v>
      </c>
      <c r="I1316" s="57" t="s">
        <v>562</v>
      </c>
      <c r="J1316" s="57" t="s">
        <v>73</v>
      </c>
      <c r="K1316" s="57" t="s">
        <v>591</v>
      </c>
      <c r="L1316" s="11" t="s">
        <v>914</v>
      </c>
      <c r="M1316" s="22">
        <v>1</v>
      </c>
      <c r="N1316" s="46">
        <v>128571</v>
      </c>
      <c r="O1316" s="49">
        <f t="shared" si="28"/>
        <v>128571</v>
      </c>
      <c r="P1316" s="5" t="s">
        <v>391</v>
      </c>
      <c r="Q1316" s="5" t="s">
        <v>766</v>
      </c>
      <c r="R1316" s="11" t="s">
        <v>789</v>
      </c>
      <c r="S1316" s="5">
        <v>0</v>
      </c>
    </row>
    <row r="1317" spans="1:19" ht="51" outlineLevel="1">
      <c r="A1317" s="5">
        <v>1302</v>
      </c>
      <c r="B1317" s="15" t="s">
        <v>710</v>
      </c>
      <c r="C1317" s="5" t="s">
        <v>597</v>
      </c>
      <c r="D1317" s="5" t="s">
        <v>548</v>
      </c>
      <c r="E1317" s="57" t="s">
        <v>549</v>
      </c>
      <c r="F1317" s="57" t="s">
        <v>550</v>
      </c>
      <c r="G1317" s="57" t="s">
        <v>549</v>
      </c>
      <c r="H1317" s="57" t="s">
        <v>550</v>
      </c>
      <c r="I1317" s="57" t="s">
        <v>1410</v>
      </c>
      <c r="J1317" s="57" t="s">
        <v>69</v>
      </c>
      <c r="K1317" s="57" t="s">
        <v>591</v>
      </c>
      <c r="L1317" s="11" t="s">
        <v>914</v>
      </c>
      <c r="M1317" s="22">
        <v>1</v>
      </c>
      <c r="N1317" s="46">
        <v>1598114</v>
      </c>
      <c r="O1317" s="49">
        <f t="shared" si="28"/>
        <v>1598114</v>
      </c>
      <c r="P1317" s="5" t="s">
        <v>393</v>
      </c>
      <c r="Q1317" s="5" t="s">
        <v>766</v>
      </c>
      <c r="R1317" s="11" t="s">
        <v>633</v>
      </c>
      <c r="S1317" s="22">
        <v>100</v>
      </c>
    </row>
    <row r="1318" spans="1:19" ht="76.5" outlineLevel="1">
      <c r="A1318" s="5">
        <v>1303</v>
      </c>
      <c r="B1318" s="15" t="s">
        <v>710</v>
      </c>
      <c r="C1318" s="5" t="s">
        <v>597</v>
      </c>
      <c r="D1318" s="5" t="s">
        <v>556</v>
      </c>
      <c r="E1318" s="57" t="s">
        <v>557</v>
      </c>
      <c r="F1318" s="57" t="s">
        <v>558</v>
      </c>
      <c r="G1318" s="57" t="s">
        <v>559</v>
      </c>
      <c r="H1318" s="57" t="s">
        <v>560</v>
      </c>
      <c r="I1318" s="57" t="s">
        <v>1411</v>
      </c>
      <c r="J1318" s="57" t="s">
        <v>70</v>
      </c>
      <c r="K1318" s="57" t="s">
        <v>591</v>
      </c>
      <c r="L1318" s="11" t="s">
        <v>914</v>
      </c>
      <c r="M1318" s="22">
        <v>1</v>
      </c>
      <c r="N1318" s="46">
        <v>59800</v>
      </c>
      <c r="O1318" s="49">
        <f t="shared" si="28"/>
        <v>59800</v>
      </c>
      <c r="P1318" s="5" t="s">
        <v>393</v>
      </c>
      <c r="Q1318" s="5" t="s">
        <v>766</v>
      </c>
      <c r="R1318" s="11" t="s">
        <v>633</v>
      </c>
      <c r="S1318" s="22">
        <v>100</v>
      </c>
    </row>
    <row r="1319" spans="1:19" ht="63.75" outlineLevel="1">
      <c r="A1319" s="5">
        <v>1304</v>
      </c>
      <c r="B1319" s="15" t="s">
        <v>710</v>
      </c>
      <c r="C1319" s="5" t="s">
        <v>597</v>
      </c>
      <c r="D1319" s="5" t="s">
        <v>551</v>
      </c>
      <c r="E1319" s="57" t="s">
        <v>552</v>
      </c>
      <c r="F1319" s="57" t="s">
        <v>553</v>
      </c>
      <c r="G1319" s="57" t="s">
        <v>554</v>
      </c>
      <c r="H1319" s="57" t="s">
        <v>555</v>
      </c>
      <c r="I1319" s="57" t="s">
        <v>1412</v>
      </c>
      <c r="J1319" s="57" t="s">
        <v>71</v>
      </c>
      <c r="K1319" s="57" t="s">
        <v>591</v>
      </c>
      <c r="L1319" s="11" t="s">
        <v>914</v>
      </c>
      <c r="M1319" s="22">
        <v>1</v>
      </c>
      <c r="N1319" s="46">
        <v>488893</v>
      </c>
      <c r="O1319" s="49">
        <f t="shared" si="28"/>
        <v>488893</v>
      </c>
      <c r="P1319" s="5" t="s">
        <v>393</v>
      </c>
      <c r="Q1319" s="5" t="s">
        <v>766</v>
      </c>
      <c r="R1319" s="11" t="s">
        <v>633</v>
      </c>
      <c r="S1319" s="22">
        <v>100</v>
      </c>
    </row>
    <row r="1320" spans="1:19" ht="76.5" outlineLevel="1">
      <c r="A1320" s="5">
        <v>1305</v>
      </c>
      <c r="B1320" s="15" t="s">
        <v>710</v>
      </c>
      <c r="C1320" s="5" t="s">
        <v>597</v>
      </c>
      <c r="D1320" s="5" t="s">
        <v>868</v>
      </c>
      <c r="E1320" s="57" t="s">
        <v>1874</v>
      </c>
      <c r="F1320" s="57" t="s">
        <v>869</v>
      </c>
      <c r="G1320" s="57" t="s">
        <v>1875</v>
      </c>
      <c r="H1320" s="57" t="s">
        <v>870</v>
      </c>
      <c r="I1320" s="57" t="s">
        <v>1873</v>
      </c>
      <c r="J1320" s="57" t="s">
        <v>72</v>
      </c>
      <c r="K1320" s="57" t="s">
        <v>591</v>
      </c>
      <c r="L1320" s="11" t="s">
        <v>914</v>
      </c>
      <c r="M1320" s="22">
        <v>1</v>
      </c>
      <c r="N1320" s="46">
        <v>503440</v>
      </c>
      <c r="O1320" s="49">
        <f t="shared" si="28"/>
        <v>503440</v>
      </c>
      <c r="P1320" s="5" t="s">
        <v>393</v>
      </c>
      <c r="Q1320" s="5" t="s">
        <v>766</v>
      </c>
      <c r="R1320" s="11" t="s">
        <v>633</v>
      </c>
      <c r="S1320" s="22">
        <v>100</v>
      </c>
    </row>
    <row r="1321" spans="1:19" ht="51" outlineLevel="1">
      <c r="A1321" s="5">
        <v>1306</v>
      </c>
      <c r="B1321" s="15" t="s">
        <v>710</v>
      </c>
      <c r="C1321" s="5" t="s">
        <v>597</v>
      </c>
      <c r="D1321" s="5" t="s">
        <v>548</v>
      </c>
      <c r="E1321" s="57" t="s">
        <v>549</v>
      </c>
      <c r="F1321" s="57" t="s">
        <v>550</v>
      </c>
      <c r="G1321" s="57" t="s">
        <v>549</v>
      </c>
      <c r="H1321" s="57" t="s">
        <v>550</v>
      </c>
      <c r="I1321" s="57" t="s">
        <v>1410</v>
      </c>
      <c r="J1321" s="57" t="s">
        <v>69</v>
      </c>
      <c r="K1321" s="57" t="s">
        <v>591</v>
      </c>
      <c r="L1321" s="11" t="s">
        <v>914</v>
      </c>
      <c r="M1321" s="22">
        <v>1</v>
      </c>
      <c r="N1321" s="46">
        <v>862500</v>
      </c>
      <c r="O1321" s="49">
        <f t="shared" si="28"/>
        <v>862500</v>
      </c>
      <c r="P1321" s="5" t="s">
        <v>393</v>
      </c>
      <c r="Q1321" s="5" t="s">
        <v>766</v>
      </c>
      <c r="R1321" s="11">
        <v>311000000</v>
      </c>
      <c r="S1321" s="22">
        <v>0</v>
      </c>
    </row>
    <row r="1322" spans="1:19" ht="63.75" outlineLevel="1">
      <c r="A1322" s="5">
        <v>1307</v>
      </c>
      <c r="B1322" s="15" t="s">
        <v>710</v>
      </c>
      <c r="C1322" s="5" t="s">
        <v>597</v>
      </c>
      <c r="D1322" s="5" t="s">
        <v>551</v>
      </c>
      <c r="E1322" s="57" t="s">
        <v>552</v>
      </c>
      <c r="F1322" s="57" t="s">
        <v>553</v>
      </c>
      <c r="G1322" s="57" t="s">
        <v>554</v>
      </c>
      <c r="H1322" s="57" t="s">
        <v>555</v>
      </c>
      <c r="I1322" s="57" t="s">
        <v>1412</v>
      </c>
      <c r="J1322" s="57" t="s">
        <v>71</v>
      </c>
      <c r="K1322" s="57" t="s">
        <v>591</v>
      </c>
      <c r="L1322" s="11" t="s">
        <v>914</v>
      </c>
      <c r="M1322" s="22">
        <v>1</v>
      </c>
      <c r="N1322" s="46">
        <v>1028571</v>
      </c>
      <c r="O1322" s="49">
        <f t="shared" si="28"/>
        <v>1028571</v>
      </c>
      <c r="P1322" s="5" t="s">
        <v>393</v>
      </c>
      <c r="Q1322" s="5" t="s">
        <v>766</v>
      </c>
      <c r="R1322" s="11">
        <v>311000000</v>
      </c>
      <c r="S1322" s="22">
        <v>0</v>
      </c>
    </row>
    <row r="1323" spans="1:19" ht="76.5" outlineLevel="1">
      <c r="A1323" s="5">
        <v>1308</v>
      </c>
      <c r="B1323" s="15" t="s">
        <v>710</v>
      </c>
      <c r="C1323" s="5" t="s">
        <v>597</v>
      </c>
      <c r="D1323" s="5" t="s">
        <v>868</v>
      </c>
      <c r="E1323" s="57" t="s">
        <v>1874</v>
      </c>
      <c r="F1323" s="57" t="s">
        <v>869</v>
      </c>
      <c r="G1323" s="57" t="s">
        <v>1875</v>
      </c>
      <c r="H1323" s="57" t="s">
        <v>870</v>
      </c>
      <c r="I1323" s="57" t="s">
        <v>1873</v>
      </c>
      <c r="J1323" s="57" t="s">
        <v>72</v>
      </c>
      <c r="K1323" s="57" t="s">
        <v>591</v>
      </c>
      <c r="L1323" s="11" t="s">
        <v>914</v>
      </c>
      <c r="M1323" s="22">
        <v>1</v>
      </c>
      <c r="N1323" s="46">
        <v>28393</v>
      </c>
      <c r="O1323" s="49">
        <f t="shared" si="28"/>
        <v>28393</v>
      </c>
      <c r="P1323" s="5" t="s">
        <v>393</v>
      </c>
      <c r="Q1323" s="5" t="s">
        <v>766</v>
      </c>
      <c r="R1323" s="11">
        <v>311000000</v>
      </c>
      <c r="S1323" s="22">
        <v>0</v>
      </c>
    </row>
    <row r="1324" spans="1:19" ht="51" outlineLevel="1">
      <c r="A1324" s="5">
        <v>1309</v>
      </c>
      <c r="B1324" s="15" t="s">
        <v>710</v>
      </c>
      <c r="C1324" s="5" t="s">
        <v>597</v>
      </c>
      <c r="D1324" s="5" t="s">
        <v>561</v>
      </c>
      <c r="E1324" s="57" t="s">
        <v>562</v>
      </c>
      <c r="F1324" s="57" t="s">
        <v>563</v>
      </c>
      <c r="G1324" s="57" t="s">
        <v>564</v>
      </c>
      <c r="H1324" s="57" t="s">
        <v>565</v>
      </c>
      <c r="I1324" s="57" t="s">
        <v>562</v>
      </c>
      <c r="J1324" s="57" t="s">
        <v>73</v>
      </c>
      <c r="K1324" s="57" t="s">
        <v>591</v>
      </c>
      <c r="L1324" s="11" t="s">
        <v>914</v>
      </c>
      <c r="M1324" s="22">
        <v>1</v>
      </c>
      <c r="N1324" s="46">
        <v>239357</v>
      </c>
      <c r="O1324" s="49">
        <f t="shared" si="28"/>
        <v>239357</v>
      </c>
      <c r="P1324" s="5" t="s">
        <v>393</v>
      </c>
      <c r="Q1324" s="5" t="s">
        <v>766</v>
      </c>
      <c r="R1324" s="11">
        <v>311000000</v>
      </c>
      <c r="S1324" s="22">
        <v>0</v>
      </c>
    </row>
    <row r="1325" spans="1:19" ht="51" outlineLevel="1">
      <c r="A1325" s="5">
        <v>1310</v>
      </c>
      <c r="B1325" s="15" t="s">
        <v>710</v>
      </c>
      <c r="C1325" s="5" t="s">
        <v>597</v>
      </c>
      <c r="D1325" s="5" t="s">
        <v>548</v>
      </c>
      <c r="E1325" s="57" t="s">
        <v>549</v>
      </c>
      <c r="F1325" s="57" t="s">
        <v>550</v>
      </c>
      <c r="G1325" s="57" t="s">
        <v>549</v>
      </c>
      <c r="H1325" s="57" t="s">
        <v>550</v>
      </c>
      <c r="I1325" s="57" t="s">
        <v>1410</v>
      </c>
      <c r="J1325" s="57" t="s">
        <v>69</v>
      </c>
      <c r="K1325" s="57" t="s">
        <v>591</v>
      </c>
      <c r="L1325" s="11" t="s">
        <v>914</v>
      </c>
      <c r="M1325" s="22">
        <v>1</v>
      </c>
      <c r="N1325" s="46">
        <v>241284</v>
      </c>
      <c r="O1325" s="49">
        <f t="shared" si="28"/>
        <v>241284</v>
      </c>
      <c r="P1325" s="5" t="s">
        <v>393</v>
      </c>
      <c r="Q1325" s="5" t="s">
        <v>766</v>
      </c>
      <c r="R1325" s="11">
        <v>431000000</v>
      </c>
      <c r="S1325" s="22">
        <v>0</v>
      </c>
    </row>
    <row r="1326" spans="1:19" ht="63.75" outlineLevel="1">
      <c r="A1326" s="5">
        <v>1311</v>
      </c>
      <c r="B1326" s="15" t="s">
        <v>710</v>
      </c>
      <c r="C1326" s="5" t="s">
        <v>597</v>
      </c>
      <c r="D1326" s="5" t="s">
        <v>551</v>
      </c>
      <c r="E1326" s="57" t="s">
        <v>552</v>
      </c>
      <c r="F1326" s="57" t="s">
        <v>553</v>
      </c>
      <c r="G1326" s="57" t="s">
        <v>554</v>
      </c>
      <c r="H1326" s="57" t="s">
        <v>555</v>
      </c>
      <c r="I1326" s="57" t="s">
        <v>1412</v>
      </c>
      <c r="J1326" s="57" t="s">
        <v>71</v>
      </c>
      <c r="K1326" s="57" t="s">
        <v>591</v>
      </c>
      <c r="L1326" s="11" t="s">
        <v>914</v>
      </c>
      <c r="M1326" s="22">
        <v>1</v>
      </c>
      <c r="N1326" s="46">
        <v>1667384</v>
      </c>
      <c r="O1326" s="49">
        <f t="shared" si="28"/>
        <v>1667384</v>
      </c>
      <c r="P1326" s="5" t="s">
        <v>393</v>
      </c>
      <c r="Q1326" s="5" t="s">
        <v>766</v>
      </c>
      <c r="R1326" s="11">
        <v>431000000</v>
      </c>
      <c r="S1326" s="22">
        <v>0</v>
      </c>
    </row>
    <row r="1327" spans="1:19" ht="76.5" outlineLevel="1">
      <c r="A1327" s="5">
        <v>1312</v>
      </c>
      <c r="B1327" s="15" t="s">
        <v>710</v>
      </c>
      <c r="C1327" s="5" t="s">
        <v>597</v>
      </c>
      <c r="D1327" s="5" t="s">
        <v>556</v>
      </c>
      <c r="E1327" s="57" t="s">
        <v>557</v>
      </c>
      <c r="F1327" s="57" t="s">
        <v>558</v>
      </c>
      <c r="G1327" s="57" t="s">
        <v>559</v>
      </c>
      <c r="H1327" s="57" t="s">
        <v>560</v>
      </c>
      <c r="I1327" s="57" t="s">
        <v>1873</v>
      </c>
      <c r="J1327" s="57" t="s">
        <v>72</v>
      </c>
      <c r="K1327" s="57" t="s">
        <v>591</v>
      </c>
      <c r="L1327" s="11" t="s">
        <v>914</v>
      </c>
      <c r="M1327" s="22">
        <v>1</v>
      </c>
      <c r="N1327" s="46">
        <v>535513</v>
      </c>
      <c r="O1327" s="49">
        <f t="shared" si="28"/>
        <v>535513</v>
      </c>
      <c r="P1327" s="5" t="s">
        <v>393</v>
      </c>
      <c r="Q1327" s="5" t="s">
        <v>766</v>
      </c>
      <c r="R1327" s="11">
        <v>431000000</v>
      </c>
      <c r="S1327" s="22">
        <v>0</v>
      </c>
    </row>
    <row r="1328" spans="1:19" ht="51" outlineLevel="1">
      <c r="A1328" s="5">
        <v>1313</v>
      </c>
      <c r="B1328" s="15" t="s">
        <v>710</v>
      </c>
      <c r="C1328" s="5" t="s">
        <v>597</v>
      </c>
      <c r="D1328" s="5" t="s">
        <v>561</v>
      </c>
      <c r="E1328" s="57" t="s">
        <v>562</v>
      </c>
      <c r="F1328" s="57" t="s">
        <v>563</v>
      </c>
      <c r="G1328" s="57" t="s">
        <v>564</v>
      </c>
      <c r="H1328" s="57" t="s">
        <v>565</v>
      </c>
      <c r="I1328" s="57" t="s">
        <v>562</v>
      </c>
      <c r="J1328" s="57" t="s">
        <v>73</v>
      </c>
      <c r="K1328" s="57" t="s">
        <v>591</v>
      </c>
      <c r="L1328" s="11" t="s">
        <v>914</v>
      </c>
      <c r="M1328" s="22">
        <v>1</v>
      </c>
      <c r="N1328" s="46">
        <v>156429</v>
      </c>
      <c r="O1328" s="49">
        <f t="shared" si="28"/>
        <v>156429</v>
      </c>
      <c r="P1328" s="5" t="s">
        <v>393</v>
      </c>
      <c r="Q1328" s="5" t="s">
        <v>766</v>
      </c>
      <c r="R1328" s="11">
        <v>431000000</v>
      </c>
      <c r="S1328" s="22">
        <v>0</v>
      </c>
    </row>
    <row r="1329" spans="1:19" s="32" customFormat="1" ht="51">
      <c r="A1329" s="5">
        <v>1314</v>
      </c>
      <c r="B1329" s="15" t="s">
        <v>710</v>
      </c>
      <c r="C1329" s="5" t="s">
        <v>597</v>
      </c>
      <c r="D1329" s="5" t="s">
        <v>548</v>
      </c>
      <c r="E1329" s="57" t="s">
        <v>549</v>
      </c>
      <c r="F1329" s="57" t="s">
        <v>550</v>
      </c>
      <c r="G1329" s="57" t="s">
        <v>549</v>
      </c>
      <c r="H1329" s="57" t="s">
        <v>550</v>
      </c>
      <c r="I1329" s="57" t="s">
        <v>1410</v>
      </c>
      <c r="J1329" s="57" t="s">
        <v>69</v>
      </c>
      <c r="K1329" s="57" t="s">
        <v>591</v>
      </c>
      <c r="L1329" s="11" t="s">
        <v>914</v>
      </c>
      <c r="M1329" s="22">
        <v>1</v>
      </c>
      <c r="N1329" s="46">
        <v>642857</v>
      </c>
      <c r="O1329" s="49">
        <f t="shared" si="28"/>
        <v>642857</v>
      </c>
      <c r="P1329" s="5" t="s">
        <v>393</v>
      </c>
      <c r="Q1329" s="5" t="s">
        <v>766</v>
      </c>
      <c r="R1329" s="11">
        <v>551000000</v>
      </c>
      <c r="S1329" s="22">
        <v>100</v>
      </c>
    </row>
    <row r="1330" spans="1:19" s="32" customFormat="1" ht="63.75">
      <c r="A1330" s="5">
        <v>1315</v>
      </c>
      <c r="B1330" s="15" t="s">
        <v>710</v>
      </c>
      <c r="C1330" s="5" t="s">
        <v>597</v>
      </c>
      <c r="D1330" s="5" t="s">
        <v>551</v>
      </c>
      <c r="E1330" s="57" t="s">
        <v>552</v>
      </c>
      <c r="F1330" s="57" t="s">
        <v>553</v>
      </c>
      <c r="G1330" s="57" t="s">
        <v>554</v>
      </c>
      <c r="H1330" s="57" t="s">
        <v>555</v>
      </c>
      <c r="I1330" s="57" t="s">
        <v>1412</v>
      </c>
      <c r="J1330" s="57" t="s">
        <v>71</v>
      </c>
      <c r="K1330" s="57" t="s">
        <v>591</v>
      </c>
      <c r="L1330" s="11" t="s">
        <v>914</v>
      </c>
      <c r="M1330" s="22">
        <v>1</v>
      </c>
      <c r="N1330" s="46">
        <v>857143</v>
      </c>
      <c r="O1330" s="49">
        <f t="shared" si="28"/>
        <v>857143</v>
      </c>
      <c r="P1330" s="5" t="s">
        <v>393</v>
      </c>
      <c r="Q1330" s="5" t="s">
        <v>766</v>
      </c>
      <c r="R1330" s="11">
        <v>551000000</v>
      </c>
      <c r="S1330" s="22">
        <v>100</v>
      </c>
    </row>
    <row r="1331" spans="1:19" s="32" customFormat="1" ht="68.25" customHeight="1">
      <c r="A1331" s="5">
        <v>1316</v>
      </c>
      <c r="B1331" s="15" t="s">
        <v>710</v>
      </c>
      <c r="C1331" s="5" t="s">
        <v>597</v>
      </c>
      <c r="D1331" s="5" t="s">
        <v>868</v>
      </c>
      <c r="E1331" s="57" t="s">
        <v>1874</v>
      </c>
      <c r="F1331" s="57" t="s">
        <v>869</v>
      </c>
      <c r="G1331" s="57" t="s">
        <v>1875</v>
      </c>
      <c r="H1331" s="57" t="s">
        <v>870</v>
      </c>
      <c r="I1331" s="57" t="s">
        <v>1873</v>
      </c>
      <c r="J1331" s="57" t="s">
        <v>72</v>
      </c>
      <c r="K1331" s="57" t="s">
        <v>591</v>
      </c>
      <c r="L1331" s="11" t="s">
        <v>914</v>
      </c>
      <c r="M1331" s="22">
        <v>1</v>
      </c>
      <c r="N1331" s="46">
        <v>321429</v>
      </c>
      <c r="O1331" s="49">
        <f t="shared" si="28"/>
        <v>321429</v>
      </c>
      <c r="P1331" s="5" t="s">
        <v>393</v>
      </c>
      <c r="Q1331" s="5" t="s">
        <v>766</v>
      </c>
      <c r="R1331" s="11">
        <v>551000000</v>
      </c>
      <c r="S1331" s="22">
        <v>100</v>
      </c>
    </row>
    <row r="1332" spans="1:19" s="32" customFormat="1" ht="72.75" customHeight="1">
      <c r="A1332" s="5">
        <v>1317</v>
      </c>
      <c r="B1332" s="15" t="s">
        <v>710</v>
      </c>
      <c r="C1332" s="5" t="s">
        <v>597</v>
      </c>
      <c r="D1332" s="5" t="s">
        <v>561</v>
      </c>
      <c r="E1332" s="57" t="s">
        <v>562</v>
      </c>
      <c r="F1332" s="57" t="s">
        <v>563</v>
      </c>
      <c r="G1332" s="57" t="s">
        <v>564</v>
      </c>
      <c r="H1332" s="57" t="s">
        <v>565</v>
      </c>
      <c r="I1332" s="57" t="s">
        <v>562</v>
      </c>
      <c r="J1332" s="57" t="s">
        <v>73</v>
      </c>
      <c r="K1332" s="57" t="s">
        <v>591</v>
      </c>
      <c r="L1332" s="11" t="s">
        <v>914</v>
      </c>
      <c r="M1332" s="22">
        <v>1</v>
      </c>
      <c r="N1332" s="46">
        <v>267857</v>
      </c>
      <c r="O1332" s="49">
        <f t="shared" si="28"/>
        <v>267857</v>
      </c>
      <c r="P1332" s="5" t="s">
        <v>393</v>
      </c>
      <c r="Q1332" s="5" t="s">
        <v>766</v>
      </c>
      <c r="R1332" s="11">
        <v>551000000</v>
      </c>
      <c r="S1332" s="22">
        <v>0</v>
      </c>
    </row>
    <row r="1333" spans="1:19" ht="51" outlineLevel="1">
      <c r="A1333" s="5">
        <v>1318</v>
      </c>
      <c r="B1333" s="15" t="s">
        <v>710</v>
      </c>
      <c r="C1333" s="5" t="s">
        <v>597</v>
      </c>
      <c r="D1333" s="5" t="s">
        <v>548</v>
      </c>
      <c r="E1333" s="57" t="s">
        <v>549</v>
      </c>
      <c r="F1333" s="57" t="s">
        <v>550</v>
      </c>
      <c r="G1333" s="57" t="s">
        <v>549</v>
      </c>
      <c r="H1333" s="57" t="s">
        <v>550</v>
      </c>
      <c r="I1333" s="57" t="s">
        <v>1410</v>
      </c>
      <c r="J1333" s="57" t="s">
        <v>69</v>
      </c>
      <c r="K1333" s="57" t="s">
        <v>591</v>
      </c>
      <c r="L1333" s="11" t="s">
        <v>914</v>
      </c>
      <c r="M1333" s="22">
        <v>1</v>
      </c>
      <c r="N1333" s="46">
        <f>O1333/M1333</f>
        <v>0</v>
      </c>
      <c r="O1333" s="49">
        <f>185366-185366</f>
        <v>0</v>
      </c>
      <c r="P1333" s="5" t="s">
        <v>586</v>
      </c>
      <c r="Q1333" s="5" t="s">
        <v>766</v>
      </c>
      <c r="R1333" s="11" t="s">
        <v>2029</v>
      </c>
      <c r="S1333" s="5">
        <v>0</v>
      </c>
    </row>
    <row r="1334" spans="1:19" ht="63.75" outlineLevel="1">
      <c r="A1334" s="5">
        <v>1319</v>
      </c>
      <c r="B1334" s="15" t="s">
        <v>710</v>
      </c>
      <c r="C1334" s="5" t="s">
        <v>597</v>
      </c>
      <c r="D1334" s="5" t="s">
        <v>551</v>
      </c>
      <c r="E1334" s="57" t="s">
        <v>552</v>
      </c>
      <c r="F1334" s="57" t="s">
        <v>553</v>
      </c>
      <c r="G1334" s="57" t="s">
        <v>554</v>
      </c>
      <c r="H1334" s="57" t="s">
        <v>555</v>
      </c>
      <c r="I1334" s="57" t="s">
        <v>1412</v>
      </c>
      <c r="J1334" s="57" t="s">
        <v>71</v>
      </c>
      <c r="K1334" s="57" t="s">
        <v>591</v>
      </c>
      <c r="L1334" s="11" t="s">
        <v>914</v>
      </c>
      <c r="M1334" s="22">
        <v>1</v>
      </c>
      <c r="N1334" s="46">
        <f>O1334/M1334</f>
        <v>1138693</v>
      </c>
      <c r="O1334" s="49">
        <f>358693+330000+450000</f>
        <v>1138693</v>
      </c>
      <c r="P1334" s="5" t="s">
        <v>393</v>
      </c>
      <c r="Q1334" s="5" t="s">
        <v>766</v>
      </c>
      <c r="R1334" s="11" t="s">
        <v>2029</v>
      </c>
      <c r="S1334" s="5">
        <v>0</v>
      </c>
    </row>
    <row r="1335" spans="1:19" ht="76.5" outlineLevel="1">
      <c r="A1335" s="5">
        <v>1320</v>
      </c>
      <c r="B1335" s="15" t="s">
        <v>710</v>
      </c>
      <c r="C1335" s="5" t="s">
        <v>597</v>
      </c>
      <c r="D1335" s="5" t="s">
        <v>868</v>
      </c>
      <c r="E1335" s="57" t="s">
        <v>1874</v>
      </c>
      <c r="F1335" s="57" t="s">
        <v>869</v>
      </c>
      <c r="G1335" s="57" t="s">
        <v>1875</v>
      </c>
      <c r="H1335" s="57" t="s">
        <v>870</v>
      </c>
      <c r="I1335" s="57" t="s">
        <v>1873</v>
      </c>
      <c r="J1335" s="57" t="s">
        <v>72</v>
      </c>
      <c r="K1335" s="57" t="s">
        <v>591</v>
      </c>
      <c r="L1335" s="11" t="s">
        <v>914</v>
      </c>
      <c r="M1335" s="22">
        <v>1</v>
      </c>
      <c r="N1335" s="46">
        <v>115730</v>
      </c>
      <c r="O1335" s="49">
        <f t="shared" si="28"/>
        <v>115730</v>
      </c>
      <c r="P1335" s="5" t="s">
        <v>393</v>
      </c>
      <c r="Q1335" s="5" t="s">
        <v>766</v>
      </c>
      <c r="R1335" s="11" t="s">
        <v>2029</v>
      </c>
      <c r="S1335" s="5">
        <v>0</v>
      </c>
    </row>
    <row r="1336" spans="1:19" ht="51" outlineLevel="1">
      <c r="A1336" s="5">
        <v>1321</v>
      </c>
      <c r="B1336" s="15" t="s">
        <v>710</v>
      </c>
      <c r="C1336" s="5" t="s">
        <v>597</v>
      </c>
      <c r="D1336" s="5" t="s">
        <v>561</v>
      </c>
      <c r="E1336" s="57" t="s">
        <v>562</v>
      </c>
      <c r="F1336" s="57" t="s">
        <v>563</v>
      </c>
      <c r="G1336" s="57" t="s">
        <v>564</v>
      </c>
      <c r="H1336" s="57" t="s">
        <v>565</v>
      </c>
      <c r="I1336" s="57" t="s">
        <v>562</v>
      </c>
      <c r="J1336" s="57" t="s">
        <v>73</v>
      </c>
      <c r="K1336" s="57" t="s">
        <v>591</v>
      </c>
      <c r="L1336" s="11" t="s">
        <v>914</v>
      </c>
      <c r="M1336" s="22">
        <v>1</v>
      </c>
      <c r="N1336" s="46">
        <v>59375</v>
      </c>
      <c r="O1336" s="49">
        <f t="shared" si="28"/>
        <v>59375</v>
      </c>
      <c r="P1336" s="5" t="s">
        <v>393</v>
      </c>
      <c r="Q1336" s="5" t="s">
        <v>766</v>
      </c>
      <c r="R1336" s="11" t="s">
        <v>2029</v>
      </c>
      <c r="S1336" s="5">
        <v>0</v>
      </c>
    </row>
    <row r="1337" spans="1:19" ht="38.25" outlineLevel="1">
      <c r="A1337" s="5">
        <v>1322</v>
      </c>
      <c r="B1337" s="15" t="s">
        <v>710</v>
      </c>
      <c r="C1337" s="5" t="s">
        <v>597</v>
      </c>
      <c r="D1337" s="11" t="s">
        <v>575</v>
      </c>
      <c r="E1337" s="57" t="s">
        <v>1878</v>
      </c>
      <c r="F1337" s="57" t="s">
        <v>576</v>
      </c>
      <c r="G1337" s="57" t="s">
        <v>1876</v>
      </c>
      <c r="H1337" s="57" t="s">
        <v>576</v>
      </c>
      <c r="I1337" s="57" t="s">
        <v>1877</v>
      </c>
      <c r="J1337" s="57" t="s">
        <v>104</v>
      </c>
      <c r="K1337" s="57" t="s">
        <v>591</v>
      </c>
      <c r="L1337" s="11" t="s">
        <v>914</v>
      </c>
      <c r="M1337" s="22">
        <v>1</v>
      </c>
      <c r="N1337" s="46">
        <f>O1337/M1337</f>
        <v>0</v>
      </c>
      <c r="O1337" s="49">
        <f>462500-462500</f>
        <v>0</v>
      </c>
      <c r="P1337" s="5" t="s">
        <v>698</v>
      </c>
      <c r="Q1337" s="5" t="s">
        <v>394</v>
      </c>
      <c r="R1337" s="11" t="s">
        <v>1175</v>
      </c>
      <c r="S1337" s="22">
        <v>100</v>
      </c>
    </row>
    <row r="1338" spans="1:19" ht="63.75">
      <c r="A1338" s="5">
        <v>1323</v>
      </c>
      <c r="B1338" s="15" t="s">
        <v>710</v>
      </c>
      <c r="C1338" s="35" t="s">
        <v>597</v>
      </c>
      <c r="D1338" s="5" t="s">
        <v>1499</v>
      </c>
      <c r="E1338" s="57" t="s">
        <v>1500</v>
      </c>
      <c r="F1338" s="57" t="s">
        <v>1501</v>
      </c>
      <c r="G1338" s="57" t="s">
        <v>1502</v>
      </c>
      <c r="H1338" s="57" t="s">
        <v>1503</v>
      </c>
      <c r="I1338" s="57" t="s">
        <v>1500</v>
      </c>
      <c r="J1338" s="57" t="s">
        <v>1501</v>
      </c>
      <c r="K1338" s="57" t="s">
        <v>591</v>
      </c>
      <c r="L1338" s="11" t="s">
        <v>914</v>
      </c>
      <c r="M1338" s="22">
        <v>1</v>
      </c>
      <c r="N1338" s="46">
        <v>3285000</v>
      </c>
      <c r="O1338" s="49">
        <f t="shared" si="28"/>
        <v>3285000</v>
      </c>
      <c r="P1338" s="5" t="s">
        <v>391</v>
      </c>
      <c r="Q1338" s="5" t="s">
        <v>766</v>
      </c>
      <c r="R1338" s="11" t="s">
        <v>1175</v>
      </c>
      <c r="S1338" s="22">
        <v>50</v>
      </c>
    </row>
    <row r="1339" spans="1:19" ht="102" outlineLevel="1">
      <c r="A1339" s="5">
        <v>1324</v>
      </c>
      <c r="B1339" s="15" t="s">
        <v>710</v>
      </c>
      <c r="C1339" s="5" t="s">
        <v>597</v>
      </c>
      <c r="D1339" s="5" t="s">
        <v>706</v>
      </c>
      <c r="E1339" s="57" t="s">
        <v>1156</v>
      </c>
      <c r="F1339" s="57" t="s">
        <v>1157</v>
      </c>
      <c r="G1339" s="57" t="s">
        <v>1156</v>
      </c>
      <c r="H1339" s="57" t="s">
        <v>1157</v>
      </c>
      <c r="I1339" s="57" t="s">
        <v>1880</v>
      </c>
      <c r="J1339" s="57" t="s">
        <v>79</v>
      </c>
      <c r="K1339" s="57" t="s">
        <v>591</v>
      </c>
      <c r="L1339" s="11" t="s">
        <v>914</v>
      </c>
      <c r="M1339" s="22">
        <v>1</v>
      </c>
      <c r="N1339" s="46">
        <v>154464</v>
      </c>
      <c r="O1339" s="49">
        <f t="shared" si="28"/>
        <v>154464</v>
      </c>
      <c r="P1339" s="5" t="s">
        <v>501</v>
      </c>
      <c r="Q1339" s="5" t="s">
        <v>766</v>
      </c>
      <c r="R1339" s="11" t="s">
        <v>1175</v>
      </c>
      <c r="S1339" s="22">
        <v>100</v>
      </c>
    </row>
    <row r="1340" spans="1:19" ht="51" outlineLevel="1">
      <c r="A1340" s="5">
        <v>1325</v>
      </c>
      <c r="B1340" s="15" t="s">
        <v>710</v>
      </c>
      <c r="C1340" s="5" t="s">
        <v>597</v>
      </c>
      <c r="D1340" s="11" t="s">
        <v>1348</v>
      </c>
      <c r="E1340" s="57" t="s">
        <v>1881</v>
      </c>
      <c r="F1340" s="57" t="s">
        <v>1349</v>
      </c>
      <c r="G1340" s="57" t="s">
        <v>1881</v>
      </c>
      <c r="H1340" s="57" t="s">
        <v>1349</v>
      </c>
      <c r="I1340" s="57" t="s">
        <v>1882</v>
      </c>
      <c r="J1340" s="57" t="s">
        <v>106</v>
      </c>
      <c r="K1340" s="57" t="s">
        <v>591</v>
      </c>
      <c r="L1340" s="11" t="s">
        <v>914</v>
      </c>
      <c r="M1340" s="22">
        <v>1</v>
      </c>
      <c r="N1340" s="46">
        <v>446429</v>
      </c>
      <c r="O1340" s="49">
        <f t="shared" si="28"/>
        <v>446429</v>
      </c>
      <c r="P1340" s="5" t="s">
        <v>506</v>
      </c>
      <c r="Q1340" s="5" t="s">
        <v>394</v>
      </c>
      <c r="R1340" s="11" t="s">
        <v>1175</v>
      </c>
      <c r="S1340" s="22">
        <v>100</v>
      </c>
    </row>
    <row r="1341" spans="1:19" ht="63.75">
      <c r="A1341" s="5">
        <v>1326</v>
      </c>
      <c r="B1341" s="15" t="s">
        <v>710</v>
      </c>
      <c r="C1341" s="35" t="s">
        <v>597</v>
      </c>
      <c r="D1341" s="5" t="s">
        <v>1504</v>
      </c>
      <c r="E1341" s="57" t="s">
        <v>1505</v>
      </c>
      <c r="F1341" s="57" t="s">
        <v>1506</v>
      </c>
      <c r="G1341" s="57" t="s">
        <v>1505</v>
      </c>
      <c r="H1341" s="57" t="s">
        <v>1506</v>
      </c>
      <c r="I1341" s="57" t="s">
        <v>1507</v>
      </c>
      <c r="J1341" s="57" t="s">
        <v>278</v>
      </c>
      <c r="K1341" s="57" t="s">
        <v>591</v>
      </c>
      <c r="L1341" s="11" t="s">
        <v>914</v>
      </c>
      <c r="M1341" s="22">
        <v>1</v>
      </c>
      <c r="N1341" s="46">
        <v>5892857</v>
      </c>
      <c r="O1341" s="49">
        <f t="shared" si="28"/>
        <v>5892857</v>
      </c>
      <c r="P1341" s="5" t="s">
        <v>515</v>
      </c>
      <c r="Q1341" s="15" t="s">
        <v>1471</v>
      </c>
      <c r="R1341" s="11" t="s">
        <v>1175</v>
      </c>
      <c r="S1341" s="22">
        <v>100</v>
      </c>
    </row>
    <row r="1342" spans="1:19" ht="127.5">
      <c r="A1342" s="5">
        <v>1327</v>
      </c>
      <c r="B1342" s="15" t="s">
        <v>710</v>
      </c>
      <c r="C1342" s="35" t="s">
        <v>597</v>
      </c>
      <c r="D1342" s="5" t="s">
        <v>1508</v>
      </c>
      <c r="E1342" s="57" t="s">
        <v>1509</v>
      </c>
      <c r="F1342" s="57" t="s">
        <v>105</v>
      </c>
      <c r="G1342" s="57" t="s">
        <v>1510</v>
      </c>
      <c r="H1342" s="57" t="s">
        <v>1511</v>
      </c>
      <c r="I1342" s="57" t="s">
        <v>1509</v>
      </c>
      <c r="J1342" s="57" t="s">
        <v>105</v>
      </c>
      <c r="K1342" s="57" t="s">
        <v>1485</v>
      </c>
      <c r="L1342" s="11" t="s">
        <v>914</v>
      </c>
      <c r="M1342" s="22">
        <v>1</v>
      </c>
      <c r="N1342" s="46">
        <v>7589286</v>
      </c>
      <c r="O1342" s="49">
        <f t="shared" si="28"/>
        <v>7589286</v>
      </c>
      <c r="P1342" s="5" t="s">
        <v>506</v>
      </c>
      <c r="Q1342" s="5" t="s">
        <v>766</v>
      </c>
      <c r="R1342" s="11" t="s">
        <v>1175</v>
      </c>
      <c r="S1342" s="22">
        <v>30</v>
      </c>
    </row>
    <row r="1343" spans="1:19" s="36" customFormat="1" ht="63.75" outlineLevel="1">
      <c r="A1343" s="5">
        <v>1328</v>
      </c>
      <c r="B1343" s="15" t="s">
        <v>710</v>
      </c>
      <c r="C1343" s="5" t="s">
        <v>597</v>
      </c>
      <c r="D1343" s="31" t="s">
        <v>1334</v>
      </c>
      <c r="E1343" s="57" t="s">
        <v>1883</v>
      </c>
      <c r="F1343" s="57" t="s">
        <v>1335</v>
      </c>
      <c r="G1343" s="57" t="s">
        <v>1884</v>
      </c>
      <c r="H1343" s="57" t="s">
        <v>834</v>
      </c>
      <c r="I1343" s="57" t="s">
        <v>1885</v>
      </c>
      <c r="J1343" s="57" t="s">
        <v>279</v>
      </c>
      <c r="K1343" s="57" t="s">
        <v>591</v>
      </c>
      <c r="L1343" s="11" t="s">
        <v>914</v>
      </c>
      <c r="M1343" s="22">
        <v>1</v>
      </c>
      <c r="N1343" s="46">
        <v>892857</v>
      </c>
      <c r="O1343" s="49">
        <f t="shared" si="28"/>
        <v>892857</v>
      </c>
      <c r="P1343" s="5" t="s">
        <v>699</v>
      </c>
      <c r="Q1343" s="5" t="s">
        <v>1475</v>
      </c>
      <c r="R1343" s="11" t="s">
        <v>1175</v>
      </c>
      <c r="S1343" s="5">
        <v>0</v>
      </c>
    </row>
    <row r="1344" spans="1:19" ht="89.25" outlineLevel="1">
      <c r="A1344" s="5">
        <v>1329</v>
      </c>
      <c r="B1344" s="15" t="s">
        <v>710</v>
      </c>
      <c r="C1344" s="5" t="s">
        <v>597</v>
      </c>
      <c r="D1344" s="11" t="s">
        <v>1350</v>
      </c>
      <c r="E1344" s="57" t="s">
        <v>1887</v>
      </c>
      <c r="F1344" s="57" t="s">
        <v>1351</v>
      </c>
      <c r="G1344" s="57" t="s">
        <v>1888</v>
      </c>
      <c r="H1344" s="57" t="s">
        <v>1886</v>
      </c>
      <c r="I1344" s="57" t="s">
        <v>3436</v>
      </c>
      <c r="J1344" s="57" t="s">
        <v>3435</v>
      </c>
      <c r="K1344" s="57" t="s">
        <v>591</v>
      </c>
      <c r="L1344" s="11" t="s">
        <v>914</v>
      </c>
      <c r="M1344" s="22">
        <v>1</v>
      </c>
      <c r="N1344" s="46">
        <f>O1344/M1344</f>
        <v>0</v>
      </c>
      <c r="O1344" s="49">
        <f>1339286-1339286</f>
        <v>0</v>
      </c>
      <c r="P1344" s="5" t="s">
        <v>506</v>
      </c>
      <c r="Q1344" s="5" t="s">
        <v>394</v>
      </c>
      <c r="R1344" s="11" t="s">
        <v>1175</v>
      </c>
      <c r="S1344" s="5">
        <v>30</v>
      </c>
    </row>
    <row r="1345" spans="1:19" ht="76.5" outlineLevel="1">
      <c r="A1345" s="5">
        <v>1330</v>
      </c>
      <c r="B1345" s="15" t="s">
        <v>710</v>
      </c>
      <c r="C1345" s="5" t="s">
        <v>597</v>
      </c>
      <c r="D1345" s="11" t="s">
        <v>1352</v>
      </c>
      <c r="E1345" s="57" t="s">
        <v>1893</v>
      </c>
      <c r="F1345" s="57" t="s">
        <v>1353</v>
      </c>
      <c r="G1345" s="57" t="s">
        <v>1889</v>
      </c>
      <c r="H1345" s="57" t="s">
        <v>1354</v>
      </c>
      <c r="I1345" s="57" t="s">
        <v>1890</v>
      </c>
      <c r="J1345" s="57" t="s">
        <v>280</v>
      </c>
      <c r="K1345" s="57" t="s">
        <v>1484</v>
      </c>
      <c r="L1345" s="11" t="s">
        <v>914</v>
      </c>
      <c r="M1345" s="22">
        <v>1</v>
      </c>
      <c r="N1345" s="46">
        <v>5850000</v>
      </c>
      <c r="O1345" s="49">
        <f t="shared" ref="O1345:O1405" si="29">M1345*N1345</f>
        <v>5850000</v>
      </c>
      <c r="P1345" s="5" t="s">
        <v>502</v>
      </c>
      <c r="Q1345" s="5" t="s">
        <v>506</v>
      </c>
      <c r="R1345" s="11" t="s">
        <v>1175</v>
      </c>
      <c r="S1345" s="5">
        <v>30</v>
      </c>
    </row>
    <row r="1346" spans="1:19" s="36" customFormat="1" ht="51" outlineLevel="1">
      <c r="A1346" s="5">
        <v>1331</v>
      </c>
      <c r="B1346" s="15" t="s">
        <v>710</v>
      </c>
      <c r="C1346" s="5" t="s">
        <v>597</v>
      </c>
      <c r="D1346" s="11" t="s">
        <v>1329</v>
      </c>
      <c r="E1346" s="57" t="s">
        <v>1894</v>
      </c>
      <c r="F1346" s="57" t="s">
        <v>1330</v>
      </c>
      <c r="G1346" s="57" t="s">
        <v>1891</v>
      </c>
      <c r="H1346" s="57" t="s">
        <v>1330</v>
      </c>
      <c r="I1346" s="57" t="s">
        <v>1892</v>
      </c>
      <c r="J1346" s="57" t="s">
        <v>74</v>
      </c>
      <c r="K1346" s="57" t="s">
        <v>591</v>
      </c>
      <c r="L1346" s="11" t="s">
        <v>914</v>
      </c>
      <c r="M1346" s="22">
        <v>1</v>
      </c>
      <c r="N1346" s="46">
        <v>1607143</v>
      </c>
      <c r="O1346" s="49">
        <f t="shared" si="29"/>
        <v>1607143</v>
      </c>
      <c r="P1346" s="5" t="s">
        <v>393</v>
      </c>
      <c r="Q1346" s="5" t="s">
        <v>766</v>
      </c>
      <c r="R1346" s="11" t="s">
        <v>1175</v>
      </c>
      <c r="S1346" s="22">
        <v>0</v>
      </c>
    </row>
    <row r="1347" spans="1:19" s="36" customFormat="1" ht="51" outlineLevel="1">
      <c r="A1347" s="5">
        <v>1332</v>
      </c>
      <c r="B1347" s="15" t="s">
        <v>710</v>
      </c>
      <c r="C1347" s="5" t="s">
        <v>597</v>
      </c>
      <c r="D1347" s="11" t="s">
        <v>1331</v>
      </c>
      <c r="E1347" s="57" t="s">
        <v>1895</v>
      </c>
      <c r="F1347" s="57" t="s">
        <v>1332</v>
      </c>
      <c r="G1347" s="57" t="s">
        <v>1895</v>
      </c>
      <c r="H1347" s="57" t="s">
        <v>1332</v>
      </c>
      <c r="I1347" s="57" t="s">
        <v>1896</v>
      </c>
      <c r="J1347" s="57" t="s">
        <v>1333</v>
      </c>
      <c r="K1347" s="57" t="s">
        <v>591</v>
      </c>
      <c r="L1347" s="11" t="s">
        <v>914</v>
      </c>
      <c r="M1347" s="22">
        <v>1</v>
      </c>
      <c r="N1347" s="46">
        <f>O1347/M1347</f>
        <v>0</v>
      </c>
      <c r="O1347" s="49">
        <f>214286-214286</f>
        <v>0</v>
      </c>
      <c r="P1347" s="5" t="s">
        <v>393</v>
      </c>
      <c r="Q1347" s="5" t="s">
        <v>766</v>
      </c>
      <c r="R1347" s="11" t="s">
        <v>1175</v>
      </c>
      <c r="S1347" s="22">
        <v>0</v>
      </c>
    </row>
    <row r="1348" spans="1:19" s="36" customFormat="1" ht="45.75" customHeight="1" outlineLevel="1">
      <c r="A1348" s="5">
        <v>1333</v>
      </c>
      <c r="B1348" s="15" t="s">
        <v>710</v>
      </c>
      <c r="C1348" s="5" t="s">
        <v>597</v>
      </c>
      <c r="D1348" s="5" t="s">
        <v>566</v>
      </c>
      <c r="E1348" s="57" t="s">
        <v>567</v>
      </c>
      <c r="F1348" s="57" t="s">
        <v>568</v>
      </c>
      <c r="G1348" s="57" t="s">
        <v>569</v>
      </c>
      <c r="H1348" s="57" t="s">
        <v>705</v>
      </c>
      <c r="I1348" s="57" t="s">
        <v>1897</v>
      </c>
      <c r="J1348" s="57" t="s">
        <v>75</v>
      </c>
      <c r="K1348" s="57" t="s">
        <v>591</v>
      </c>
      <c r="L1348" s="11" t="s">
        <v>914</v>
      </c>
      <c r="M1348" s="22">
        <v>1</v>
      </c>
      <c r="N1348" s="46">
        <f>O1348/M1348</f>
        <v>0</v>
      </c>
      <c r="O1348" s="49">
        <f>446429-446429</f>
        <v>0</v>
      </c>
      <c r="P1348" s="5" t="s">
        <v>502</v>
      </c>
      <c r="Q1348" s="5" t="s">
        <v>766</v>
      </c>
      <c r="R1348" s="11" t="s">
        <v>1175</v>
      </c>
      <c r="S1348" s="22">
        <v>0</v>
      </c>
    </row>
    <row r="1349" spans="1:19" s="36" customFormat="1" ht="89.25" outlineLevel="1">
      <c r="A1349" s="5">
        <v>1334</v>
      </c>
      <c r="B1349" s="29" t="s">
        <v>710</v>
      </c>
      <c r="C1349" s="35" t="s">
        <v>597</v>
      </c>
      <c r="D1349" s="11" t="s">
        <v>566</v>
      </c>
      <c r="E1349" s="57" t="s">
        <v>2053</v>
      </c>
      <c r="F1349" s="57" t="s">
        <v>568</v>
      </c>
      <c r="G1349" s="57" t="s">
        <v>2054</v>
      </c>
      <c r="H1349" s="57" t="s">
        <v>705</v>
      </c>
      <c r="I1349" s="57" t="s">
        <v>2055</v>
      </c>
      <c r="J1349" s="57" t="s">
        <v>103</v>
      </c>
      <c r="K1349" s="57" t="s">
        <v>591</v>
      </c>
      <c r="L1349" s="11" t="s">
        <v>914</v>
      </c>
      <c r="M1349" s="22">
        <v>1</v>
      </c>
      <c r="N1349" s="46">
        <v>64286</v>
      </c>
      <c r="O1349" s="49">
        <f t="shared" si="29"/>
        <v>64286</v>
      </c>
      <c r="P1349" s="5" t="s">
        <v>515</v>
      </c>
      <c r="Q1349" s="5" t="s">
        <v>766</v>
      </c>
      <c r="R1349" s="11" t="s">
        <v>2030</v>
      </c>
      <c r="S1349" s="22">
        <v>0</v>
      </c>
    </row>
    <row r="1350" spans="1:19" s="36" customFormat="1" ht="89.25" outlineLevel="1">
      <c r="A1350" s="5">
        <v>1335</v>
      </c>
      <c r="B1350" s="15" t="s">
        <v>710</v>
      </c>
      <c r="C1350" s="5" t="s">
        <v>597</v>
      </c>
      <c r="D1350" s="11" t="s">
        <v>566</v>
      </c>
      <c r="E1350" s="57" t="s">
        <v>2053</v>
      </c>
      <c r="F1350" s="57" t="s">
        <v>568</v>
      </c>
      <c r="G1350" s="57" t="s">
        <v>2054</v>
      </c>
      <c r="H1350" s="57" t="s">
        <v>705</v>
      </c>
      <c r="I1350" s="57" t="s">
        <v>2055</v>
      </c>
      <c r="J1350" s="57" t="s">
        <v>103</v>
      </c>
      <c r="K1350" s="57" t="s">
        <v>591</v>
      </c>
      <c r="L1350" s="11" t="s">
        <v>914</v>
      </c>
      <c r="M1350" s="22">
        <v>1</v>
      </c>
      <c r="N1350" s="46">
        <f>O1350/M1350</f>
        <v>0</v>
      </c>
      <c r="O1350" s="49">
        <f>64286-64286</f>
        <v>0</v>
      </c>
      <c r="P1350" s="5" t="s">
        <v>515</v>
      </c>
      <c r="Q1350" s="5" t="s">
        <v>766</v>
      </c>
      <c r="R1350" s="11" t="s">
        <v>1021</v>
      </c>
      <c r="S1350" s="5">
        <v>100</v>
      </c>
    </row>
    <row r="1351" spans="1:19" s="36" customFormat="1" ht="89.25" outlineLevel="1">
      <c r="A1351" s="5">
        <v>1336</v>
      </c>
      <c r="B1351" s="15" t="s">
        <v>710</v>
      </c>
      <c r="C1351" s="5" t="s">
        <v>597</v>
      </c>
      <c r="D1351" s="11" t="s">
        <v>566</v>
      </c>
      <c r="E1351" s="57" t="s">
        <v>2053</v>
      </c>
      <c r="F1351" s="57" t="s">
        <v>568</v>
      </c>
      <c r="G1351" s="57" t="s">
        <v>2054</v>
      </c>
      <c r="H1351" s="57" t="s">
        <v>705</v>
      </c>
      <c r="I1351" s="57" t="s">
        <v>2055</v>
      </c>
      <c r="J1351" s="57" t="s">
        <v>103</v>
      </c>
      <c r="K1351" s="57" t="s">
        <v>591</v>
      </c>
      <c r="L1351" s="11" t="s">
        <v>914</v>
      </c>
      <c r="M1351" s="22">
        <v>1</v>
      </c>
      <c r="N1351" s="46">
        <f>O1351/M1351</f>
        <v>0</v>
      </c>
      <c r="O1351" s="49">
        <f>64286-12000-52286</f>
        <v>0</v>
      </c>
      <c r="P1351" s="5" t="s">
        <v>699</v>
      </c>
      <c r="Q1351" s="5" t="s">
        <v>766</v>
      </c>
      <c r="R1351" s="11" t="s">
        <v>789</v>
      </c>
      <c r="S1351" s="5">
        <v>0</v>
      </c>
    </row>
    <row r="1352" spans="1:19" s="36" customFormat="1" ht="89.25" outlineLevel="1">
      <c r="A1352" s="5">
        <v>1337</v>
      </c>
      <c r="B1352" s="15" t="s">
        <v>710</v>
      </c>
      <c r="C1352" s="5" t="s">
        <v>597</v>
      </c>
      <c r="D1352" s="11" t="s">
        <v>566</v>
      </c>
      <c r="E1352" s="57" t="s">
        <v>2053</v>
      </c>
      <c r="F1352" s="57" t="s">
        <v>568</v>
      </c>
      <c r="G1352" s="57" t="s">
        <v>2054</v>
      </c>
      <c r="H1352" s="57" t="s">
        <v>705</v>
      </c>
      <c r="I1352" s="57" t="s">
        <v>2055</v>
      </c>
      <c r="J1352" s="57" t="s">
        <v>103</v>
      </c>
      <c r="K1352" s="57" t="s">
        <v>591</v>
      </c>
      <c r="L1352" s="11" t="s">
        <v>914</v>
      </c>
      <c r="M1352" s="22">
        <v>1</v>
      </c>
      <c r="N1352" s="46">
        <f>O1352/M1352</f>
        <v>0</v>
      </c>
      <c r="O1352" s="49">
        <f>64286-64286</f>
        <v>0</v>
      </c>
      <c r="P1352" s="5" t="s">
        <v>391</v>
      </c>
      <c r="Q1352" s="5" t="s">
        <v>766</v>
      </c>
      <c r="R1352" s="11" t="s">
        <v>2027</v>
      </c>
      <c r="S1352" s="22">
        <v>100</v>
      </c>
    </row>
    <row r="1353" spans="1:19" s="36" customFormat="1" ht="89.25" outlineLevel="1">
      <c r="A1353" s="5">
        <v>1338</v>
      </c>
      <c r="B1353" s="15" t="s">
        <v>710</v>
      </c>
      <c r="C1353" s="5" t="s">
        <v>597</v>
      </c>
      <c r="D1353" s="11" t="s">
        <v>566</v>
      </c>
      <c r="E1353" s="57" t="s">
        <v>2053</v>
      </c>
      <c r="F1353" s="57" t="s">
        <v>568</v>
      </c>
      <c r="G1353" s="57" t="s">
        <v>2054</v>
      </c>
      <c r="H1353" s="57" t="s">
        <v>705</v>
      </c>
      <c r="I1353" s="57" t="s">
        <v>2055</v>
      </c>
      <c r="J1353" s="57" t="s">
        <v>103</v>
      </c>
      <c r="K1353" s="57" t="s">
        <v>591</v>
      </c>
      <c r="L1353" s="11" t="s">
        <v>914</v>
      </c>
      <c r="M1353" s="22">
        <v>1</v>
      </c>
      <c r="N1353" s="46">
        <f>O1353/M1353</f>
        <v>0</v>
      </c>
      <c r="O1353" s="49">
        <f>64286-64286</f>
        <v>0</v>
      </c>
      <c r="P1353" s="5" t="s">
        <v>391</v>
      </c>
      <c r="Q1353" s="5" t="s">
        <v>766</v>
      </c>
      <c r="R1353" s="11" t="s">
        <v>2022</v>
      </c>
      <c r="S1353" s="22">
        <v>100</v>
      </c>
    </row>
    <row r="1354" spans="1:19" s="13" customFormat="1" ht="89.25">
      <c r="A1354" s="5">
        <v>1339</v>
      </c>
      <c r="B1354" s="15" t="s">
        <v>710</v>
      </c>
      <c r="C1354" s="5" t="s">
        <v>597</v>
      </c>
      <c r="D1354" s="11" t="s">
        <v>566</v>
      </c>
      <c r="E1354" s="57" t="s">
        <v>2053</v>
      </c>
      <c r="F1354" s="57" t="s">
        <v>568</v>
      </c>
      <c r="G1354" s="57" t="s">
        <v>2054</v>
      </c>
      <c r="H1354" s="57" t="s">
        <v>705</v>
      </c>
      <c r="I1354" s="57" t="s">
        <v>2055</v>
      </c>
      <c r="J1354" s="57" t="s">
        <v>103</v>
      </c>
      <c r="K1354" s="57" t="s">
        <v>591</v>
      </c>
      <c r="L1354" s="11" t="s">
        <v>914</v>
      </c>
      <c r="M1354" s="22">
        <v>1</v>
      </c>
      <c r="N1354" s="46">
        <f>O1354/M1354</f>
        <v>0</v>
      </c>
      <c r="O1354" s="49">
        <f>64286-64286</f>
        <v>0</v>
      </c>
      <c r="P1354" s="5" t="s">
        <v>699</v>
      </c>
      <c r="Q1354" s="5" t="s">
        <v>766</v>
      </c>
      <c r="R1354" s="11" t="s">
        <v>2023</v>
      </c>
      <c r="S1354" s="22">
        <v>100</v>
      </c>
    </row>
    <row r="1355" spans="1:19" ht="89.25" outlineLevel="1">
      <c r="A1355" s="5">
        <v>1340</v>
      </c>
      <c r="B1355" s="15" t="s">
        <v>710</v>
      </c>
      <c r="C1355" s="5" t="s">
        <v>597</v>
      </c>
      <c r="D1355" s="11" t="s">
        <v>566</v>
      </c>
      <c r="E1355" s="57" t="s">
        <v>2053</v>
      </c>
      <c r="F1355" s="57" t="s">
        <v>568</v>
      </c>
      <c r="G1355" s="57" t="s">
        <v>2054</v>
      </c>
      <c r="H1355" s="57" t="s">
        <v>705</v>
      </c>
      <c r="I1355" s="57" t="s">
        <v>2055</v>
      </c>
      <c r="J1355" s="57" t="s">
        <v>103</v>
      </c>
      <c r="K1355" s="57" t="s">
        <v>591</v>
      </c>
      <c r="L1355" s="11" t="s">
        <v>914</v>
      </c>
      <c r="M1355" s="22">
        <v>1</v>
      </c>
      <c r="N1355" s="46">
        <v>64286</v>
      </c>
      <c r="O1355" s="49">
        <f t="shared" si="29"/>
        <v>64286</v>
      </c>
      <c r="P1355" s="5" t="s">
        <v>515</v>
      </c>
      <c r="Q1355" s="5" t="s">
        <v>766</v>
      </c>
      <c r="R1355" s="11" t="s">
        <v>633</v>
      </c>
      <c r="S1355" s="22">
        <v>100</v>
      </c>
    </row>
    <row r="1356" spans="1:19" ht="89.25" outlineLevel="1">
      <c r="A1356" s="5">
        <v>1341</v>
      </c>
      <c r="B1356" s="15" t="s">
        <v>710</v>
      </c>
      <c r="C1356" s="5" t="s">
        <v>597</v>
      </c>
      <c r="D1356" s="11" t="s">
        <v>566</v>
      </c>
      <c r="E1356" s="57" t="s">
        <v>2053</v>
      </c>
      <c r="F1356" s="57" t="s">
        <v>568</v>
      </c>
      <c r="G1356" s="57" t="s">
        <v>2054</v>
      </c>
      <c r="H1356" s="57" t="s">
        <v>705</v>
      </c>
      <c r="I1356" s="57" t="s">
        <v>2055</v>
      </c>
      <c r="J1356" s="57" t="s">
        <v>103</v>
      </c>
      <c r="K1356" s="57" t="s">
        <v>591</v>
      </c>
      <c r="L1356" s="11" t="s">
        <v>914</v>
      </c>
      <c r="M1356" s="22">
        <v>1</v>
      </c>
      <c r="N1356" s="46">
        <v>64286</v>
      </c>
      <c r="O1356" s="49">
        <f t="shared" si="29"/>
        <v>64286</v>
      </c>
      <c r="P1356" s="5" t="s">
        <v>506</v>
      </c>
      <c r="Q1356" s="5" t="s">
        <v>766</v>
      </c>
      <c r="R1356" s="11">
        <v>311000000</v>
      </c>
      <c r="S1356" s="22">
        <v>0</v>
      </c>
    </row>
    <row r="1357" spans="1:19" s="36" customFormat="1" ht="93.75" customHeight="1" outlineLevel="1">
      <c r="A1357" s="5">
        <v>1342</v>
      </c>
      <c r="B1357" s="15" t="s">
        <v>710</v>
      </c>
      <c r="C1357" s="5" t="s">
        <v>597</v>
      </c>
      <c r="D1357" s="11" t="s">
        <v>566</v>
      </c>
      <c r="E1357" s="57" t="s">
        <v>2053</v>
      </c>
      <c r="F1357" s="57" t="s">
        <v>568</v>
      </c>
      <c r="G1357" s="57" t="s">
        <v>2054</v>
      </c>
      <c r="H1357" s="57" t="s">
        <v>705</v>
      </c>
      <c r="I1357" s="57" t="s">
        <v>2055</v>
      </c>
      <c r="J1357" s="57" t="s">
        <v>103</v>
      </c>
      <c r="K1357" s="57" t="s">
        <v>591</v>
      </c>
      <c r="L1357" s="11" t="s">
        <v>914</v>
      </c>
      <c r="M1357" s="22">
        <v>1</v>
      </c>
      <c r="N1357" s="46">
        <f>O1357/M1357</f>
        <v>0</v>
      </c>
      <c r="O1357" s="49">
        <f>64286-64286</f>
        <v>0</v>
      </c>
      <c r="P1357" s="5" t="s">
        <v>502</v>
      </c>
      <c r="Q1357" s="5" t="s">
        <v>766</v>
      </c>
      <c r="R1357" s="11" t="s">
        <v>2024</v>
      </c>
      <c r="S1357" s="5">
        <v>0</v>
      </c>
    </row>
    <row r="1358" spans="1:19" s="36" customFormat="1" ht="97.5" customHeight="1" outlineLevel="1">
      <c r="A1358" s="5">
        <v>1343</v>
      </c>
      <c r="B1358" s="15" t="s">
        <v>710</v>
      </c>
      <c r="C1358" s="5" t="s">
        <v>597</v>
      </c>
      <c r="D1358" s="11" t="s">
        <v>566</v>
      </c>
      <c r="E1358" s="57" t="s">
        <v>2053</v>
      </c>
      <c r="F1358" s="57" t="s">
        <v>568</v>
      </c>
      <c r="G1358" s="57" t="s">
        <v>2054</v>
      </c>
      <c r="H1358" s="57" t="s">
        <v>705</v>
      </c>
      <c r="I1358" s="57" t="s">
        <v>2055</v>
      </c>
      <c r="J1358" s="57" t="s">
        <v>103</v>
      </c>
      <c r="K1358" s="57" t="s">
        <v>591</v>
      </c>
      <c r="L1358" s="11" t="s">
        <v>914</v>
      </c>
      <c r="M1358" s="22">
        <v>1</v>
      </c>
      <c r="N1358" s="46">
        <f>O1358/M1358</f>
        <v>0</v>
      </c>
      <c r="O1358" s="49">
        <f>64286-64286</f>
        <v>0</v>
      </c>
      <c r="P1358" s="5" t="s">
        <v>391</v>
      </c>
      <c r="Q1358" s="5" t="s">
        <v>766</v>
      </c>
      <c r="R1358" s="11">
        <v>351000000</v>
      </c>
      <c r="S1358" s="22">
        <v>100</v>
      </c>
    </row>
    <row r="1359" spans="1:19" ht="96" customHeight="1" outlineLevel="1">
      <c r="A1359" s="5">
        <v>1344</v>
      </c>
      <c r="B1359" s="15" t="s">
        <v>710</v>
      </c>
      <c r="C1359" s="5" t="s">
        <v>597</v>
      </c>
      <c r="D1359" s="11" t="s">
        <v>566</v>
      </c>
      <c r="E1359" s="57" t="s">
        <v>2053</v>
      </c>
      <c r="F1359" s="57" t="s">
        <v>568</v>
      </c>
      <c r="G1359" s="57" t="s">
        <v>2054</v>
      </c>
      <c r="H1359" s="57" t="s">
        <v>705</v>
      </c>
      <c r="I1359" s="57" t="s">
        <v>2055</v>
      </c>
      <c r="J1359" s="57" t="s">
        <v>103</v>
      </c>
      <c r="K1359" s="57" t="s">
        <v>591</v>
      </c>
      <c r="L1359" s="11" t="s">
        <v>914</v>
      </c>
      <c r="M1359" s="22">
        <v>1</v>
      </c>
      <c r="N1359" s="46">
        <f>O1359/M1359</f>
        <v>0</v>
      </c>
      <c r="O1359" s="49">
        <f>64286-64286</f>
        <v>0</v>
      </c>
      <c r="P1359" s="5" t="s">
        <v>866</v>
      </c>
      <c r="Q1359" s="5" t="s">
        <v>1055</v>
      </c>
      <c r="R1359" s="11" t="s">
        <v>925</v>
      </c>
      <c r="S1359" s="22">
        <v>100</v>
      </c>
    </row>
    <row r="1360" spans="1:19" s="36" customFormat="1" ht="89.25" outlineLevel="1">
      <c r="A1360" s="5">
        <v>1345</v>
      </c>
      <c r="B1360" s="15" t="s">
        <v>710</v>
      </c>
      <c r="C1360" s="5" t="s">
        <v>597</v>
      </c>
      <c r="D1360" s="11" t="s">
        <v>566</v>
      </c>
      <c r="E1360" s="57" t="s">
        <v>2053</v>
      </c>
      <c r="F1360" s="57" t="s">
        <v>568</v>
      </c>
      <c r="G1360" s="57" t="s">
        <v>2054</v>
      </c>
      <c r="H1360" s="57" t="s">
        <v>705</v>
      </c>
      <c r="I1360" s="57" t="s">
        <v>2055</v>
      </c>
      <c r="J1360" s="57" t="s">
        <v>103</v>
      </c>
      <c r="K1360" s="57" t="s">
        <v>591</v>
      </c>
      <c r="L1360" s="11" t="s">
        <v>914</v>
      </c>
      <c r="M1360" s="22">
        <v>1</v>
      </c>
      <c r="N1360" s="46">
        <v>64286</v>
      </c>
      <c r="O1360" s="49">
        <f t="shared" si="29"/>
        <v>64286</v>
      </c>
      <c r="P1360" s="5" t="s">
        <v>501</v>
      </c>
      <c r="Q1360" s="5" t="s">
        <v>394</v>
      </c>
      <c r="R1360" s="11">
        <v>431000000</v>
      </c>
      <c r="S1360" s="22">
        <v>0</v>
      </c>
    </row>
    <row r="1361" spans="1:19" s="36" customFormat="1" ht="89.25" outlineLevel="1">
      <c r="A1361" s="5">
        <v>1346</v>
      </c>
      <c r="B1361" s="29" t="s">
        <v>710</v>
      </c>
      <c r="C1361" s="35" t="s">
        <v>597</v>
      </c>
      <c r="D1361" s="11" t="s">
        <v>566</v>
      </c>
      <c r="E1361" s="57" t="s">
        <v>2053</v>
      </c>
      <c r="F1361" s="57" t="s">
        <v>568</v>
      </c>
      <c r="G1361" s="57" t="s">
        <v>2054</v>
      </c>
      <c r="H1361" s="57" t="s">
        <v>705</v>
      </c>
      <c r="I1361" s="57" t="s">
        <v>2055</v>
      </c>
      <c r="J1361" s="57" t="s">
        <v>103</v>
      </c>
      <c r="K1361" s="57" t="s">
        <v>591</v>
      </c>
      <c r="L1361" s="11" t="s">
        <v>914</v>
      </c>
      <c r="M1361" s="22">
        <v>1</v>
      </c>
      <c r="N1361" s="46">
        <f>O1361/M1361</f>
        <v>0</v>
      </c>
      <c r="O1361" s="49">
        <f>64286-64286</f>
        <v>0</v>
      </c>
      <c r="P1361" s="5" t="s">
        <v>506</v>
      </c>
      <c r="Q1361" s="5" t="s">
        <v>766</v>
      </c>
      <c r="R1361" s="11" t="s">
        <v>715</v>
      </c>
      <c r="S1361" s="22">
        <v>0</v>
      </c>
    </row>
    <row r="1362" spans="1:19" s="32" customFormat="1" ht="89.25">
      <c r="A1362" s="5">
        <v>1347</v>
      </c>
      <c r="B1362" s="15" t="s">
        <v>710</v>
      </c>
      <c r="C1362" s="5" t="s">
        <v>597</v>
      </c>
      <c r="D1362" s="11" t="s">
        <v>566</v>
      </c>
      <c r="E1362" s="57" t="s">
        <v>2053</v>
      </c>
      <c r="F1362" s="57" t="s">
        <v>568</v>
      </c>
      <c r="G1362" s="57" t="s">
        <v>2054</v>
      </c>
      <c r="H1362" s="57" t="s">
        <v>705</v>
      </c>
      <c r="I1362" s="57" t="s">
        <v>2055</v>
      </c>
      <c r="J1362" s="57" t="s">
        <v>103</v>
      </c>
      <c r="K1362" s="57" t="s">
        <v>591</v>
      </c>
      <c r="L1362" s="11" t="s">
        <v>914</v>
      </c>
      <c r="M1362" s="22">
        <v>1</v>
      </c>
      <c r="N1362" s="46">
        <f>O1362/M1362</f>
        <v>0</v>
      </c>
      <c r="O1362" s="49">
        <f>64286-21071-43215</f>
        <v>0</v>
      </c>
      <c r="P1362" s="5" t="s">
        <v>612</v>
      </c>
      <c r="Q1362" s="5" t="s">
        <v>766</v>
      </c>
      <c r="R1362" s="11">
        <v>551000000</v>
      </c>
      <c r="S1362" s="22">
        <v>0</v>
      </c>
    </row>
    <row r="1363" spans="1:19" s="36" customFormat="1" ht="89.25" outlineLevel="1">
      <c r="A1363" s="5">
        <v>1348</v>
      </c>
      <c r="B1363" s="15" t="s">
        <v>941</v>
      </c>
      <c r="C1363" s="5" t="s">
        <v>597</v>
      </c>
      <c r="D1363" s="11" t="s">
        <v>566</v>
      </c>
      <c r="E1363" s="57" t="s">
        <v>2053</v>
      </c>
      <c r="F1363" s="57" t="s">
        <v>568</v>
      </c>
      <c r="G1363" s="57" t="s">
        <v>2054</v>
      </c>
      <c r="H1363" s="57" t="s">
        <v>705</v>
      </c>
      <c r="I1363" s="57" t="s">
        <v>2055</v>
      </c>
      <c r="J1363" s="57" t="s">
        <v>103</v>
      </c>
      <c r="K1363" s="57" t="s">
        <v>591</v>
      </c>
      <c r="L1363" s="11" t="s">
        <v>914</v>
      </c>
      <c r="M1363" s="22">
        <v>1</v>
      </c>
      <c r="N1363" s="46">
        <v>64286</v>
      </c>
      <c r="O1363" s="49">
        <f t="shared" si="29"/>
        <v>64286</v>
      </c>
      <c r="P1363" s="5" t="s">
        <v>515</v>
      </c>
      <c r="Q1363" s="5" t="s">
        <v>766</v>
      </c>
      <c r="R1363" s="11">
        <v>591000000</v>
      </c>
      <c r="S1363" s="22">
        <v>0</v>
      </c>
    </row>
    <row r="1364" spans="1:19" s="36" customFormat="1" ht="89.25" outlineLevel="1">
      <c r="A1364" s="5">
        <v>1349</v>
      </c>
      <c r="B1364" s="15" t="s">
        <v>710</v>
      </c>
      <c r="C1364" s="5" t="s">
        <v>597</v>
      </c>
      <c r="D1364" s="11" t="s">
        <v>566</v>
      </c>
      <c r="E1364" s="57" t="s">
        <v>2053</v>
      </c>
      <c r="F1364" s="57" t="s">
        <v>568</v>
      </c>
      <c r="G1364" s="57" t="s">
        <v>2054</v>
      </c>
      <c r="H1364" s="57" t="s">
        <v>705</v>
      </c>
      <c r="I1364" s="57" t="s">
        <v>2055</v>
      </c>
      <c r="J1364" s="57" t="s">
        <v>103</v>
      </c>
      <c r="K1364" s="57" t="s">
        <v>591</v>
      </c>
      <c r="L1364" s="11" t="s">
        <v>914</v>
      </c>
      <c r="M1364" s="22">
        <v>1</v>
      </c>
      <c r="N1364" s="46">
        <f>O1364</f>
        <v>0</v>
      </c>
      <c r="O1364" s="49">
        <f>64286-64286</f>
        <v>0</v>
      </c>
      <c r="P1364" s="5" t="s">
        <v>393</v>
      </c>
      <c r="Q1364" s="5" t="s">
        <v>766</v>
      </c>
      <c r="R1364" s="11" t="s">
        <v>2029</v>
      </c>
      <c r="S1364" s="5">
        <v>100</v>
      </c>
    </row>
    <row r="1365" spans="1:19" s="36" customFormat="1" ht="51" outlineLevel="1">
      <c r="A1365" s="5">
        <v>1350</v>
      </c>
      <c r="B1365" s="29" t="s">
        <v>710</v>
      </c>
      <c r="C1365" s="35" t="s">
        <v>597</v>
      </c>
      <c r="D1365" s="31" t="s">
        <v>570</v>
      </c>
      <c r="E1365" s="57" t="s">
        <v>571</v>
      </c>
      <c r="F1365" s="57" t="s">
        <v>572</v>
      </c>
      <c r="G1365" s="57" t="s">
        <v>573</v>
      </c>
      <c r="H1365" s="57" t="s">
        <v>574</v>
      </c>
      <c r="I1365" s="57" t="s">
        <v>1533</v>
      </c>
      <c r="J1365" s="57" t="s">
        <v>76</v>
      </c>
      <c r="K1365" s="57" t="s">
        <v>591</v>
      </c>
      <c r="L1365" s="11" t="s">
        <v>914</v>
      </c>
      <c r="M1365" s="22">
        <v>1</v>
      </c>
      <c r="N1365" s="46">
        <v>137571</v>
      </c>
      <c r="O1365" s="49">
        <f t="shared" si="29"/>
        <v>137571</v>
      </c>
      <c r="P1365" s="5" t="s">
        <v>393</v>
      </c>
      <c r="Q1365" s="5" t="s">
        <v>766</v>
      </c>
      <c r="R1365" s="11" t="s">
        <v>2030</v>
      </c>
      <c r="S1365" s="22">
        <v>100</v>
      </c>
    </row>
    <row r="1366" spans="1:19" s="36" customFormat="1" ht="51" outlineLevel="1">
      <c r="A1366" s="5">
        <v>1351</v>
      </c>
      <c r="B1366" s="15" t="s">
        <v>710</v>
      </c>
      <c r="C1366" s="5" t="s">
        <v>597</v>
      </c>
      <c r="D1366" s="31" t="s">
        <v>570</v>
      </c>
      <c r="E1366" s="57" t="s">
        <v>571</v>
      </c>
      <c r="F1366" s="57" t="s">
        <v>572</v>
      </c>
      <c r="G1366" s="57" t="s">
        <v>573</v>
      </c>
      <c r="H1366" s="57" t="s">
        <v>574</v>
      </c>
      <c r="I1366" s="57" t="s">
        <v>1533</v>
      </c>
      <c r="J1366" s="57" t="s">
        <v>76</v>
      </c>
      <c r="K1366" s="57" t="s">
        <v>591</v>
      </c>
      <c r="L1366" s="11" t="s">
        <v>914</v>
      </c>
      <c r="M1366" s="22">
        <v>1</v>
      </c>
      <c r="N1366" s="46">
        <v>267857</v>
      </c>
      <c r="O1366" s="49">
        <f t="shared" si="29"/>
        <v>267857</v>
      </c>
      <c r="P1366" s="5" t="s">
        <v>393</v>
      </c>
      <c r="Q1366" s="5" t="s">
        <v>766</v>
      </c>
      <c r="R1366" s="11" t="s">
        <v>1021</v>
      </c>
      <c r="S1366" s="5">
        <v>0</v>
      </c>
    </row>
    <row r="1367" spans="1:19" s="36" customFormat="1" ht="51" outlineLevel="1">
      <c r="A1367" s="5">
        <v>1352</v>
      </c>
      <c r="B1367" s="15" t="s">
        <v>710</v>
      </c>
      <c r="C1367" s="5" t="s">
        <v>597</v>
      </c>
      <c r="D1367" s="31" t="s">
        <v>570</v>
      </c>
      <c r="E1367" s="57" t="s">
        <v>571</v>
      </c>
      <c r="F1367" s="57" t="s">
        <v>572</v>
      </c>
      <c r="G1367" s="57" t="s">
        <v>573</v>
      </c>
      <c r="H1367" s="57" t="s">
        <v>574</v>
      </c>
      <c r="I1367" s="57" t="s">
        <v>1533</v>
      </c>
      <c r="J1367" s="57" t="s">
        <v>76</v>
      </c>
      <c r="K1367" s="57" t="s">
        <v>591</v>
      </c>
      <c r="L1367" s="11" t="s">
        <v>914</v>
      </c>
      <c r="M1367" s="22">
        <v>1</v>
      </c>
      <c r="N1367" s="46">
        <v>144643</v>
      </c>
      <c r="O1367" s="49">
        <f t="shared" si="29"/>
        <v>144643</v>
      </c>
      <c r="P1367" s="5" t="s">
        <v>393</v>
      </c>
      <c r="Q1367" s="5" t="s">
        <v>766</v>
      </c>
      <c r="R1367" s="11" t="s">
        <v>789</v>
      </c>
      <c r="S1367" s="5">
        <v>0</v>
      </c>
    </row>
    <row r="1368" spans="1:19" s="36" customFormat="1" ht="51" outlineLevel="1">
      <c r="A1368" s="5">
        <v>1353</v>
      </c>
      <c r="B1368" s="15" t="s">
        <v>710</v>
      </c>
      <c r="C1368" s="5" t="s">
        <v>597</v>
      </c>
      <c r="D1368" s="31" t="s">
        <v>570</v>
      </c>
      <c r="E1368" s="57" t="s">
        <v>571</v>
      </c>
      <c r="F1368" s="57" t="s">
        <v>572</v>
      </c>
      <c r="G1368" s="57" t="s">
        <v>573</v>
      </c>
      <c r="H1368" s="57" t="s">
        <v>574</v>
      </c>
      <c r="I1368" s="57" t="s">
        <v>1533</v>
      </c>
      <c r="J1368" s="57" t="s">
        <v>76</v>
      </c>
      <c r="K1368" s="57" t="s">
        <v>591</v>
      </c>
      <c r="L1368" s="11" t="s">
        <v>914</v>
      </c>
      <c r="M1368" s="22">
        <v>1</v>
      </c>
      <c r="N1368" s="46">
        <v>308036</v>
      </c>
      <c r="O1368" s="49">
        <f t="shared" si="29"/>
        <v>308036</v>
      </c>
      <c r="P1368" s="5" t="s">
        <v>393</v>
      </c>
      <c r="Q1368" s="5" t="s">
        <v>766</v>
      </c>
      <c r="R1368" s="11" t="s">
        <v>2022</v>
      </c>
      <c r="S1368" s="22">
        <v>100</v>
      </c>
    </row>
    <row r="1369" spans="1:19" s="36" customFormat="1" ht="42.75" customHeight="1" outlineLevel="1">
      <c r="A1369" s="5">
        <v>1354</v>
      </c>
      <c r="B1369" s="15" t="s">
        <v>710</v>
      </c>
      <c r="C1369" s="5" t="s">
        <v>597</v>
      </c>
      <c r="D1369" s="31" t="s">
        <v>570</v>
      </c>
      <c r="E1369" s="57" t="s">
        <v>571</v>
      </c>
      <c r="F1369" s="57" t="s">
        <v>572</v>
      </c>
      <c r="G1369" s="57" t="s">
        <v>573</v>
      </c>
      <c r="H1369" s="57" t="s">
        <v>574</v>
      </c>
      <c r="I1369" s="57" t="s">
        <v>1533</v>
      </c>
      <c r="J1369" s="57" t="s">
        <v>76</v>
      </c>
      <c r="K1369" s="57" t="s">
        <v>591</v>
      </c>
      <c r="L1369" s="11" t="s">
        <v>914</v>
      </c>
      <c r="M1369" s="22">
        <v>1</v>
      </c>
      <c r="N1369" s="46">
        <v>285714</v>
      </c>
      <c r="O1369" s="49">
        <f t="shared" si="29"/>
        <v>285714</v>
      </c>
      <c r="P1369" s="5" t="s">
        <v>393</v>
      </c>
      <c r="Q1369" s="15" t="s">
        <v>1471</v>
      </c>
      <c r="R1369" s="11" t="s">
        <v>2027</v>
      </c>
      <c r="S1369" s="22">
        <v>100</v>
      </c>
    </row>
    <row r="1370" spans="1:19" s="13" customFormat="1" ht="63.75">
      <c r="A1370" s="5">
        <v>1355</v>
      </c>
      <c r="B1370" s="15" t="s">
        <v>710</v>
      </c>
      <c r="C1370" s="5" t="s">
        <v>597</v>
      </c>
      <c r="D1370" s="31" t="s">
        <v>570</v>
      </c>
      <c r="E1370" s="57" t="s">
        <v>571</v>
      </c>
      <c r="F1370" s="57" t="s">
        <v>572</v>
      </c>
      <c r="G1370" s="57" t="s">
        <v>573</v>
      </c>
      <c r="H1370" s="57" t="s">
        <v>574</v>
      </c>
      <c r="I1370" s="57" t="s">
        <v>1533</v>
      </c>
      <c r="J1370" s="57" t="s">
        <v>76</v>
      </c>
      <c r="K1370" s="57" t="s">
        <v>591</v>
      </c>
      <c r="L1370" s="11" t="s">
        <v>914</v>
      </c>
      <c r="M1370" s="22">
        <v>1</v>
      </c>
      <c r="N1370" s="46">
        <v>150000</v>
      </c>
      <c r="O1370" s="49">
        <f t="shared" si="29"/>
        <v>150000</v>
      </c>
      <c r="P1370" s="5" t="s">
        <v>391</v>
      </c>
      <c r="Q1370" s="15" t="s">
        <v>1471</v>
      </c>
      <c r="R1370" s="11" t="s">
        <v>2023</v>
      </c>
      <c r="S1370" s="22">
        <v>100</v>
      </c>
    </row>
    <row r="1371" spans="1:19" ht="51" outlineLevel="1">
      <c r="A1371" s="5">
        <v>1356</v>
      </c>
      <c r="B1371" s="15" t="s">
        <v>710</v>
      </c>
      <c r="C1371" s="5" t="s">
        <v>597</v>
      </c>
      <c r="D1371" s="31" t="s">
        <v>570</v>
      </c>
      <c r="E1371" s="57" t="s">
        <v>571</v>
      </c>
      <c r="F1371" s="57" t="s">
        <v>572</v>
      </c>
      <c r="G1371" s="57" t="s">
        <v>573</v>
      </c>
      <c r="H1371" s="57" t="s">
        <v>574</v>
      </c>
      <c r="I1371" s="57" t="s">
        <v>1533</v>
      </c>
      <c r="J1371" s="57" t="s">
        <v>76</v>
      </c>
      <c r="K1371" s="57" t="s">
        <v>591</v>
      </c>
      <c r="L1371" s="11" t="s">
        <v>914</v>
      </c>
      <c r="M1371" s="22">
        <v>1</v>
      </c>
      <c r="N1371" s="46">
        <v>152000</v>
      </c>
      <c r="O1371" s="49">
        <f t="shared" si="29"/>
        <v>152000</v>
      </c>
      <c r="P1371" s="5" t="s">
        <v>393</v>
      </c>
      <c r="Q1371" s="5" t="s">
        <v>766</v>
      </c>
      <c r="R1371" s="11" t="s">
        <v>633</v>
      </c>
      <c r="S1371" s="22">
        <v>100</v>
      </c>
    </row>
    <row r="1372" spans="1:19" ht="51" outlineLevel="1">
      <c r="A1372" s="5">
        <v>1357</v>
      </c>
      <c r="B1372" s="15" t="s">
        <v>710</v>
      </c>
      <c r="C1372" s="5" t="s">
        <v>597</v>
      </c>
      <c r="D1372" s="31" t="s">
        <v>570</v>
      </c>
      <c r="E1372" s="57" t="s">
        <v>571</v>
      </c>
      <c r="F1372" s="57" t="s">
        <v>572</v>
      </c>
      <c r="G1372" s="57" t="s">
        <v>573</v>
      </c>
      <c r="H1372" s="57" t="s">
        <v>574</v>
      </c>
      <c r="I1372" s="57" t="s">
        <v>1533</v>
      </c>
      <c r="J1372" s="57" t="s">
        <v>76</v>
      </c>
      <c r="K1372" s="57" t="s">
        <v>591</v>
      </c>
      <c r="L1372" s="11" t="s">
        <v>914</v>
      </c>
      <c r="M1372" s="22">
        <v>1</v>
      </c>
      <c r="N1372" s="46">
        <v>128571</v>
      </c>
      <c r="O1372" s="49">
        <f t="shared" si="29"/>
        <v>128571</v>
      </c>
      <c r="P1372" s="5" t="s">
        <v>393</v>
      </c>
      <c r="Q1372" s="5" t="s">
        <v>766</v>
      </c>
      <c r="R1372" s="11">
        <v>311000000</v>
      </c>
      <c r="S1372" s="22">
        <v>100</v>
      </c>
    </row>
    <row r="1373" spans="1:19" s="36" customFormat="1" ht="51" outlineLevel="1">
      <c r="A1373" s="5">
        <v>1358</v>
      </c>
      <c r="B1373" s="15" t="s">
        <v>710</v>
      </c>
      <c r="C1373" s="5" t="s">
        <v>597</v>
      </c>
      <c r="D1373" s="31" t="s">
        <v>570</v>
      </c>
      <c r="E1373" s="57" t="s">
        <v>571</v>
      </c>
      <c r="F1373" s="57" t="s">
        <v>572</v>
      </c>
      <c r="G1373" s="57" t="s">
        <v>573</v>
      </c>
      <c r="H1373" s="57" t="s">
        <v>574</v>
      </c>
      <c r="I1373" s="57" t="s">
        <v>1533</v>
      </c>
      <c r="J1373" s="57" t="s">
        <v>76</v>
      </c>
      <c r="K1373" s="57" t="s">
        <v>591</v>
      </c>
      <c r="L1373" s="11" t="s">
        <v>914</v>
      </c>
      <c r="M1373" s="22">
        <v>1</v>
      </c>
      <c r="N1373" s="46">
        <v>82143</v>
      </c>
      <c r="O1373" s="49">
        <f t="shared" si="29"/>
        <v>82143</v>
      </c>
      <c r="P1373" s="5" t="s">
        <v>393</v>
      </c>
      <c r="Q1373" s="5" t="s">
        <v>766</v>
      </c>
      <c r="R1373" s="11" t="s">
        <v>2024</v>
      </c>
      <c r="S1373" s="5">
        <v>30</v>
      </c>
    </row>
    <row r="1374" spans="1:19" s="36" customFormat="1" ht="63.75" outlineLevel="1">
      <c r="A1374" s="5">
        <v>1359</v>
      </c>
      <c r="B1374" s="15" t="s">
        <v>710</v>
      </c>
      <c r="C1374" s="5" t="s">
        <v>597</v>
      </c>
      <c r="D1374" s="31" t="s">
        <v>570</v>
      </c>
      <c r="E1374" s="57" t="s">
        <v>571</v>
      </c>
      <c r="F1374" s="57" t="s">
        <v>572</v>
      </c>
      <c r="G1374" s="57" t="s">
        <v>573</v>
      </c>
      <c r="H1374" s="57" t="s">
        <v>574</v>
      </c>
      <c r="I1374" s="57" t="s">
        <v>1533</v>
      </c>
      <c r="J1374" s="57" t="s">
        <v>76</v>
      </c>
      <c r="K1374" s="57" t="s">
        <v>591</v>
      </c>
      <c r="L1374" s="11" t="s">
        <v>914</v>
      </c>
      <c r="M1374" s="22">
        <v>1</v>
      </c>
      <c r="N1374" s="46">
        <v>89286</v>
      </c>
      <c r="O1374" s="49">
        <f t="shared" si="29"/>
        <v>89286</v>
      </c>
      <c r="P1374" s="5" t="s">
        <v>393</v>
      </c>
      <c r="Q1374" s="15" t="s">
        <v>1471</v>
      </c>
      <c r="R1374" s="11">
        <v>351000000</v>
      </c>
      <c r="S1374" s="22">
        <v>100</v>
      </c>
    </row>
    <row r="1375" spans="1:19" ht="51" outlineLevel="1">
      <c r="A1375" s="5">
        <v>1360</v>
      </c>
      <c r="B1375" s="15" t="s">
        <v>710</v>
      </c>
      <c r="C1375" s="5" t="s">
        <v>597</v>
      </c>
      <c r="D1375" s="31" t="s">
        <v>570</v>
      </c>
      <c r="E1375" s="57" t="s">
        <v>571</v>
      </c>
      <c r="F1375" s="57" t="s">
        <v>572</v>
      </c>
      <c r="G1375" s="57" t="s">
        <v>573</v>
      </c>
      <c r="H1375" s="57" t="s">
        <v>574</v>
      </c>
      <c r="I1375" s="57" t="s">
        <v>1533</v>
      </c>
      <c r="J1375" s="57" t="s">
        <v>76</v>
      </c>
      <c r="K1375" s="57" t="s">
        <v>591</v>
      </c>
      <c r="L1375" s="11" t="s">
        <v>914</v>
      </c>
      <c r="M1375" s="22">
        <v>1</v>
      </c>
      <c r="N1375" s="46">
        <v>107143</v>
      </c>
      <c r="O1375" s="49">
        <f t="shared" si="29"/>
        <v>107143</v>
      </c>
      <c r="P1375" s="5" t="s">
        <v>393</v>
      </c>
      <c r="Q1375" s="5" t="s">
        <v>766</v>
      </c>
      <c r="R1375" s="11" t="s">
        <v>925</v>
      </c>
      <c r="S1375" s="22">
        <v>0</v>
      </c>
    </row>
    <row r="1376" spans="1:19" s="36" customFormat="1" ht="51" outlineLevel="1">
      <c r="A1376" s="5">
        <v>1361</v>
      </c>
      <c r="B1376" s="15" t="s">
        <v>710</v>
      </c>
      <c r="C1376" s="5" t="s">
        <v>597</v>
      </c>
      <c r="D1376" s="31" t="s">
        <v>570</v>
      </c>
      <c r="E1376" s="57" t="s">
        <v>571</v>
      </c>
      <c r="F1376" s="57" t="s">
        <v>572</v>
      </c>
      <c r="G1376" s="57" t="s">
        <v>573</v>
      </c>
      <c r="H1376" s="57" t="s">
        <v>574</v>
      </c>
      <c r="I1376" s="57" t="s">
        <v>1533</v>
      </c>
      <c r="J1376" s="57" t="s">
        <v>76</v>
      </c>
      <c r="K1376" s="57" t="s">
        <v>591</v>
      </c>
      <c r="L1376" s="11" t="s">
        <v>914</v>
      </c>
      <c r="M1376" s="22">
        <v>1</v>
      </c>
      <c r="N1376" s="46">
        <v>100000</v>
      </c>
      <c r="O1376" s="49">
        <f t="shared" si="29"/>
        <v>100000</v>
      </c>
      <c r="P1376" s="5" t="s">
        <v>393</v>
      </c>
      <c r="Q1376" s="5" t="s">
        <v>766</v>
      </c>
      <c r="R1376" s="11">
        <v>431000000</v>
      </c>
      <c r="S1376" s="22">
        <v>0</v>
      </c>
    </row>
    <row r="1377" spans="1:19" s="36" customFormat="1" ht="51" outlineLevel="1">
      <c r="A1377" s="5">
        <v>1362</v>
      </c>
      <c r="B1377" s="29" t="s">
        <v>710</v>
      </c>
      <c r="C1377" s="35" t="s">
        <v>597</v>
      </c>
      <c r="D1377" s="31" t="s">
        <v>570</v>
      </c>
      <c r="E1377" s="57" t="s">
        <v>571</v>
      </c>
      <c r="F1377" s="57" t="s">
        <v>572</v>
      </c>
      <c r="G1377" s="57" t="s">
        <v>573</v>
      </c>
      <c r="H1377" s="57" t="s">
        <v>574</v>
      </c>
      <c r="I1377" s="57" t="s">
        <v>1533</v>
      </c>
      <c r="J1377" s="57" t="s">
        <v>76</v>
      </c>
      <c r="K1377" s="57" t="s">
        <v>591</v>
      </c>
      <c r="L1377" s="11" t="s">
        <v>914</v>
      </c>
      <c r="M1377" s="52">
        <v>1</v>
      </c>
      <c r="N1377" s="46">
        <v>231250</v>
      </c>
      <c r="O1377" s="49">
        <f t="shared" si="29"/>
        <v>231250</v>
      </c>
      <c r="P1377" s="5" t="s">
        <v>393</v>
      </c>
      <c r="Q1377" s="5" t="s">
        <v>766</v>
      </c>
      <c r="R1377" s="11" t="s">
        <v>715</v>
      </c>
      <c r="S1377" s="22">
        <v>100</v>
      </c>
    </row>
    <row r="1378" spans="1:19" s="36" customFormat="1" ht="51" outlineLevel="1">
      <c r="A1378" s="5">
        <v>1363</v>
      </c>
      <c r="B1378" s="15" t="s">
        <v>941</v>
      </c>
      <c r="C1378" s="5" t="s">
        <v>597</v>
      </c>
      <c r="D1378" s="31" t="s">
        <v>570</v>
      </c>
      <c r="E1378" s="57" t="s">
        <v>571</v>
      </c>
      <c r="F1378" s="57" t="s">
        <v>572</v>
      </c>
      <c r="G1378" s="57" t="s">
        <v>573</v>
      </c>
      <c r="H1378" s="57" t="s">
        <v>574</v>
      </c>
      <c r="I1378" s="57" t="s">
        <v>1533</v>
      </c>
      <c r="J1378" s="57" t="s">
        <v>76</v>
      </c>
      <c r="K1378" s="57" t="s">
        <v>591</v>
      </c>
      <c r="L1378" s="11" t="s">
        <v>914</v>
      </c>
      <c r="M1378" s="22">
        <v>1</v>
      </c>
      <c r="N1378" s="46">
        <v>96429</v>
      </c>
      <c r="O1378" s="49">
        <f t="shared" si="29"/>
        <v>96429</v>
      </c>
      <c r="P1378" s="5" t="s">
        <v>393</v>
      </c>
      <c r="Q1378" s="5" t="s">
        <v>766</v>
      </c>
      <c r="R1378" s="11">
        <v>591000000</v>
      </c>
      <c r="S1378" s="22">
        <v>100</v>
      </c>
    </row>
    <row r="1379" spans="1:19" ht="63.75" outlineLevel="1">
      <c r="A1379" s="5">
        <v>1364</v>
      </c>
      <c r="B1379" s="15" t="s">
        <v>710</v>
      </c>
      <c r="C1379" s="31" t="s">
        <v>597</v>
      </c>
      <c r="D1379" s="5" t="s">
        <v>1901</v>
      </c>
      <c r="E1379" s="57" t="s">
        <v>1904</v>
      </c>
      <c r="F1379" s="57" t="s">
        <v>1902</v>
      </c>
      <c r="G1379" s="57" t="s">
        <v>1905</v>
      </c>
      <c r="H1379" s="57" t="s">
        <v>1903</v>
      </c>
      <c r="I1379" s="57" t="s">
        <v>1898</v>
      </c>
      <c r="J1379" s="57" t="s">
        <v>77</v>
      </c>
      <c r="K1379" s="57" t="s">
        <v>591</v>
      </c>
      <c r="L1379" s="11" t="s">
        <v>914</v>
      </c>
      <c r="M1379" s="22">
        <v>1</v>
      </c>
      <c r="N1379" s="46">
        <v>9600000</v>
      </c>
      <c r="O1379" s="49">
        <f t="shared" si="29"/>
        <v>9600000</v>
      </c>
      <c r="P1379" s="5" t="s">
        <v>501</v>
      </c>
      <c r="Q1379" s="15" t="s">
        <v>1471</v>
      </c>
      <c r="R1379" s="11" t="s">
        <v>1175</v>
      </c>
      <c r="S1379" s="22">
        <v>0</v>
      </c>
    </row>
    <row r="1380" spans="1:19" ht="153" outlineLevel="1">
      <c r="A1380" s="5">
        <v>1365</v>
      </c>
      <c r="B1380" s="15" t="s">
        <v>710</v>
      </c>
      <c r="C1380" s="31" t="s">
        <v>597</v>
      </c>
      <c r="D1380" s="5" t="s">
        <v>1906</v>
      </c>
      <c r="E1380" s="57" t="s">
        <v>1909</v>
      </c>
      <c r="F1380" s="57" t="s">
        <v>1907</v>
      </c>
      <c r="G1380" s="57" t="s">
        <v>1910</v>
      </c>
      <c r="H1380" s="57" t="s">
        <v>1908</v>
      </c>
      <c r="I1380" s="57" t="s">
        <v>1900</v>
      </c>
      <c r="J1380" s="57" t="s">
        <v>281</v>
      </c>
      <c r="K1380" s="57" t="s">
        <v>1484</v>
      </c>
      <c r="L1380" s="11" t="s">
        <v>914</v>
      </c>
      <c r="M1380" s="22">
        <v>1</v>
      </c>
      <c r="N1380" s="46">
        <v>4286526</v>
      </c>
      <c r="O1380" s="49">
        <f t="shared" si="29"/>
        <v>4286526</v>
      </c>
      <c r="P1380" s="5" t="s">
        <v>612</v>
      </c>
      <c r="Q1380" s="15" t="s">
        <v>1471</v>
      </c>
      <c r="R1380" s="11" t="s">
        <v>1175</v>
      </c>
      <c r="S1380" s="22">
        <v>30</v>
      </c>
    </row>
    <row r="1381" spans="1:19" ht="51" outlineLevel="1">
      <c r="A1381" s="5">
        <v>1366</v>
      </c>
      <c r="B1381" s="15" t="s">
        <v>710</v>
      </c>
      <c r="C1381" s="31" t="s">
        <v>597</v>
      </c>
      <c r="D1381" s="5" t="s">
        <v>1911</v>
      </c>
      <c r="E1381" s="57" t="s">
        <v>1914</v>
      </c>
      <c r="F1381" s="57" t="s">
        <v>1912</v>
      </c>
      <c r="G1381" s="57" t="s">
        <v>1914</v>
      </c>
      <c r="H1381" s="57" t="s">
        <v>1913</v>
      </c>
      <c r="I1381" s="57" t="s">
        <v>1899</v>
      </c>
      <c r="J1381" s="57" t="s">
        <v>78</v>
      </c>
      <c r="K1381" s="57" t="s">
        <v>591</v>
      </c>
      <c r="L1381" s="11" t="s">
        <v>914</v>
      </c>
      <c r="M1381" s="22">
        <v>1</v>
      </c>
      <c r="N1381" s="46">
        <f>O1381/M1381</f>
        <v>8400094</v>
      </c>
      <c r="O1381" s="49">
        <f>10714286-2314192</f>
        <v>8400094</v>
      </c>
      <c r="P1381" s="5" t="s">
        <v>588</v>
      </c>
      <c r="Q1381" s="5" t="s">
        <v>766</v>
      </c>
      <c r="R1381" s="11" t="s">
        <v>1175</v>
      </c>
      <c r="S1381" s="22">
        <v>100</v>
      </c>
    </row>
    <row r="1382" spans="1:19" ht="51" outlineLevel="1">
      <c r="A1382" s="5">
        <v>1367</v>
      </c>
      <c r="B1382" s="29" t="s">
        <v>710</v>
      </c>
      <c r="C1382" s="35" t="s">
        <v>597</v>
      </c>
      <c r="D1382" s="5" t="s">
        <v>921</v>
      </c>
      <c r="E1382" s="57" t="s">
        <v>1017</v>
      </c>
      <c r="F1382" s="57" t="s">
        <v>1018</v>
      </c>
      <c r="G1382" s="57" t="s">
        <v>1019</v>
      </c>
      <c r="H1382" s="57" t="s">
        <v>968</v>
      </c>
      <c r="I1382" s="57" t="s">
        <v>2257</v>
      </c>
      <c r="J1382" s="57" t="s">
        <v>81</v>
      </c>
      <c r="K1382" s="57" t="s">
        <v>591</v>
      </c>
      <c r="L1382" s="11" t="s">
        <v>914</v>
      </c>
      <c r="M1382" s="22">
        <v>1</v>
      </c>
      <c r="N1382" s="46">
        <v>1122272</v>
      </c>
      <c r="O1382" s="49">
        <f t="shared" si="29"/>
        <v>1122272</v>
      </c>
      <c r="P1382" s="5" t="s">
        <v>501</v>
      </c>
      <c r="Q1382" s="5" t="s">
        <v>766</v>
      </c>
      <c r="R1382" s="11" t="s">
        <v>1175</v>
      </c>
      <c r="S1382" s="22">
        <v>100</v>
      </c>
    </row>
    <row r="1383" spans="1:19" s="13" customFormat="1" ht="51">
      <c r="A1383" s="5">
        <v>1368</v>
      </c>
      <c r="B1383" s="29" t="s">
        <v>710</v>
      </c>
      <c r="C1383" s="35" t="s">
        <v>597</v>
      </c>
      <c r="D1383" s="5" t="s">
        <v>921</v>
      </c>
      <c r="E1383" s="57" t="s">
        <v>1017</v>
      </c>
      <c r="F1383" s="57" t="s">
        <v>1018</v>
      </c>
      <c r="G1383" s="57" t="s">
        <v>1019</v>
      </c>
      <c r="H1383" s="57" t="s">
        <v>968</v>
      </c>
      <c r="I1383" s="57" t="s">
        <v>2257</v>
      </c>
      <c r="J1383" s="57" t="s">
        <v>81</v>
      </c>
      <c r="K1383" s="57" t="s">
        <v>591</v>
      </c>
      <c r="L1383" s="11" t="s">
        <v>914</v>
      </c>
      <c r="M1383" s="22">
        <v>1</v>
      </c>
      <c r="N1383" s="46">
        <v>77679</v>
      </c>
      <c r="O1383" s="49">
        <f t="shared" si="29"/>
        <v>77679</v>
      </c>
      <c r="P1383" s="5" t="s">
        <v>393</v>
      </c>
      <c r="Q1383" s="5" t="s">
        <v>766</v>
      </c>
      <c r="R1383" s="11" t="s">
        <v>2030</v>
      </c>
      <c r="S1383" s="22">
        <v>100</v>
      </c>
    </row>
    <row r="1384" spans="1:19" s="13" customFormat="1" ht="51">
      <c r="A1384" s="5">
        <v>1369</v>
      </c>
      <c r="B1384" s="29" t="s">
        <v>710</v>
      </c>
      <c r="C1384" s="35" t="s">
        <v>597</v>
      </c>
      <c r="D1384" s="5" t="s">
        <v>921</v>
      </c>
      <c r="E1384" s="57" t="s">
        <v>1017</v>
      </c>
      <c r="F1384" s="57" t="s">
        <v>1018</v>
      </c>
      <c r="G1384" s="57" t="s">
        <v>1019</v>
      </c>
      <c r="H1384" s="57" t="s">
        <v>968</v>
      </c>
      <c r="I1384" s="57" t="s">
        <v>2257</v>
      </c>
      <c r="J1384" s="57" t="s">
        <v>81</v>
      </c>
      <c r="K1384" s="57" t="s">
        <v>591</v>
      </c>
      <c r="L1384" s="11" t="s">
        <v>914</v>
      </c>
      <c r="M1384" s="22">
        <v>1</v>
      </c>
      <c r="N1384" s="46">
        <v>77679</v>
      </c>
      <c r="O1384" s="49">
        <f t="shared" si="29"/>
        <v>77679</v>
      </c>
      <c r="P1384" s="5" t="s">
        <v>393</v>
      </c>
      <c r="Q1384" s="5" t="s">
        <v>766</v>
      </c>
      <c r="R1384" s="11" t="s">
        <v>1021</v>
      </c>
      <c r="S1384" s="22">
        <v>100</v>
      </c>
    </row>
    <row r="1385" spans="1:19" s="13" customFormat="1" ht="51">
      <c r="A1385" s="5">
        <v>1370</v>
      </c>
      <c r="B1385" s="29" t="s">
        <v>710</v>
      </c>
      <c r="C1385" s="35" t="s">
        <v>597</v>
      </c>
      <c r="D1385" s="5" t="s">
        <v>921</v>
      </c>
      <c r="E1385" s="57" t="s">
        <v>1017</v>
      </c>
      <c r="F1385" s="57" t="s">
        <v>1018</v>
      </c>
      <c r="G1385" s="57" t="s">
        <v>1019</v>
      </c>
      <c r="H1385" s="57" t="s">
        <v>968</v>
      </c>
      <c r="I1385" s="57" t="s">
        <v>2257</v>
      </c>
      <c r="J1385" s="57" t="s">
        <v>81</v>
      </c>
      <c r="K1385" s="57" t="s">
        <v>591</v>
      </c>
      <c r="L1385" s="11" t="s">
        <v>914</v>
      </c>
      <c r="M1385" s="22">
        <v>1</v>
      </c>
      <c r="N1385" s="46">
        <v>77679</v>
      </c>
      <c r="O1385" s="49">
        <f t="shared" si="29"/>
        <v>77679</v>
      </c>
      <c r="P1385" s="5" t="s">
        <v>391</v>
      </c>
      <c r="Q1385" s="5" t="s">
        <v>766</v>
      </c>
      <c r="R1385" s="11" t="s">
        <v>789</v>
      </c>
      <c r="S1385" s="22">
        <v>100</v>
      </c>
    </row>
    <row r="1386" spans="1:19" s="13" customFormat="1" ht="51">
      <c r="A1386" s="5">
        <v>1371</v>
      </c>
      <c r="B1386" s="29" t="s">
        <v>710</v>
      </c>
      <c r="C1386" s="35" t="s">
        <v>597</v>
      </c>
      <c r="D1386" s="5" t="s">
        <v>921</v>
      </c>
      <c r="E1386" s="57" t="s">
        <v>1017</v>
      </c>
      <c r="F1386" s="57" t="s">
        <v>1018</v>
      </c>
      <c r="G1386" s="57" t="s">
        <v>1019</v>
      </c>
      <c r="H1386" s="57" t="s">
        <v>968</v>
      </c>
      <c r="I1386" s="57" t="s">
        <v>2257</v>
      </c>
      <c r="J1386" s="57" t="s">
        <v>81</v>
      </c>
      <c r="K1386" s="57" t="s">
        <v>591</v>
      </c>
      <c r="L1386" s="11" t="s">
        <v>914</v>
      </c>
      <c r="M1386" s="22">
        <v>1</v>
      </c>
      <c r="N1386" s="46">
        <v>77679</v>
      </c>
      <c r="O1386" s="49">
        <f t="shared" si="29"/>
        <v>77679</v>
      </c>
      <c r="P1386" s="5" t="s">
        <v>393</v>
      </c>
      <c r="Q1386" s="5" t="s">
        <v>766</v>
      </c>
      <c r="R1386" s="11" t="s">
        <v>2022</v>
      </c>
      <c r="S1386" s="22">
        <v>100</v>
      </c>
    </row>
    <row r="1387" spans="1:19" s="13" customFormat="1" ht="51">
      <c r="A1387" s="5">
        <v>1372</v>
      </c>
      <c r="B1387" s="29" t="s">
        <v>710</v>
      </c>
      <c r="C1387" s="35" t="s">
        <v>597</v>
      </c>
      <c r="D1387" s="5" t="s">
        <v>921</v>
      </c>
      <c r="E1387" s="57" t="s">
        <v>1017</v>
      </c>
      <c r="F1387" s="57" t="s">
        <v>1018</v>
      </c>
      <c r="G1387" s="57" t="s">
        <v>1019</v>
      </c>
      <c r="H1387" s="57" t="s">
        <v>968</v>
      </c>
      <c r="I1387" s="57" t="s">
        <v>2257</v>
      </c>
      <c r="J1387" s="57" t="s">
        <v>81</v>
      </c>
      <c r="K1387" s="57" t="s">
        <v>591</v>
      </c>
      <c r="L1387" s="11" t="s">
        <v>914</v>
      </c>
      <c r="M1387" s="22">
        <v>1</v>
      </c>
      <c r="N1387" s="46">
        <v>77679</v>
      </c>
      <c r="O1387" s="49">
        <f t="shared" si="29"/>
        <v>77679</v>
      </c>
      <c r="P1387" s="5" t="s">
        <v>393</v>
      </c>
      <c r="Q1387" s="5" t="s">
        <v>766</v>
      </c>
      <c r="R1387" s="11" t="s">
        <v>2027</v>
      </c>
      <c r="S1387" s="22">
        <v>100</v>
      </c>
    </row>
    <row r="1388" spans="1:19" s="13" customFormat="1" ht="51">
      <c r="A1388" s="5">
        <v>1373</v>
      </c>
      <c r="B1388" s="29" t="s">
        <v>710</v>
      </c>
      <c r="C1388" s="35" t="s">
        <v>597</v>
      </c>
      <c r="D1388" s="5" t="s">
        <v>921</v>
      </c>
      <c r="E1388" s="57" t="s">
        <v>1017</v>
      </c>
      <c r="F1388" s="57" t="s">
        <v>1018</v>
      </c>
      <c r="G1388" s="57" t="s">
        <v>1019</v>
      </c>
      <c r="H1388" s="57" t="s">
        <v>968</v>
      </c>
      <c r="I1388" s="57" t="s">
        <v>2257</v>
      </c>
      <c r="J1388" s="57" t="s">
        <v>81</v>
      </c>
      <c r="K1388" s="57" t="s">
        <v>591</v>
      </c>
      <c r="L1388" s="11" t="s">
        <v>914</v>
      </c>
      <c r="M1388" s="22">
        <v>1</v>
      </c>
      <c r="N1388" s="46">
        <v>77679</v>
      </c>
      <c r="O1388" s="49">
        <f t="shared" si="29"/>
        <v>77679</v>
      </c>
      <c r="P1388" s="5" t="s">
        <v>393</v>
      </c>
      <c r="Q1388" s="5" t="s">
        <v>766</v>
      </c>
      <c r="R1388" s="11" t="s">
        <v>2023</v>
      </c>
      <c r="S1388" s="22">
        <v>100</v>
      </c>
    </row>
    <row r="1389" spans="1:19" ht="51">
      <c r="A1389" s="5">
        <v>1374</v>
      </c>
      <c r="B1389" s="29" t="s">
        <v>710</v>
      </c>
      <c r="C1389" s="35" t="s">
        <v>597</v>
      </c>
      <c r="D1389" s="5" t="s">
        <v>921</v>
      </c>
      <c r="E1389" s="57" t="s">
        <v>1017</v>
      </c>
      <c r="F1389" s="57" t="s">
        <v>1018</v>
      </c>
      <c r="G1389" s="57" t="s">
        <v>1019</v>
      </c>
      <c r="H1389" s="57" t="s">
        <v>968</v>
      </c>
      <c r="I1389" s="57" t="s">
        <v>2257</v>
      </c>
      <c r="J1389" s="57" t="s">
        <v>81</v>
      </c>
      <c r="K1389" s="57" t="s">
        <v>591</v>
      </c>
      <c r="L1389" s="11" t="s">
        <v>914</v>
      </c>
      <c r="M1389" s="22">
        <v>1</v>
      </c>
      <c r="N1389" s="46">
        <v>77679</v>
      </c>
      <c r="O1389" s="49">
        <f t="shared" si="29"/>
        <v>77679</v>
      </c>
      <c r="P1389" s="5" t="s">
        <v>393</v>
      </c>
      <c r="Q1389" s="5" t="s">
        <v>766</v>
      </c>
      <c r="R1389" s="11" t="s">
        <v>633</v>
      </c>
      <c r="S1389" s="22">
        <v>100</v>
      </c>
    </row>
    <row r="1390" spans="1:19" s="34" customFormat="1" ht="51">
      <c r="A1390" s="5">
        <v>1375</v>
      </c>
      <c r="B1390" s="29" t="s">
        <v>710</v>
      </c>
      <c r="C1390" s="35" t="s">
        <v>597</v>
      </c>
      <c r="D1390" s="5" t="s">
        <v>921</v>
      </c>
      <c r="E1390" s="57" t="s">
        <v>1017</v>
      </c>
      <c r="F1390" s="57" t="s">
        <v>1018</v>
      </c>
      <c r="G1390" s="57" t="s">
        <v>1019</v>
      </c>
      <c r="H1390" s="57" t="s">
        <v>968</v>
      </c>
      <c r="I1390" s="57" t="s">
        <v>2257</v>
      </c>
      <c r="J1390" s="57" t="s">
        <v>81</v>
      </c>
      <c r="K1390" s="57" t="s">
        <v>591</v>
      </c>
      <c r="L1390" s="11" t="s">
        <v>914</v>
      </c>
      <c r="M1390" s="22">
        <v>1</v>
      </c>
      <c r="N1390" s="46">
        <v>77679</v>
      </c>
      <c r="O1390" s="49">
        <f t="shared" si="29"/>
        <v>77679</v>
      </c>
      <c r="P1390" s="5" t="s">
        <v>393</v>
      </c>
      <c r="Q1390" s="5" t="s">
        <v>766</v>
      </c>
      <c r="R1390" s="11">
        <v>311000000</v>
      </c>
      <c r="S1390" s="22">
        <v>100</v>
      </c>
    </row>
    <row r="1391" spans="1:19" s="36" customFormat="1" ht="51">
      <c r="A1391" s="5">
        <v>1376</v>
      </c>
      <c r="B1391" s="29" t="s">
        <v>710</v>
      </c>
      <c r="C1391" s="35" t="s">
        <v>597</v>
      </c>
      <c r="D1391" s="5" t="s">
        <v>921</v>
      </c>
      <c r="E1391" s="57" t="s">
        <v>1017</v>
      </c>
      <c r="F1391" s="57" t="s">
        <v>1018</v>
      </c>
      <c r="G1391" s="57" t="s">
        <v>1019</v>
      </c>
      <c r="H1391" s="57" t="s">
        <v>968</v>
      </c>
      <c r="I1391" s="57" t="s">
        <v>2257</v>
      </c>
      <c r="J1391" s="57" t="s">
        <v>81</v>
      </c>
      <c r="K1391" s="57" t="s">
        <v>591</v>
      </c>
      <c r="L1391" s="11" t="s">
        <v>914</v>
      </c>
      <c r="M1391" s="22">
        <v>1</v>
      </c>
      <c r="N1391" s="46">
        <v>77679</v>
      </c>
      <c r="O1391" s="49">
        <f t="shared" si="29"/>
        <v>77679</v>
      </c>
      <c r="P1391" s="5" t="s">
        <v>393</v>
      </c>
      <c r="Q1391" s="5" t="s">
        <v>766</v>
      </c>
      <c r="R1391" s="11" t="s">
        <v>2024</v>
      </c>
      <c r="S1391" s="22">
        <v>100</v>
      </c>
    </row>
    <row r="1392" spans="1:19" s="13" customFormat="1" ht="51">
      <c r="A1392" s="5">
        <v>1377</v>
      </c>
      <c r="B1392" s="29" t="s">
        <v>710</v>
      </c>
      <c r="C1392" s="35" t="s">
        <v>597</v>
      </c>
      <c r="D1392" s="5" t="s">
        <v>921</v>
      </c>
      <c r="E1392" s="57" t="s">
        <v>1017</v>
      </c>
      <c r="F1392" s="57" t="s">
        <v>1018</v>
      </c>
      <c r="G1392" s="57" t="s">
        <v>1019</v>
      </c>
      <c r="H1392" s="57" t="s">
        <v>968</v>
      </c>
      <c r="I1392" s="57" t="s">
        <v>2257</v>
      </c>
      <c r="J1392" s="57" t="s">
        <v>81</v>
      </c>
      <c r="K1392" s="57" t="s">
        <v>591</v>
      </c>
      <c r="L1392" s="11" t="s">
        <v>914</v>
      </c>
      <c r="M1392" s="22">
        <v>1</v>
      </c>
      <c r="N1392" s="46">
        <v>77679</v>
      </c>
      <c r="O1392" s="49">
        <f t="shared" si="29"/>
        <v>77679</v>
      </c>
      <c r="P1392" s="5" t="s">
        <v>393</v>
      </c>
      <c r="Q1392" s="5" t="s">
        <v>766</v>
      </c>
      <c r="R1392" s="11">
        <v>351000000</v>
      </c>
      <c r="S1392" s="22">
        <v>100</v>
      </c>
    </row>
    <row r="1393" spans="1:19" ht="51">
      <c r="A1393" s="5">
        <v>1378</v>
      </c>
      <c r="B1393" s="29" t="s">
        <v>710</v>
      </c>
      <c r="C1393" s="35" t="s">
        <v>597</v>
      </c>
      <c r="D1393" s="5" t="s">
        <v>921</v>
      </c>
      <c r="E1393" s="57" t="s">
        <v>1017</v>
      </c>
      <c r="F1393" s="57" t="s">
        <v>1018</v>
      </c>
      <c r="G1393" s="57" t="s">
        <v>1019</v>
      </c>
      <c r="H1393" s="57" t="s">
        <v>968</v>
      </c>
      <c r="I1393" s="57" t="s">
        <v>2257</v>
      </c>
      <c r="J1393" s="57" t="s">
        <v>81</v>
      </c>
      <c r="K1393" s="57" t="s">
        <v>591</v>
      </c>
      <c r="L1393" s="11" t="s">
        <v>914</v>
      </c>
      <c r="M1393" s="22">
        <v>1</v>
      </c>
      <c r="N1393" s="46">
        <v>77679</v>
      </c>
      <c r="O1393" s="49">
        <f t="shared" si="29"/>
        <v>77679</v>
      </c>
      <c r="P1393" s="5" t="s">
        <v>393</v>
      </c>
      <c r="Q1393" s="5" t="s">
        <v>766</v>
      </c>
      <c r="R1393" s="11" t="s">
        <v>925</v>
      </c>
      <c r="S1393" s="22">
        <v>100</v>
      </c>
    </row>
    <row r="1394" spans="1:19" s="13" customFormat="1" ht="51">
      <c r="A1394" s="5">
        <v>1379</v>
      </c>
      <c r="B1394" s="29" t="s">
        <v>710</v>
      </c>
      <c r="C1394" s="35" t="s">
        <v>597</v>
      </c>
      <c r="D1394" s="5" t="s">
        <v>921</v>
      </c>
      <c r="E1394" s="57" t="s">
        <v>1017</v>
      </c>
      <c r="F1394" s="57" t="s">
        <v>1018</v>
      </c>
      <c r="G1394" s="57" t="s">
        <v>1019</v>
      </c>
      <c r="H1394" s="57" t="s">
        <v>968</v>
      </c>
      <c r="I1394" s="57" t="s">
        <v>2257</v>
      </c>
      <c r="J1394" s="57" t="s">
        <v>81</v>
      </c>
      <c r="K1394" s="57" t="s">
        <v>591</v>
      </c>
      <c r="L1394" s="11" t="s">
        <v>914</v>
      </c>
      <c r="M1394" s="22">
        <v>1</v>
      </c>
      <c r="N1394" s="46">
        <v>77679</v>
      </c>
      <c r="O1394" s="49">
        <f t="shared" si="29"/>
        <v>77679</v>
      </c>
      <c r="P1394" s="5" t="s">
        <v>393</v>
      </c>
      <c r="Q1394" s="5" t="s">
        <v>766</v>
      </c>
      <c r="R1394" s="11">
        <v>431000000</v>
      </c>
      <c r="S1394" s="22">
        <v>100</v>
      </c>
    </row>
    <row r="1395" spans="1:19" s="13" customFormat="1" ht="51">
      <c r="A1395" s="5">
        <v>1380</v>
      </c>
      <c r="B1395" s="29" t="s">
        <v>710</v>
      </c>
      <c r="C1395" s="35" t="s">
        <v>597</v>
      </c>
      <c r="D1395" s="5" t="s">
        <v>921</v>
      </c>
      <c r="E1395" s="57" t="s">
        <v>1017</v>
      </c>
      <c r="F1395" s="57" t="s">
        <v>1018</v>
      </c>
      <c r="G1395" s="57" t="s">
        <v>1019</v>
      </c>
      <c r="H1395" s="57" t="s">
        <v>968</v>
      </c>
      <c r="I1395" s="57" t="s">
        <v>2257</v>
      </c>
      <c r="J1395" s="57" t="s">
        <v>81</v>
      </c>
      <c r="K1395" s="57" t="s">
        <v>591</v>
      </c>
      <c r="L1395" s="11" t="s">
        <v>914</v>
      </c>
      <c r="M1395" s="52">
        <v>1</v>
      </c>
      <c r="N1395" s="46">
        <v>77679</v>
      </c>
      <c r="O1395" s="49">
        <f t="shared" si="29"/>
        <v>77679</v>
      </c>
      <c r="P1395" s="5" t="s">
        <v>393</v>
      </c>
      <c r="Q1395" s="5" t="s">
        <v>766</v>
      </c>
      <c r="R1395" s="11" t="s">
        <v>715</v>
      </c>
      <c r="S1395" s="22">
        <v>100</v>
      </c>
    </row>
    <row r="1396" spans="1:19" s="32" customFormat="1" ht="63.75" customHeight="1">
      <c r="A1396" s="5">
        <v>1381</v>
      </c>
      <c r="B1396" s="29" t="s">
        <v>710</v>
      </c>
      <c r="C1396" s="35" t="s">
        <v>597</v>
      </c>
      <c r="D1396" s="5" t="s">
        <v>921</v>
      </c>
      <c r="E1396" s="57" t="s">
        <v>1017</v>
      </c>
      <c r="F1396" s="57" t="s">
        <v>1018</v>
      </c>
      <c r="G1396" s="57" t="s">
        <v>1019</v>
      </c>
      <c r="H1396" s="57" t="s">
        <v>968</v>
      </c>
      <c r="I1396" s="57" t="s">
        <v>2257</v>
      </c>
      <c r="J1396" s="57" t="s">
        <v>81</v>
      </c>
      <c r="K1396" s="57" t="s">
        <v>591</v>
      </c>
      <c r="L1396" s="11" t="s">
        <v>914</v>
      </c>
      <c r="M1396" s="22">
        <v>1</v>
      </c>
      <c r="N1396" s="46">
        <v>77679</v>
      </c>
      <c r="O1396" s="49">
        <f t="shared" si="29"/>
        <v>77679</v>
      </c>
      <c r="P1396" s="5" t="s">
        <v>393</v>
      </c>
      <c r="Q1396" s="5" t="s">
        <v>766</v>
      </c>
      <c r="R1396" s="11">
        <v>551000000</v>
      </c>
      <c r="S1396" s="22">
        <v>100</v>
      </c>
    </row>
    <row r="1397" spans="1:19" s="13" customFormat="1" ht="51">
      <c r="A1397" s="5">
        <v>1382</v>
      </c>
      <c r="B1397" s="29" t="s">
        <v>710</v>
      </c>
      <c r="C1397" s="35" t="s">
        <v>597</v>
      </c>
      <c r="D1397" s="5" t="s">
        <v>921</v>
      </c>
      <c r="E1397" s="57" t="s">
        <v>1017</v>
      </c>
      <c r="F1397" s="57" t="s">
        <v>1018</v>
      </c>
      <c r="G1397" s="57" t="s">
        <v>1019</v>
      </c>
      <c r="H1397" s="57" t="s">
        <v>968</v>
      </c>
      <c r="I1397" s="57" t="s">
        <v>2257</v>
      </c>
      <c r="J1397" s="57" t="s">
        <v>81</v>
      </c>
      <c r="K1397" s="57" t="s">
        <v>591</v>
      </c>
      <c r="L1397" s="11" t="s">
        <v>914</v>
      </c>
      <c r="M1397" s="22">
        <v>1</v>
      </c>
      <c r="N1397" s="46">
        <v>78125</v>
      </c>
      <c r="O1397" s="49">
        <f t="shared" si="29"/>
        <v>78125</v>
      </c>
      <c r="P1397" s="5" t="s">
        <v>393</v>
      </c>
      <c r="Q1397" s="5" t="s">
        <v>766</v>
      </c>
      <c r="R1397" s="11">
        <v>591000000</v>
      </c>
      <c r="S1397" s="22">
        <v>100</v>
      </c>
    </row>
    <row r="1398" spans="1:19" s="13" customFormat="1" ht="51">
      <c r="A1398" s="5">
        <v>1383</v>
      </c>
      <c r="B1398" s="29" t="s">
        <v>710</v>
      </c>
      <c r="C1398" s="35" t="s">
        <v>597</v>
      </c>
      <c r="D1398" s="5" t="s">
        <v>921</v>
      </c>
      <c r="E1398" s="57" t="s">
        <v>1017</v>
      </c>
      <c r="F1398" s="57" t="s">
        <v>1018</v>
      </c>
      <c r="G1398" s="57" t="s">
        <v>1019</v>
      </c>
      <c r="H1398" s="57" t="s">
        <v>968</v>
      </c>
      <c r="I1398" s="57" t="s">
        <v>2257</v>
      </c>
      <c r="J1398" s="57" t="s">
        <v>81</v>
      </c>
      <c r="K1398" s="57" t="s">
        <v>591</v>
      </c>
      <c r="L1398" s="11" t="s">
        <v>914</v>
      </c>
      <c r="M1398" s="22">
        <v>1</v>
      </c>
      <c r="N1398" s="46">
        <v>77679</v>
      </c>
      <c r="O1398" s="49">
        <f t="shared" si="29"/>
        <v>77679</v>
      </c>
      <c r="P1398" s="5" t="s">
        <v>393</v>
      </c>
      <c r="Q1398" s="5" t="s">
        <v>766</v>
      </c>
      <c r="R1398" s="11" t="s">
        <v>2029</v>
      </c>
      <c r="S1398" s="22">
        <v>100</v>
      </c>
    </row>
    <row r="1399" spans="1:19" ht="51">
      <c r="A1399" s="5">
        <v>1384</v>
      </c>
      <c r="B1399" s="15" t="s">
        <v>941</v>
      </c>
      <c r="C1399" s="31" t="s">
        <v>597</v>
      </c>
      <c r="D1399" s="5" t="s">
        <v>1413</v>
      </c>
      <c r="E1399" s="57" t="s">
        <v>1917</v>
      </c>
      <c r="F1399" s="57" t="s">
        <v>1414</v>
      </c>
      <c r="G1399" s="57" t="s">
        <v>1916</v>
      </c>
      <c r="H1399" s="57" t="s">
        <v>1415</v>
      </c>
      <c r="I1399" s="57" t="s">
        <v>1915</v>
      </c>
      <c r="J1399" s="57" t="s">
        <v>82</v>
      </c>
      <c r="K1399" s="57" t="s">
        <v>591</v>
      </c>
      <c r="L1399" s="11" t="s">
        <v>914</v>
      </c>
      <c r="M1399" s="22">
        <v>1</v>
      </c>
      <c r="N1399" s="46">
        <f>O1399/M1399</f>
        <v>29450893</v>
      </c>
      <c r="O1399" s="49">
        <v>29450893</v>
      </c>
      <c r="P1399" s="5" t="s">
        <v>699</v>
      </c>
      <c r="Q1399" s="15" t="s">
        <v>3564</v>
      </c>
      <c r="R1399" s="11" t="s">
        <v>1175</v>
      </c>
      <c r="S1399" s="22">
        <v>100</v>
      </c>
    </row>
    <row r="1400" spans="1:19" ht="127.5">
      <c r="A1400" s="5">
        <v>1385</v>
      </c>
      <c r="B1400" s="29" t="s">
        <v>941</v>
      </c>
      <c r="C1400" s="35" t="s">
        <v>597</v>
      </c>
      <c r="D1400" s="5" t="s">
        <v>1381</v>
      </c>
      <c r="E1400" s="57" t="s">
        <v>2744</v>
      </c>
      <c r="F1400" s="57" t="s">
        <v>2742</v>
      </c>
      <c r="G1400" s="57" t="s">
        <v>2745</v>
      </c>
      <c r="H1400" s="57" t="s">
        <v>2743</v>
      </c>
      <c r="I1400" s="57" t="s">
        <v>2745</v>
      </c>
      <c r="J1400" s="57" t="s">
        <v>2743</v>
      </c>
      <c r="K1400" s="57" t="s">
        <v>591</v>
      </c>
      <c r="L1400" s="11" t="s">
        <v>914</v>
      </c>
      <c r="M1400" s="22">
        <v>1</v>
      </c>
      <c r="N1400" s="46">
        <f>O1400/M1400</f>
        <v>500000</v>
      </c>
      <c r="O1400" s="49">
        <f>1131712+168288-800000</f>
        <v>500000</v>
      </c>
      <c r="P1400" s="5" t="s">
        <v>612</v>
      </c>
      <c r="Q1400" s="15" t="s">
        <v>1471</v>
      </c>
      <c r="R1400" s="11" t="s">
        <v>1175</v>
      </c>
      <c r="S1400" s="22">
        <v>100</v>
      </c>
    </row>
    <row r="1401" spans="1:19" ht="63.75">
      <c r="A1401" s="5">
        <v>1386</v>
      </c>
      <c r="B1401" s="15" t="s">
        <v>710</v>
      </c>
      <c r="C1401" s="31" t="s">
        <v>597</v>
      </c>
      <c r="D1401" s="117" t="s">
        <v>1158</v>
      </c>
      <c r="E1401" s="57" t="s">
        <v>1919</v>
      </c>
      <c r="F1401" s="57" t="s">
        <v>1159</v>
      </c>
      <c r="G1401" s="57" t="s">
        <v>1919</v>
      </c>
      <c r="H1401" s="57" t="s">
        <v>1159</v>
      </c>
      <c r="I1401" s="57" t="s">
        <v>1918</v>
      </c>
      <c r="J1401" s="57" t="s">
        <v>83</v>
      </c>
      <c r="K1401" s="57" t="s">
        <v>591</v>
      </c>
      <c r="L1401" s="11" t="s">
        <v>914</v>
      </c>
      <c r="M1401" s="22">
        <v>1</v>
      </c>
      <c r="N1401" s="46">
        <v>2678571</v>
      </c>
      <c r="O1401" s="49">
        <f t="shared" si="29"/>
        <v>2678571</v>
      </c>
      <c r="P1401" s="5" t="s">
        <v>391</v>
      </c>
      <c r="Q1401" s="15" t="s">
        <v>1471</v>
      </c>
      <c r="R1401" s="11" t="s">
        <v>1175</v>
      </c>
      <c r="S1401" s="22">
        <v>100</v>
      </c>
    </row>
    <row r="1402" spans="1:19" ht="102">
      <c r="A1402" s="5">
        <v>1387</v>
      </c>
      <c r="B1402" s="15" t="s">
        <v>710</v>
      </c>
      <c r="C1402" s="31" t="s">
        <v>597</v>
      </c>
      <c r="D1402" s="117" t="s">
        <v>1042</v>
      </c>
      <c r="E1402" s="57" t="s">
        <v>1922</v>
      </c>
      <c r="F1402" s="57" t="s">
        <v>1043</v>
      </c>
      <c r="G1402" s="57" t="s">
        <v>1920</v>
      </c>
      <c r="H1402" s="57" t="s">
        <v>1044</v>
      </c>
      <c r="I1402" s="57" t="s">
        <v>1921</v>
      </c>
      <c r="J1402" s="57" t="s">
        <v>283</v>
      </c>
      <c r="K1402" s="57" t="s">
        <v>591</v>
      </c>
      <c r="L1402" s="11" t="s">
        <v>914</v>
      </c>
      <c r="M1402" s="22">
        <v>1</v>
      </c>
      <c r="N1402" s="46">
        <f>O1402/M1402</f>
        <v>7734957</v>
      </c>
      <c r="O1402" s="46">
        <f>9977857-760000-104900-628000-750000</f>
        <v>7734957</v>
      </c>
      <c r="P1402" s="5" t="s">
        <v>501</v>
      </c>
      <c r="Q1402" s="15" t="s">
        <v>1471</v>
      </c>
      <c r="R1402" s="11" t="s">
        <v>1175</v>
      </c>
      <c r="S1402" s="22">
        <v>100</v>
      </c>
    </row>
    <row r="1403" spans="1:19" s="13" customFormat="1" ht="76.5">
      <c r="A1403" s="5">
        <v>1388</v>
      </c>
      <c r="B1403" s="29" t="s">
        <v>710</v>
      </c>
      <c r="C1403" s="35" t="s">
        <v>597</v>
      </c>
      <c r="D1403" s="5" t="s">
        <v>577</v>
      </c>
      <c r="E1403" s="57" t="s">
        <v>578</v>
      </c>
      <c r="F1403" s="57" t="s">
        <v>579</v>
      </c>
      <c r="G1403" s="57" t="s">
        <v>578</v>
      </c>
      <c r="H1403" s="57" t="s">
        <v>580</v>
      </c>
      <c r="I1403" s="57" t="s">
        <v>2243</v>
      </c>
      <c r="J1403" s="57" t="s">
        <v>282</v>
      </c>
      <c r="K1403" s="57" t="s">
        <v>591</v>
      </c>
      <c r="L1403" s="11" t="s">
        <v>914</v>
      </c>
      <c r="M1403" s="22">
        <v>1</v>
      </c>
      <c r="N1403" s="46">
        <v>17857</v>
      </c>
      <c r="O1403" s="49">
        <f t="shared" si="29"/>
        <v>17857</v>
      </c>
      <c r="P1403" s="5" t="s">
        <v>393</v>
      </c>
      <c r="Q1403" s="15" t="s">
        <v>1471</v>
      </c>
      <c r="R1403" s="11" t="s">
        <v>2030</v>
      </c>
      <c r="S1403" s="22">
        <v>100</v>
      </c>
    </row>
    <row r="1404" spans="1:19" s="13" customFormat="1" ht="76.5">
      <c r="A1404" s="5">
        <v>1389</v>
      </c>
      <c r="B1404" s="29" t="s">
        <v>941</v>
      </c>
      <c r="C1404" s="35" t="s">
        <v>597</v>
      </c>
      <c r="D1404" s="5" t="s">
        <v>577</v>
      </c>
      <c r="E1404" s="57" t="s">
        <v>578</v>
      </c>
      <c r="F1404" s="57" t="s">
        <v>579</v>
      </c>
      <c r="G1404" s="57" t="s">
        <v>578</v>
      </c>
      <c r="H1404" s="57" t="s">
        <v>580</v>
      </c>
      <c r="I1404" s="57" t="s">
        <v>2243</v>
      </c>
      <c r="J1404" s="57" t="s">
        <v>282</v>
      </c>
      <c r="K1404" s="57" t="s">
        <v>591</v>
      </c>
      <c r="L1404" s="11" t="s">
        <v>914</v>
      </c>
      <c r="M1404" s="22">
        <v>1</v>
      </c>
      <c r="N1404" s="46">
        <v>17857</v>
      </c>
      <c r="O1404" s="49">
        <f t="shared" si="29"/>
        <v>17857</v>
      </c>
      <c r="P1404" s="5" t="s">
        <v>391</v>
      </c>
      <c r="Q1404" s="15" t="s">
        <v>1471</v>
      </c>
      <c r="R1404" s="11" t="s">
        <v>1021</v>
      </c>
      <c r="S1404" s="22">
        <v>100</v>
      </c>
    </row>
    <row r="1405" spans="1:19" s="13" customFormat="1" ht="76.5">
      <c r="A1405" s="5">
        <v>1390</v>
      </c>
      <c r="B1405" s="29" t="s">
        <v>941</v>
      </c>
      <c r="C1405" s="35" t="s">
        <v>597</v>
      </c>
      <c r="D1405" s="5" t="s">
        <v>577</v>
      </c>
      <c r="E1405" s="57" t="s">
        <v>578</v>
      </c>
      <c r="F1405" s="57" t="s">
        <v>579</v>
      </c>
      <c r="G1405" s="57" t="s">
        <v>578</v>
      </c>
      <c r="H1405" s="57" t="s">
        <v>580</v>
      </c>
      <c r="I1405" s="57" t="s">
        <v>2243</v>
      </c>
      <c r="J1405" s="57" t="s">
        <v>282</v>
      </c>
      <c r="K1405" s="57" t="s">
        <v>591</v>
      </c>
      <c r="L1405" s="11" t="s">
        <v>914</v>
      </c>
      <c r="M1405" s="22">
        <v>1</v>
      </c>
      <c r="N1405" s="46">
        <v>17857</v>
      </c>
      <c r="O1405" s="49">
        <f t="shared" si="29"/>
        <v>17857</v>
      </c>
      <c r="P1405" s="5" t="s">
        <v>502</v>
      </c>
      <c r="Q1405" s="15" t="s">
        <v>1471</v>
      </c>
      <c r="R1405" s="11" t="s">
        <v>789</v>
      </c>
      <c r="S1405" s="5">
        <v>100</v>
      </c>
    </row>
    <row r="1406" spans="1:19" s="13" customFormat="1" ht="76.5">
      <c r="A1406" s="5">
        <v>1391</v>
      </c>
      <c r="B1406" s="29" t="s">
        <v>941</v>
      </c>
      <c r="C1406" s="35" t="s">
        <v>597</v>
      </c>
      <c r="D1406" s="5" t="s">
        <v>577</v>
      </c>
      <c r="E1406" s="57" t="s">
        <v>578</v>
      </c>
      <c r="F1406" s="57" t="s">
        <v>579</v>
      </c>
      <c r="G1406" s="57" t="s">
        <v>578</v>
      </c>
      <c r="H1406" s="57" t="s">
        <v>580</v>
      </c>
      <c r="I1406" s="57" t="s">
        <v>2243</v>
      </c>
      <c r="J1406" s="57" t="s">
        <v>282</v>
      </c>
      <c r="K1406" s="57" t="s">
        <v>591</v>
      </c>
      <c r="L1406" s="11" t="s">
        <v>914</v>
      </c>
      <c r="M1406" s="22">
        <v>1</v>
      </c>
      <c r="N1406" s="46">
        <f>O1406/M1406</f>
        <v>53571</v>
      </c>
      <c r="O1406" s="49">
        <v>53571</v>
      </c>
      <c r="P1406" s="5" t="s">
        <v>391</v>
      </c>
      <c r="Q1406" s="15" t="s">
        <v>1471</v>
      </c>
      <c r="R1406" s="11" t="s">
        <v>2022</v>
      </c>
      <c r="S1406" s="22">
        <v>100</v>
      </c>
    </row>
    <row r="1407" spans="1:19" ht="76.5" outlineLevel="1">
      <c r="A1407" s="5">
        <v>1392</v>
      </c>
      <c r="B1407" s="29" t="s">
        <v>710</v>
      </c>
      <c r="C1407" s="35" t="s">
        <v>597</v>
      </c>
      <c r="D1407" s="5" t="s">
        <v>577</v>
      </c>
      <c r="E1407" s="57" t="s">
        <v>578</v>
      </c>
      <c r="F1407" s="57" t="s">
        <v>579</v>
      </c>
      <c r="G1407" s="57" t="s">
        <v>578</v>
      </c>
      <c r="H1407" s="57" t="s">
        <v>580</v>
      </c>
      <c r="I1407" s="57" t="s">
        <v>2243</v>
      </c>
      <c r="J1407" s="57" t="s">
        <v>282</v>
      </c>
      <c r="K1407" s="57" t="s">
        <v>591</v>
      </c>
      <c r="L1407" s="11" t="s">
        <v>914</v>
      </c>
      <c r="M1407" s="22">
        <v>1</v>
      </c>
      <c r="N1407" s="46">
        <v>17857</v>
      </c>
      <c r="O1407" s="49">
        <f t="shared" ref="O1407:O1465" si="30">M1407*N1407</f>
        <v>17857</v>
      </c>
      <c r="P1407" s="5" t="s">
        <v>393</v>
      </c>
      <c r="Q1407" s="15" t="s">
        <v>1471</v>
      </c>
      <c r="R1407" s="11" t="s">
        <v>2027</v>
      </c>
      <c r="S1407" s="22">
        <v>100</v>
      </c>
    </row>
    <row r="1408" spans="1:19" s="13" customFormat="1" ht="76.5">
      <c r="A1408" s="5">
        <v>1393</v>
      </c>
      <c r="B1408" s="29" t="s">
        <v>941</v>
      </c>
      <c r="C1408" s="35" t="s">
        <v>597</v>
      </c>
      <c r="D1408" s="5" t="s">
        <v>577</v>
      </c>
      <c r="E1408" s="57" t="s">
        <v>578</v>
      </c>
      <c r="F1408" s="57" t="s">
        <v>579</v>
      </c>
      <c r="G1408" s="57" t="s">
        <v>578</v>
      </c>
      <c r="H1408" s="57" t="s">
        <v>580</v>
      </c>
      <c r="I1408" s="57" t="s">
        <v>2243</v>
      </c>
      <c r="J1408" s="57" t="s">
        <v>282</v>
      </c>
      <c r="K1408" s="57" t="s">
        <v>591</v>
      </c>
      <c r="L1408" s="11" t="s">
        <v>914</v>
      </c>
      <c r="M1408" s="22">
        <v>1</v>
      </c>
      <c r="N1408" s="46">
        <v>17857</v>
      </c>
      <c r="O1408" s="49">
        <f t="shared" si="30"/>
        <v>17857</v>
      </c>
      <c r="P1408" s="5" t="s">
        <v>391</v>
      </c>
      <c r="Q1408" s="15" t="s">
        <v>1471</v>
      </c>
      <c r="R1408" s="11" t="s">
        <v>2023</v>
      </c>
      <c r="S1408" s="22">
        <v>100</v>
      </c>
    </row>
    <row r="1409" spans="1:19" ht="76.5" outlineLevel="1">
      <c r="A1409" s="5">
        <v>1394</v>
      </c>
      <c r="B1409" s="29" t="s">
        <v>710</v>
      </c>
      <c r="C1409" s="35" t="s">
        <v>597</v>
      </c>
      <c r="D1409" s="5" t="s">
        <v>577</v>
      </c>
      <c r="E1409" s="57" t="s">
        <v>578</v>
      </c>
      <c r="F1409" s="57" t="s">
        <v>579</v>
      </c>
      <c r="G1409" s="57" t="s">
        <v>578</v>
      </c>
      <c r="H1409" s="57" t="s">
        <v>580</v>
      </c>
      <c r="I1409" s="57" t="s">
        <v>2243</v>
      </c>
      <c r="J1409" s="57" t="s">
        <v>282</v>
      </c>
      <c r="K1409" s="57" t="s">
        <v>591</v>
      </c>
      <c r="L1409" s="11" t="s">
        <v>914</v>
      </c>
      <c r="M1409" s="22">
        <v>1</v>
      </c>
      <c r="N1409" s="46">
        <v>17857</v>
      </c>
      <c r="O1409" s="49">
        <f t="shared" si="30"/>
        <v>17857</v>
      </c>
      <c r="P1409" s="5" t="s">
        <v>393</v>
      </c>
      <c r="Q1409" s="15" t="s">
        <v>1471</v>
      </c>
      <c r="R1409" s="11" t="s">
        <v>633</v>
      </c>
      <c r="S1409" s="22">
        <v>100</v>
      </c>
    </row>
    <row r="1410" spans="1:19" ht="76.5" outlineLevel="1">
      <c r="A1410" s="5">
        <v>1395</v>
      </c>
      <c r="B1410" s="29" t="s">
        <v>941</v>
      </c>
      <c r="C1410" s="35" t="s">
        <v>597</v>
      </c>
      <c r="D1410" s="5" t="s">
        <v>577</v>
      </c>
      <c r="E1410" s="57" t="s">
        <v>578</v>
      </c>
      <c r="F1410" s="57" t="s">
        <v>579</v>
      </c>
      <c r="G1410" s="57" t="s">
        <v>578</v>
      </c>
      <c r="H1410" s="57" t="s">
        <v>580</v>
      </c>
      <c r="I1410" s="57" t="s">
        <v>2243</v>
      </c>
      <c r="J1410" s="57" t="s">
        <v>282</v>
      </c>
      <c r="K1410" s="57" t="s">
        <v>591</v>
      </c>
      <c r="L1410" s="11" t="s">
        <v>914</v>
      </c>
      <c r="M1410" s="22">
        <v>1</v>
      </c>
      <c r="N1410" s="46">
        <v>17857</v>
      </c>
      <c r="O1410" s="49">
        <f t="shared" si="30"/>
        <v>17857</v>
      </c>
      <c r="P1410" s="5" t="s">
        <v>391</v>
      </c>
      <c r="Q1410" s="15" t="s">
        <v>1471</v>
      </c>
      <c r="R1410" s="11">
        <v>311000000</v>
      </c>
      <c r="S1410" s="22">
        <v>100</v>
      </c>
    </row>
    <row r="1411" spans="1:19" ht="76.5" outlineLevel="1">
      <c r="A1411" s="5">
        <v>1396</v>
      </c>
      <c r="B1411" s="29" t="s">
        <v>710</v>
      </c>
      <c r="C1411" s="35" t="s">
        <v>597</v>
      </c>
      <c r="D1411" s="5" t="s">
        <v>577</v>
      </c>
      <c r="E1411" s="57" t="s">
        <v>578</v>
      </c>
      <c r="F1411" s="57" t="s">
        <v>579</v>
      </c>
      <c r="G1411" s="57" t="s">
        <v>578</v>
      </c>
      <c r="H1411" s="57" t="s">
        <v>580</v>
      </c>
      <c r="I1411" s="57" t="s">
        <v>2243</v>
      </c>
      <c r="J1411" s="57" t="s">
        <v>282</v>
      </c>
      <c r="K1411" s="57" t="s">
        <v>591</v>
      </c>
      <c r="L1411" s="11" t="s">
        <v>914</v>
      </c>
      <c r="M1411" s="22">
        <v>1</v>
      </c>
      <c r="N1411" s="46">
        <v>17857</v>
      </c>
      <c r="O1411" s="49">
        <f t="shared" si="30"/>
        <v>17857</v>
      </c>
      <c r="P1411" s="5" t="s">
        <v>393</v>
      </c>
      <c r="Q1411" s="15" t="s">
        <v>1471</v>
      </c>
      <c r="R1411" s="11" t="s">
        <v>2024</v>
      </c>
      <c r="S1411" s="5">
        <v>100</v>
      </c>
    </row>
    <row r="1412" spans="1:19" ht="76.5" outlineLevel="1">
      <c r="A1412" s="5">
        <v>1397</v>
      </c>
      <c r="B1412" s="29" t="s">
        <v>710</v>
      </c>
      <c r="C1412" s="35" t="s">
        <v>597</v>
      </c>
      <c r="D1412" s="5" t="s">
        <v>577</v>
      </c>
      <c r="E1412" s="57" t="s">
        <v>578</v>
      </c>
      <c r="F1412" s="57" t="s">
        <v>579</v>
      </c>
      <c r="G1412" s="57" t="s">
        <v>578</v>
      </c>
      <c r="H1412" s="57" t="s">
        <v>580</v>
      </c>
      <c r="I1412" s="57" t="s">
        <v>2243</v>
      </c>
      <c r="J1412" s="57" t="s">
        <v>282</v>
      </c>
      <c r="K1412" s="57" t="s">
        <v>591</v>
      </c>
      <c r="L1412" s="11" t="s">
        <v>914</v>
      </c>
      <c r="M1412" s="22">
        <v>1</v>
      </c>
      <c r="N1412" s="46">
        <v>17857</v>
      </c>
      <c r="O1412" s="49">
        <f t="shared" si="30"/>
        <v>17857</v>
      </c>
      <c r="P1412" s="5" t="s">
        <v>393</v>
      </c>
      <c r="Q1412" s="15" t="s">
        <v>1471</v>
      </c>
      <c r="R1412" s="11">
        <v>351000000</v>
      </c>
      <c r="S1412" s="22">
        <v>100</v>
      </c>
    </row>
    <row r="1413" spans="1:19" ht="76.5" outlineLevel="1">
      <c r="A1413" s="5">
        <v>1398</v>
      </c>
      <c r="B1413" s="29" t="s">
        <v>710</v>
      </c>
      <c r="C1413" s="35" t="s">
        <v>597</v>
      </c>
      <c r="D1413" s="5" t="s">
        <v>577</v>
      </c>
      <c r="E1413" s="57" t="s">
        <v>578</v>
      </c>
      <c r="F1413" s="57" t="s">
        <v>579</v>
      </c>
      <c r="G1413" s="57" t="s">
        <v>578</v>
      </c>
      <c r="H1413" s="57" t="s">
        <v>580</v>
      </c>
      <c r="I1413" s="57" t="s">
        <v>2243</v>
      </c>
      <c r="J1413" s="57" t="s">
        <v>282</v>
      </c>
      <c r="K1413" s="57" t="s">
        <v>591</v>
      </c>
      <c r="L1413" s="11" t="s">
        <v>914</v>
      </c>
      <c r="M1413" s="22">
        <v>1</v>
      </c>
      <c r="N1413" s="46">
        <v>17857</v>
      </c>
      <c r="O1413" s="49">
        <f t="shared" si="30"/>
        <v>17857</v>
      </c>
      <c r="P1413" s="5" t="s">
        <v>393</v>
      </c>
      <c r="Q1413" s="15" t="s">
        <v>1471</v>
      </c>
      <c r="R1413" s="11" t="s">
        <v>925</v>
      </c>
      <c r="S1413" s="22">
        <v>100</v>
      </c>
    </row>
    <row r="1414" spans="1:19" ht="76.5" outlineLevel="1">
      <c r="A1414" s="5">
        <v>1399</v>
      </c>
      <c r="B1414" s="29" t="s">
        <v>710</v>
      </c>
      <c r="C1414" s="35" t="s">
        <v>597</v>
      </c>
      <c r="D1414" s="5" t="s">
        <v>577</v>
      </c>
      <c r="E1414" s="57" t="s">
        <v>578</v>
      </c>
      <c r="F1414" s="57" t="s">
        <v>579</v>
      </c>
      <c r="G1414" s="57" t="s">
        <v>578</v>
      </c>
      <c r="H1414" s="57" t="s">
        <v>580</v>
      </c>
      <c r="I1414" s="57" t="s">
        <v>2243</v>
      </c>
      <c r="J1414" s="57" t="s">
        <v>282</v>
      </c>
      <c r="K1414" s="57" t="s">
        <v>591</v>
      </c>
      <c r="L1414" s="11" t="s">
        <v>914</v>
      </c>
      <c r="M1414" s="22">
        <v>1</v>
      </c>
      <c r="N1414" s="46">
        <v>17857</v>
      </c>
      <c r="O1414" s="49">
        <f t="shared" si="30"/>
        <v>17857</v>
      </c>
      <c r="P1414" s="5" t="s">
        <v>393</v>
      </c>
      <c r="Q1414" s="15" t="s">
        <v>1471</v>
      </c>
      <c r="R1414" s="11">
        <v>431000000</v>
      </c>
      <c r="S1414" s="22">
        <v>100</v>
      </c>
    </row>
    <row r="1415" spans="1:19" ht="76.5" outlineLevel="1">
      <c r="A1415" s="5">
        <v>1400</v>
      </c>
      <c r="B1415" s="29" t="s">
        <v>710</v>
      </c>
      <c r="C1415" s="35" t="s">
        <v>597</v>
      </c>
      <c r="D1415" s="5" t="s">
        <v>577</v>
      </c>
      <c r="E1415" s="57" t="s">
        <v>578</v>
      </c>
      <c r="F1415" s="57" t="s">
        <v>579</v>
      </c>
      <c r="G1415" s="57" t="s">
        <v>578</v>
      </c>
      <c r="H1415" s="57" t="s">
        <v>580</v>
      </c>
      <c r="I1415" s="57" t="s">
        <v>2243</v>
      </c>
      <c r="J1415" s="57" t="s">
        <v>282</v>
      </c>
      <c r="K1415" s="57" t="s">
        <v>591</v>
      </c>
      <c r="L1415" s="11" t="s">
        <v>914</v>
      </c>
      <c r="M1415" s="52">
        <v>1</v>
      </c>
      <c r="N1415" s="46">
        <v>17857</v>
      </c>
      <c r="O1415" s="49">
        <f t="shared" si="30"/>
        <v>17857</v>
      </c>
      <c r="P1415" s="5" t="s">
        <v>393</v>
      </c>
      <c r="Q1415" s="15" t="s">
        <v>1471</v>
      </c>
      <c r="R1415" s="11" t="s">
        <v>715</v>
      </c>
      <c r="S1415" s="22">
        <v>100</v>
      </c>
    </row>
    <row r="1416" spans="1:19" s="32" customFormat="1" ht="54.75" customHeight="1">
      <c r="A1416" s="5">
        <v>1401</v>
      </c>
      <c r="B1416" s="29" t="s">
        <v>710</v>
      </c>
      <c r="C1416" s="35" t="s">
        <v>597</v>
      </c>
      <c r="D1416" s="5" t="s">
        <v>577</v>
      </c>
      <c r="E1416" s="57" t="s">
        <v>578</v>
      </c>
      <c r="F1416" s="57" t="s">
        <v>579</v>
      </c>
      <c r="G1416" s="57" t="s">
        <v>578</v>
      </c>
      <c r="H1416" s="57" t="s">
        <v>580</v>
      </c>
      <c r="I1416" s="57" t="s">
        <v>2243</v>
      </c>
      <c r="J1416" s="57" t="s">
        <v>282</v>
      </c>
      <c r="K1416" s="57" t="s">
        <v>591</v>
      </c>
      <c r="L1416" s="11" t="s">
        <v>914</v>
      </c>
      <c r="M1416" s="22">
        <v>1</v>
      </c>
      <c r="N1416" s="46">
        <v>17857</v>
      </c>
      <c r="O1416" s="49">
        <f t="shared" si="30"/>
        <v>17857</v>
      </c>
      <c r="P1416" s="5" t="s">
        <v>393</v>
      </c>
      <c r="Q1416" s="15" t="s">
        <v>1471</v>
      </c>
      <c r="R1416" s="11">
        <v>551000000</v>
      </c>
      <c r="S1416" s="22">
        <v>100</v>
      </c>
    </row>
    <row r="1417" spans="1:19" ht="76.5" outlineLevel="1">
      <c r="A1417" s="5">
        <v>1402</v>
      </c>
      <c r="B1417" s="29" t="s">
        <v>710</v>
      </c>
      <c r="C1417" s="35" t="s">
        <v>597</v>
      </c>
      <c r="D1417" s="5" t="s">
        <v>577</v>
      </c>
      <c r="E1417" s="57" t="s">
        <v>578</v>
      </c>
      <c r="F1417" s="57" t="s">
        <v>579</v>
      </c>
      <c r="G1417" s="57" t="s">
        <v>578</v>
      </c>
      <c r="H1417" s="57" t="s">
        <v>580</v>
      </c>
      <c r="I1417" s="57" t="s">
        <v>2243</v>
      </c>
      <c r="J1417" s="57" t="s">
        <v>282</v>
      </c>
      <c r="K1417" s="57" t="s">
        <v>591</v>
      </c>
      <c r="L1417" s="11" t="s">
        <v>914</v>
      </c>
      <c r="M1417" s="22">
        <v>1</v>
      </c>
      <c r="N1417" s="46">
        <v>17857</v>
      </c>
      <c r="O1417" s="49">
        <f t="shared" si="30"/>
        <v>17857</v>
      </c>
      <c r="P1417" s="5" t="s">
        <v>393</v>
      </c>
      <c r="Q1417" s="15" t="s">
        <v>1471</v>
      </c>
      <c r="R1417" s="11">
        <v>591000000</v>
      </c>
      <c r="S1417" s="22">
        <v>100</v>
      </c>
    </row>
    <row r="1418" spans="1:19" ht="76.5" outlineLevel="1">
      <c r="A1418" s="5">
        <v>1403</v>
      </c>
      <c r="B1418" s="29" t="s">
        <v>710</v>
      </c>
      <c r="C1418" s="35" t="s">
        <v>597</v>
      </c>
      <c r="D1418" s="5" t="s">
        <v>577</v>
      </c>
      <c r="E1418" s="57" t="s">
        <v>578</v>
      </c>
      <c r="F1418" s="57" t="s">
        <v>579</v>
      </c>
      <c r="G1418" s="57" t="s">
        <v>578</v>
      </c>
      <c r="H1418" s="57" t="s">
        <v>580</v>
      </c>
      <c r="I1418" s="57" t="s">
        <v>2243</v>
      </c>
      <c r="J1418" s="57" t="s">
        <v>282</v>
      </c>
      <c r="K1418" s="57" t="s">
        <v>591</v>
      </c>
      <c r="L1418" s="11" t="s">
        <v>914</v>
      </c>
      <c r="M1418" s="22">
        <v>1</v>
      </c>
      <c r="N1418" s="46">
        <v>17857</v>
      </c>
      <c r="O1418" s="49">
        <f t="shared" si="30"/>
        <v>17857</v>
      </c>
      <c r="P1418" s="5" t="s">
        <v>393</v>
      </c>
      <c r="Q1418" s="15" t="s">
        <v>1471</v>
      </c>
      <c r="R1418" s="11" t="s">
        <v>2029</v>
      </c>
      <c r="S1418" s="5">
        <v>100</v>
      </c>
    </row>
    <row r="1419" spans="1:19" ht="76.5" outlineLevel="1">
      <c r="A1419" s="5">
        <v>1404</v>
      </c>
      <c r="B1419" s="29" t="s">
        <v>941</v>
      </c>
      <c r="C1419" s="35" t="s">
        <v>597</v>
      </c>
      <c r="D1419" s="5" t="s">
        <v>577</v>
      </c>
      <c r="E1419" s="57" t="s">
        <v>578</v>
      </c>
      <c r="F1419" s="57" t="s">
        <v>579</v>
      </c>
      <c r="G1419" s="57" t="s">
        <v>578</v>
      </c>
      <c r="H1419" s="57" t="s">
        <v>580</v>
      </c>
      <c r="I1419" s="57" t="s">
        <v>2242</v>
      </c>
      <c r="J1419" s="57" t="s">
        <v>289</v>
      </c>
      <c r="K1419" s="57" t="s">
        <v>591</v>
      </c>
      <c r="L1419" s="11" t="s">
        <v>914</v>
      </c>
      <c r="M1419" s="22">
        <v>1</v>
      </c>
      <c r="N1419" s="46">
        <v>17857</v>
      </c>
      <c r="O1419" s="49">
        <f t="shared" si="30"/>
        <v>17857</v>
      </c>
      <c r="P1419" s="5" t="s">
        <v>612</v>
      </c>
      <c r="Q1419" s="15" t="s">
        <v>1471</v>
      </c>
      <c r="R1419" s="11" t="s">
        <v>2030</v>
      </c>
      <c r="S1419" s="22">
        <v>100</v>
      </c>
    </row>
    <row r="1420" spans="1:19" ht="76.5" outlineLevel="1">
      <c r="A1420" s="5">
        <v>1405</v>
      </c>
      <c r="B1420" s="29" t="s">
        <v>941</v>
      </c>
      <c r="C1420" s="35" t="s">
        <v>597</v>
      </c>
      <c r="D1420" s="5" t="s">
        <v>577</v>
      </c>
      <c r="E1420" s="57" t="s">
        <v>578</v>
      </c>
      <c r="F1420" s="57" t="s">
        <v>579</v>
      </c>
      <c r="G1420" s="57" t="s">
        <v>578</v>
      </c>
      <c r="H1420" s="57" t="s">
        <v>580</v>
      </c>
      <c r="I1420" s="57" t="s">
        <v>2242</v>
      </c>
      <c r="J1420" s="57" t="s">
        <v>289</v>
      </c>
      <c r="K1420" s="57" t="s">
        <v>591</v>
      </c>
      <c r="L1420" s="11" t="s">
        <v>914</v>
      </c>
      <c r="M1420" s="22">
        <v>1</v>
      </c>
      <c r="N1420" s="46">
        <v>17857</v>
      </c>
      <c r="O1420" s="49">
        <f t="shared" si="30"/>
        <v>17857</v>
      </c>
      <c r="P1420" s="5" t="s">
        <v>501</v>
      </c>
      <c r="Q1420" s="15" t="s">
        <v>1471</v>
      </c>
      <c r="R1420" s="11" t="s">
        <v>1021</v>
      </c>
      <c r="S1420" s="22">
        <v>100</v>
      </c>
    </row>
    <row r="1421" spans="1:19" ht="76.5" outlineLevel="1">
      <c r="A1421" s="5">
        <v>1406</v>
      </c>
      <c r="B1421" s="29" t="s">
        <v>941</v>
      </c>
      <c r="C1421" s="35" t="s">
        <v>597</v>
      </c>
      <c r="D1421" s="5" t="s">
        <v>577</v>
      </c>
      <c r="E1421" s="57" t="s">
        <v>578</v>
      </c>
      <c r="F1421" s="57" t="s">
        <v>579</v>
      </c>
      <c r="G1421" s="57" t="s">
        <v>578</v>
      </c>
      <c r="H1421" s="57" t="s">
        <v>580</v>
      </c>
      <c r="I1421" s="57" t="s">
        <v>2242</v>
      </c>
      <c r="J1421" s="57" t="s">
        <v>289</v>
      </c>
      <c r="K1421" s="57" t="s">
        <v>591</v>
      </c>
      <c r="L1421" s="11" t="s">
        <v>914</v>
      </c>
      <c r="M1421" s="22">
        <v>1</v>
      </c>
      <c r="N1421" s="46">
        <v>17857</v>
      </c>
      <c r="O1421" s="49">
        <f t="shared" si="30"/>
        <v>17857</v>
      </c>
      <c r="P1421" s="5" t="s">
        <v>502</v>
      </c>
      <c r="Q1421" s="15" t="s">
        <v>1471</v>
      </c>
      <c r="R1421" s="11" t="s">
        <v>789</v>
      </c>
      <c r="S1421" s="5">
        <v>100</v>
      </c>
    </row>
    <row r="1422" spans="1:19" s="13" customFormat="1" ht="76.5">
      <c r="A1422" s="5">
        <v>1407</v>
      </c>
      <c r="B1422" s="29" t="s">
        <v>941</v>
      </c>
      <c r="C1422" s="35" t="s">
        <v>597</v>
      </c>
      <c r="D1422" s="5" t="s">
        <v>577</v>
      </c>
      <c r="E1422" s="57" t="s">
        <v>578</v>
      </c>
      <c r="F1422" s="57" t="s">
        <v>579</v>
      </c>
      <c r="G1422" s="57" t="s">
        <v>578</v>
      </c>
      <c r="H1422" s="57" t="s">
        <v>580</v>
      </c>
      <c r="I1422" s="57" t="s">
        <v>2242</v>
      </c>
      <c r="J1422" s="57" t="s">
        <v>289</v>
      </c>
      <c r="K1422" s="57" t="s">
        <v>591</v>
      </c>
      <c r="L1422" s="11" t="s">
        <v>914</v>
      </c>
      <c r="M1422" s="22">
        <v>1</v>
      </c>
      <c r="N1422" s="46">
        <v>17857</v>
      </c>
      <c r="O1422" s="49">
        <f t="shared" si="30"/>
        <v>17857</v>
      </c>
      <c r="P1422" s="5" t="s">
        <v>501</v>
      </c>
      <c r="Q1422" s="15" t="s">
        <v>1471</v>
      </c>
      <c r="R1422" s="11" t="s">
        <v>2023</v>
      </c>
      <c r="S1422" s="22">
        <v>100</v>
      </c>
    </row>
    <row r="1423" spans="1:19" ht="76.5" outlineLevel="1">
      <c r="A1423" s="5">
        <v>1408</v>
      </c>
      <c r="B1423" s="29" t="s">
        <v>941</v>
      </c>
      <c r="C1423" s="35" t="s">
        <v>597</v>
      </c>
      <c r="D1423" s="5" t="s">
        <v>577</v>
      </c>
      <c r="E1423" s="57" t="s">
        <v>578</v>
      </c>
      <c r="F1423" s="57" t="s">
        <v>579</v>
      </c>
      <c r="G1423" s="57" t="s">
        <v>578</v>
      </c>
      <c r="H1423" s="57" t="s">
        <v>580</v>
      </c>
      <c r="I1423" s="57" t="s">
        <v>2242</v>
      </c>
      <c r="J1423" s="57" t="s">
        <v>289</v>
      </c>
      <c r="K1423" s="57" t="s">
        <v>591</v>
      </c>
      <c r="L1423" s="11" t="s">
        <v>914</v>
      </c>
      <c r="M1423" s="22">
        <v>1</v>
      </c>
      <c r="N1423" s="46">
        <v>17857</v>
      </c>
      <c r="O1423" s="49">
        <f t="shared" si="30"/>
        <v>17857</v>
      </c>
      <c r="P1423" s="5" t="s">
        <v>612</v>
      </c>
      <c r="Q1423" s="15" t="s">
        <v>1471</v>
      </c>
      <c r="R1423" s="11" t="s">
        <v>633</v>
      </c>
      <c r="S1423" s="22">
        <v>100</v>
      </c>
    </row>
    <row r="1424" spans="1:19" ht="76.5" outlineLevel="1">
      <c r="A1424" s="5">
        <v>1409</v>
      </c>
      <c r="B1424" s="29" t="s">
        <v>941</v>
      </c>
      <c r="C1424" s="35" t="s">
        <v>597</v>
      </c>
      <c r="D1424" s="5" t="s">
        <v>577</v>
      </c>
      <c r="E1424" s="57" t="s">
        <v>578</v>
      </c>
      <c r="F1424" s="57" t="s">
        <v>579</v>
      </c>
      <c r="G1424" s="57" t="s">
        <v>578</v>
      </c>
      <c r="H1424" s="57" t="s">
        <v>580</v>
      </c>
      <c r="I1424" s="57" t="s">
        <v>2242</v>
      </c>
      <c r="J1424" s="57" t="s">
        <v>289</v>
      </c>
      <c r="K1424" s="57" t="s">
        <v>591</v>
      </c>
      <c r="L1424" s="11" t="s">
        <v>914</v>
      </c>
      <c r="M1424" s="22">
        <v>1</v>
      </c>
      <c r="N1424" s="46">
        <v>17857</v>
      </c>
      <c r="O1424" s="49">
        <f t="shared" si="30"/>
        <v>17857</v>
      </c>
      <c r="P1424" s="5" t="s">
        <v>391</v>
      </c>
      <c r="Q1424" s="15" t="s">
        <v>1471</v>
      </c>
      <c r="R1424" s="11">
        <v>311000000</v>
      </c>
      <c r="S1424" s="22">
        <v>100</v>
      </c>
    </row>
    <row r="1425" spans="1:19" ht="76.5" outlineLevel="1">
      <c r="A1425" s="5">
        <v>1410</v>
      </c>
      <c r="B1425" s="29" t="s">
        <v>710</v>
      </c>
      <c r="C1425" s="35" t="s">
        <v>597</v>
      </c>
      <c r="D1425" s="5" t="s">
        <v>577</v>
      </c>
      <c r="E1425" s="57" t="s">
        <v>578</v>
      </c>
      <c r="F1425" s="57" t="s">
        <v>579</v>
      </c>
      <c r="G1425" s="57" t="s">
        <v>578</v>
      </c>
      <c r="H1425" s="57" t="s">
        <v>580</v>
      </c>
      <c r="I1425" s="57" t="s">
        <v>2242</v>
      </c>
      <c r="J1425" s="57" t="s">
        <v>289</v>
      </c>
      <c r="K1425" s="57" t="s">
        <v>591</v>
      </c>
      <c r="L1425" s="11" t="s">
        <v>914</v>
      </c>
      <c r="M1425" s="22">
        <v>1</v>
      </c>
      <c r="N1425" s="46">
        <v>17857</v>
      </c>
      <c r="O1425" s="49">
        <f t="shared" si="30"/>
        <v>17857</v>
      </c>
      <c r="P1425" s="5" t="s">
        <v>501</v>
      </c>
      <c r="Q1425" s="15" t="s">
        <v>1471</v>
      </c>
      <c r="R1425" s="11" t="s">
        <v>2024</v>
      </c>
      <c r="S1425" s="5">
        <v>100</v>
      </c>
    </row>
    <row r="1426" spans="1:19" ht="76.5" outlineLevel="1">
      <c r="A1426" s="5">
        <v>1411</v>
      </c>
      <c r="B1426" s="29" t="s">
        <v>941</v>
      </c>
      <c r="C1426" s="35" t="s">
        <v>597</v>
      </c>
      <c r="D1426" s="5" t="s">
        <v>577</v>
      </c>
      <c r="E1426" s="57" t="s">
        <v>578</v>
      </c>
      <c r="F1426" s="57" t="s">
        <v>579</v>
      </c>
      <c r="G1426" s="57" t="s">
        <v>578</v>
      </c>
      <c r="H1426" s="57" t="s">
        <v>580</v>
      </c>
      <c r="I1426" s="57" t="s">
        <v>2242</v>
      </c>
      <c r="J1426" s="57" t="s">
        <v>289</v>
      </c>
      <c r="K1426" s="57" t="s">
        <v>591</v>
      </c>
      <c r="L1426" s="11" t="s">
        <v>914</v>
      </c>
      <c r="M1426" s="22">
        <v>1</v>
      </c>
      <c r="N1426" s="46">
        <f>O1426/M1426</f>
        <v>0</v>
      </c>
      <c r="O1426" s="49">
        <f>17857-17857</f>
        <v>0</v>
      </c>
      <c r="P1426" s="5" t="s">
        <v>612</v>
      </c>
      <c r="Q1426" s="15" t="s">
        <v>1471</v>
      </c>
      <c r="R1426" s="11">
        <v>351000000</v>
      </c>
      <c r="S1426" s="22">
        <v>100</v>
      </c>
    </row>
    <row r="1427" spans="1:19" ht="76.5" outlineLevel="1">
      <c r="A1427" s="5">
        <v>1412</v>
      </c>
      <c r="B1427" s="29" t="s">
        <v>941</v>
      </c>
      <c r="C1427" s="35" t="s">
        <v>597</v>
      </c>
      <c r="D1427" s="5" t="s">
        <v>577</v>
      </c>
      <c r="E1427" s="57" t="s">
        <v>578</v>
      </c>
      <c r="F1427" s="57" t="s">
        <v>579</v>
      </c>
      <c r="G1427" s="57" t="s">
        <v>578</v>
      </c>
      <c r="H1427" s="57" t="s">
        <v>580</v>
      </c>
      <c r="I1427" s="57" t="s">
        <v>2242</v>
      </c>
      <c r="J1427" s="57" t="s">
        <v>289</v>
      </c>
      <c r="K1427" s="57" t="s">
        <v>591</v>
      </c>
      <c r="L1427" s="11" t="s">
        <v>914</v>
      </c>
      <c r="M1427" s="22">
        <v>1</v>
      </c>
      <c r="N1427" s="46">
        <v>17857</v>
      </c>
      <c r="O1427" s="49">
        <f t="shared" si="30"/>
        <v>17857</v>
      </c>
      <c r="P1427" s="5" t="s">
        <v>586</v>
      </c>
      <c r="Q1427" s="15" t="s">
        <v>1471</v>
      </c>
      <c r="R1427" s="11" t="s">
        <v>925</v>
      </c>
      <c r="S1427" s="22">
        <v>100</v>
      </c>
    </row>
    <row r="1428" spans="1:19" ht="76.5" outlineLevel="1">
      <c r="A1428" s="5">
        <v>1413</v>
      </c>
      <c r="B1428" s="29" t="s">
        <v>710</v>
      </c>
      <c r="C1428" s="35" t="s">
        <v>597</v>
      </c>
      <c r="D1428" s="5" t="s">
        <v>577</v>
      </c>
      <c r="E1428" s="57" t="s">
        <v>578</v>
      </c>
      <c r="F1428" s="57" t="s">
        <v>579</v>
      </c>
      <c r="G1428" s="57" t="s">
        <v>578</v>
      </c>
      <c r="H1428" s="57" t="s">
        <v>580</v>
      </c>
      <c r="I1428" s="57" t="s">
        <v>2242</v>
      </c>
      <c r="J1428" s="57" t="s">
        <v>289</v>
      </c>
      <c r="K1428" s="57" t="s">
        <v>591</v>
      </c>
      <c r="L1428" s="11" t="s">
        <v>914</v>
      </c>
      <c r="M1428" s="22">
        <v>1</v>
      </c>
      <c r="N1428" s="46">
        <v>17857</v>
      </c>
      <c r="O1428" s="49">
        <f t="shared" si="30"/>
        <v>17857</v>
      </c>
      <c r="P1428" s="5" t="s">
        <v>612</v>
      </c>
      <c r="Q1428" s="15" t="s">
        <v>1471</v>
      </c>
      <c r="R1428" s="11">
        <v>431000000</v>
      </c>
      <c r="S1428" s="22">
        <v>100</v>
      </c>
    </row>
    <row r="1429" spans="1:19" ht="76.5" outlineLevel="1">
      <c r="A1429" s="5">
        <v>1414</v>
      </c>
      <c r="B1429" s="29" t="s">
        <v>941</v>
      </c>
      <c r="C1429" s="35" t="s">
        <v>597</v>
      </c>
      <c r="D1429" s="5" t="s">
        <v>577</v>
      </c>
      <c r="E1429" s="57" t="s">
        <v>578</v>
      </c>
      <c r="F1429" s="57" t="s">
        <v>579</v>
      </c>
      <c r="G1429" s="57" t="s">
        <v>578</v>
      </c>
      <c r="H1429" s="57" t="s">
        <v>580</v>
      </c>
      <c r="I1429" s="57" t="s">
        <v>2242</v>
      </c>
      <c r="J1429" s="57" t="s">
        <v>289</v>
      </c>
      <c r="K1429" s="57" t="s">
        <v>591</v>
      </c>
      <c r="L1429" s="11" t="s">
        <v>914</v>
      </c>
      <c r="M1429" s="22">
        <v>1</v>
      </c>
      <c r="N1429" s="46">
        <v>17857</v>
      </c>
      <c r="O1429" s="49">
        <f t="shared" si="30"/>
        <v>17857</v>
      </c>
      <c r="P1429" s="5" t="s">
        <v>501</v>
      </c>
      <c r="Q1429" s="15" t="s">
        <v>1471</v>
      </c>
      <c r="R1429" s="11" t="s">
        <v>715</v>
      </c>
      <c r="S1429" s="22">
        <v>100</v>
      </c>
    </row>
    <row r="1430" spans="1:19" s="32" customFormat="1" ht="65.25" customHeight="1">
      <c r="A1430" s="5">
        <v>1415</v>
      </c>
      <c r="B1430" s="29" t="s">
        <v>710</v>
      </c>
      <c r="C1430" s="35" t="s">
        <v>597</v>
      </c>
      <c r="D1430" s="5" t="s">
        <v>577</v>
      </c>
      <c r="E1430" s="57" t="s">
        <v>578</v>
      </c>
      <c r="F1430" s="57" t="s">
        <v>579</v>
      </c>
      <c r="G1430" s="57" t="s">
        <v>578</v>
      </c>
      <c r="H1430" s="57" t="s">
        <v>580</v>
      </c>
      <c r="I1430" s="57" t="s">
        <v>2242</v>
      </c>
      <c r="J1430" s="57" t="s">
        <v>289</v>
      </c>
      <c r="K1430" s="57" t="s">
        <v>591</v>
      </c>
      <c r="L1430" s="11" t="s">
        <v>914</v>
      </c>
      <c r="M1430" s="22">
        <v>1</v>
      </c>
      <c r="N1430" s="46">
        <v>17857</v>
      </c>
      <c r="O1430" s="49">
        <f t="shared" si="30"/>
        <v>17857</v>
      </c>
      <c r="P1430" s="5" t="s">
        <v>586</v>
      </c>
      <c r="Q1430" s="15" t="s">
        <v>1471</v>
      </c>
      <c r="R1430" s="11">
        <v>551000000</v>
      </c>
      <c r="S1430" s="22">
        <v>100</v>
      </c>
    </row>
    <row r="1431" spans="1:19" ht="76.5" outlineLevel="1">
      <c r="A1431" s="5">
        <v>1416</v>
      </c>
      <c r="B1431" s="29" t="s">
        <v>941</v>
      </c>
      <c r="C1431" s="35" t="s">
        <v>597</v>
      </c>
      <c r="D1431" s="5" t="s">
        <v>577</v>
      </c>
      <c r="E1431" s="57" t="s">
        <v>578</v>
      </c>
      <c r="F1431" s="57" t="s">
        <v>579</v>
      </c>
      <c r="G1431" s="57" t="s">
        <v>578</v>
      </c>
      <c r="H1431" s="57" t="s">
        <v>580</v>
      </c>
      <c r="I1431" s="57" t="s">
        <v>2242</v>
      </c>
      <c r="J1431" s="57" t="s">
        <v>289</v>
      </c>
      <c r="K1431" s="57" t="s">
        <v>591</v>
      </c>
      <c r="L1431" s="11" t="s">
        <v>914</v>
      </c>
      <c r="M1431" s="22">
        <v>1</v>
      </c>
      <c r="N1431" s="46">
        <v>17857</v>
      </c>
      <c r="O1431" s="49">
        <f t="shared" si="30"/>
        <v>17857</v>
      </c>
      <c r="P1431" s="5" t="s">
        <v>612</v>
      </c>
      <c r="Q1431" s="15" t="s">
        <v>1471</v>
      </c>
      <c r="R1431" s="11">
        <v>591000000</v>
      </c>
      <c r="S1431" s="22">
        <v>100</v>
      </c>
    </row>
    <row r="1432" spans="1:19" ht="76.5" outlineLevel="1">
      <c r="A1432" s="5">
        <v>1417</v>
      </c>
      <c r="B1432" s="29" t="s">
        <v>710</v>
      </c>
      <c r="C1432" s="35" t="s">
        <v>597</v>
      </c>
      <c r="D1432" s="5" t="s">
        <v>577</v>
      </c>
      <c r="E1432" s="57" t="s">
        <v>578</v>
      </c>
      <c r="F1432" s="57" t="s">
        <v>579</v>
      </c>
      <c r="G1432" s="57" t="s">
        <v>578</v>
      </c>
      <c r="H1432" s="57" t="s">
        <v>580</v>
      </c>
      <c r="I1432" s="57" t="s">
        <v>2242</v>
      </c>
      <c r="J1432" s="57" t="s">
        <v>289</v>
      </c>
      <c r="K1432" s="57" t="s">
        <v>591</v>
      </c>
      <c r="L1432" s="11" t="s">
        <v>914</v>
      </c>
      <c r="M1432" s="22">
        <v>1</v>
      </c>
      <c r="N1432" s="46">
        <v>17857</v>
      </c>
      <c r="O1432" s="49">
        <f t="shared" si="30"/>
        <v>17857</v>
      </c>
      <c r="P1432" s="5" t="s">
        <v>393</v>
      </c>
      <c r="Q1432" s="15" t="s">
        <v>1471</v>
      </c>
      <c r="R1432" s="11" t="s">
        <v>2029</v>
      </c>
      <c r="S1432" s="5">
        <v>100</v>
      </c>
    </row>
    <row r="1433" spans="1:19" ht="63.75" outlineLevel="1">
      <c r="A1433" s="5">
        <v>1418</v>
      </c>
      <c r="B1433" s="15" t="s">
        <v>710</v>
      </c>
      <c r="C1433" s="31" t="s">
        <v>597</v>
      </c>
      <c r="D1433" s="117" t="s">
        <v>1160</v>
      </c>
      <c r="E1433" s="57" t="s">
        <v>1923</v>
      </c>
      <c r="F1433" s="57" t="s">
        <v>1161</v>
      </c>
      <c r="G1433" s="57" t="s">
        <v>1924</v>
      </c>
      <c r="H1433" s="57" t="s">
        <v>1162</v>
      </c>
      <c r="I1433" s="57" t="s">
        <v>1925</v>
      </c>
      <c r="J1433" s="57" t="s">
        <v>84</v>
      </c>
      <c r="K1433" s="57" t="s">
        <v>591</v>
      </c>
      <c r="L1433" s="11" t="s">
        <v>914</v>
      </c>
      <c r="M1433" s="22">
        <v>1</v>
      </c>
      <c r="N1433" s="46">
        <v>312500</v>
      </c>
      <c r="O1433" s="49">
        <f t="shared" si="30"/>
        <v>312500</v>
      </c>
      <c r="P1433" s="5" t="s">
        <v>391</v>
      </c>
      <c r="Q1433" s="15" t="s">
        <v>2376</v>
      </c>
      <c r="R1433" s="11" t="s">
        <v>1175</v>
      </c>
      <c r="S1433" s="22">
        <v>50</v>
      </c>
    </row>
    <row r="1434" spans="1:19" ht="114.75" outlineLevel="1">
      <c r="A1434" s="5">
        <v>1419</v>
      </c>
      <c r="B1434" s="29" t="s">
        <v>710</v>
      </c>
      <c r="C1434" s="35" t="s">
        <v>597</v>
      </c>
      <c r="D1434" s="11" t="s">
        <v>581</v>
      </c>
      <c r="E1434" s="57" t="s">
        <v>2048</v>
      </c>
      <c r="F1434" s="57" t="s">
        <v>582</v>
      </c>
      <c r="G1434" s="57" t="s">
        <v>2048</v>
      </c>
      <c r="H1434" s="57" t="s">
        <v>583</v>
      </c>
      <c r="I1434" s="57" t="s">
        <v>2049</v>
      </c>
      <c r="J1434" s="57" t="s">
        <v>85</v>
      </c>
      <c r="K1434" s="57" t="s">
        <v>591</v>
      </c>
      <c r="L1434" s="11" t="s">
        <v>914</v>
      </c>
      <c r="M1434" s="22">
        <v>1</v>
      </c>
      <c r="N1434" s="46">
        <v>959429</v>
      </c>
      <c r="O1434" s="49">
        <f t="shared" si="30"/>
        <v>959429</v>
      </c>
      <c r="P1434" s="5" t="s">
        <v>393</v>
      </c>
      <c r="Q1434" s="5" t="s">
        <v>766</v>
      </c>
      <c r="R1434" s="11" t="s">
        <v>2030</v>
      </c>
      <c r="S1434" s="22">
        <v>0</v>
      </c>
    </row>
    <row r="1435" spans="1:19" ht="114.75" outlineLevel="1">
      <c r="A1435" s="5">
        <v>1420</v>
      </c>
      <c r="B1435" s="15" t="s">
        <v>710</v>
      </c>
      <c r="C1435" s="31" t="s">
        <v>597</v>
      </c>
      <c r="D1435" s="11" t="s">
        <v>581</v>
      </c>
      <c r="E1435" s="57" t="s">
        <v>2048</v>
      </c>
      <c r="F1435" s="57" t="s">
        <v>582</v>
      </c>
      <c r="G1435" s="57" t="s">
        <v>2048</v>
      </c>
      <c r="H1435" s="57" t="s">
        <v>583</v>
      </c>
      <c r="I1435" s="57" t="s">
        <v>2049</v>
      </c>
      <c r="J1435" s="57" t="s">
        <v>85</v>
      </c>
      <c r="K1435" s="57" t="s">
        <v>591</v>
      </c>
      <c r="L1435" s="11" t="s">
        <v>914</v>
      </c>
      <c r="M1435" s="22">
        <v>1</v>
      </c>
      <c r="N1435" s="46">
        <f>O1435</f>
        <v>0</v>
      </c>
      <c r="O1435" s="49">
        <f>64286-64286</f>
        <v>0</v>
      </c>
      <c r="P1435" s="5" t="s">
        <v>391</v>
      </c>
      <c r="Q1435" s="5" t="s">
        <v>766</v>
      </c>
      <c r="R1435" s="11" t="s">
        <v>1021</v>
      </c>
      <c r="S1435" s="5">
        <v>0</v>
      </c>
    </row>
    <row r="1436" spans="1:19" ht="114.75" outlineLevel="1">
      <c r="A1436" s="5">
        <v>1421</v>
      </c>
      <c r="B1436" s="15" t="s">
        <v>710</v>
      </c>
      <c r="C1436" s="31" t="s">
        <v>597</v>
      </c>
      <c r="D1436" s="11" t="s">
        <v>581</v>
      </c>
      <c r="E1436" s="57" t="s">
        <v>2048</v>
      </c>
      <c r="F1436" s="57" t="s">
        <v>582</v>
      </c>
      <c r="G1436" s="57" t="s">
        <v>2048</v>
      </c>
      <c r="H1436" s="57" t="s">
        <v>583</v>
      </c>
      <c r="I1436" s="57" t="s">
        <v>2049</v>
      </c>
      <c r="J1436" s="57" t="s">
        <v>85</v>
      </c>
      <c r="K1436" s="57" t="s">
        <v>591</v>
      </c>
      <c r="L1436" s="11" t="s">
        <v>914</v>
      </c>
      <c r="M1436" s="22">
        <v>1</v>
      </c>
      <c r="N1436" s="46">
        <v>833036</v>
      </c>
      <c r="O1436" s="49">
        <f t="shared" si="30"/>
        <v>833036</v>
      </c>
      <c r="P1436" s="5" t="s">
        <v>501</v>
      </c>
      <c r="Q1436" s="5" t="s">
        <v>766</v>
      </c>
      <c r="R1436" s="11" t="s">
        <v>789</v>
      </c>
      <c r="S1436" s="5">
        <v>0</v>
      </c>
    </row>
    <row r="1437" spans="1:19" ht="114.75" outlineLevel="1">
      <c r="A1437" s="5">
        <v>1422</v>
      </c>
      <c r="B1437" s="15" t="s">
        <v>710</v>
      </c>
      <c r="C1437" s="31" t="s">
        <v>597</v>
      </c>
      <c r="D1437" s="11" t="s">
        <v>581</v>
      </c>
      <c r="E1437" s="57" t="s">
        <v>2048</v>
      </c>
      <c r="F1437" s="57" t="s">
        <v>582</v>
      </c>
      <c r="G1437" s="57" t="s">
        <v>2048</v>
      </c>
      <c r="H1437" s="57" t="s">
        <v>583</v>
      </c>
      <c r="I1437" s="57" t="s">
        <v>2049</v>
      </c>
      <c r="J1437" s="57" t="s">
        <v>85</v>
      </c>
      <c r="K1437" s="57" t="s">
        <v>591</v>
      </c>
      <c r="L1437" s="11" t="s">
        <v>914</v>
      </c>
      <c r="M1437" s="22">
        <v>1</v>
      </c>
      <c r="N1437" s="46">
        <v>342857</v>
      </c>
      <c r="O1437" s="49">
        <f t="shared" si="30"/>
        <v>342857</v>
      </c>
      <c r="P1437" s="5" t="s">
        <v>391</v>
      </c>
      <c r="Q1437" s="5" t="s">
        <v>766</v>
      </c>
      <c r="R1437" s="11" t="s">
        <v>2022</v>
      </c>
      <c r="S1437" s="22">
        <v>0</v>
      </c>
    </row>
    <row r="1438" spans="1:19" ht="114.75" outlineLevel="1">
      <c r="A1438" s="5">
        <v>1423</v>
      </c>
      <c r="B1438" s="15" t="s">
        <v>710</v>
      </c>
      <c r="C1438" s="31" t="s">
        <v>597</v>
      </c>
      <c r="D1438" s="11" t="s">
        <v>581</v>
      </c>
      <c r="E1438" s="57" t="s">
        <v>2048</v>
      </c>
      <c r="F1438" s="57" t="s">
        <v>582</v>
      </c>
      <c r="G1438" s="57" t="s">
        <v>2048</v>
      </c>
      <c r="H1438" s="57" t="s">
        <v>583</v>
      </c>
      <c r="I1438" s="57" t="s">
        <v>2049</v>
      </c>
      <c r="J1438" s="57" t="s">
        <v>85</v>
      </c>
      <c r="K1438" s="57" t="s">
        <v>1485</v>
      </c>
      <c r="L1438" s="11" t="s">
        <v>914</v>
      </c>
      <c r="M1438" s="22">
        <v>1</v>
      </c>
      <c r="N1438" s="46">
        <v>1785714</v>
      </c>
      <c r="O1438" s="49">
        <f t="shared" si="30"/>
        <v>1785714</v>
      </c>
      <c r="P1438" s="5" t="s">
        <v>393</v>
      </c>
      <c r="Q1438" s="5" t="s">
        <v>766</v>
      </c>
      <c r="R1438" s="11" t="s">
        <v>2027</v>
      </c>
      <c r="S1438" s="22">
        <v>0</v>
      </c>
    </row>
    <row r="1439" spans="1:19" s="13" customFormat="1" ht="114.75">
      <c r="A1439" s="5">
        <v>1424</v>
      </c>
      <c r="B1439" s="15" t="s">
        <v>710</v>
      </c>
      <c r="C1439" s="31" t="s">
        <v>597</v>
      </c>
      <c r="D1439" s="11" t="s">
        <v>581</v>
      </c>
      <c r="E1439" s="57" t="s">
        <v>2048</v>
      </c>
      <c r="F1439" s="57" t="s">
        <v>582</v>
      </c>
      <c r="G1439" s="57" t="s">
        <v>2048</v>
      </c>
      <c r="H1439" s="57" t="s">
        <v>583</v>
      </c>
      <c r="I1439" s="57" t="s">
        <v>2049</v>
      </c>
      <c r="J1439" s="57" t="s">
        <v>85</v>
      </c>
      <c r="K1439" s="57" t="s">
        <v>591</v>
      </c>
      <c r="L1439" s="11" t="s">
        <v>914</v>
      </c>
      <c r="M1439" s="22">
        <v>1</v>
      </c>
      <c r="N1439" s="46">
        <v>156250</v>
      </c>
      <c r="O1439" s="49">
        <f t="shared" si="30"/>
        <v>156250</v>
      </c>
      <c r="P1439" s="5" t="s">
        <v>393</v>
      </c>
      <c r="Q1439" s="5" t="s">
        <v>766</v>
      </c>
      <c r="R1439" s="11" t="s">
        <v>2023</v>
      </c>
      <c r="S1439" s="22">
        <v>100</v>
      </c>
    </row>
    <row r="1440" spans="1:19" ht="114.75" outlineLevel="1">
      <c r="A1440" s="5">
        <v>1425</v>
      </c>
      <c r="B1440" s="15" t="s">
        <v>710</v>
      </c>
      <c r="C1440" s="31" t="s">
        <v>597</v>
      </c>
      <c r="D1440" s="11" t="s">
        <v>581</v>
      </c>
      <c r="E1440" s="57" t="s">
        <v>2048</v>
      </c>
      <c r="F1440" s="57" t="s">
        <v>582</v>
      </c>
      <c r="G1440" s="57" t="s">
        <v>2048</v>
      </c>
      <c r="H1440" s="57" t="s">
        <v>583</v>
      </c>
      <c r="I1440" s="57" t="s">
        <v>2049</v>
      </c>
      <c r="J1440" s="57" t="s">
        <v>85</v>
      </c>
      <c r="K1440" s="57" t="s">
        <v>591</v>
      </c>
      <c r="L1440" s="11" t="s">
        <v>914</v>
      </c>
      <c r="M1440" s="22">
        <v>1</v>
      </c>
      <c r="N1440" s="46">
        <v>1000000</v>
      </c>
      <c r="O1440" s="49">
        <f t="shared" si="30"/>
        <v>1000000</v>
      </c>
      <c r="P1440" s="5" t="s">
        <v>393</v>
      </c>
      <c r="Q1440" s="5" t="s">
        <v>766</v>
      </c>
      <c r="R1440" s="11" t="s">
        <v>633</v>
      </c>
      <c r="S1440" s="22">
        <v>0</v>
      </c>
    </row>
    <row r="1441" spans="1:19" ht="114.75" outlineLevel="1">
      <c r="A1441" s="5">
        <v>1426</v>
      </c>
      <c r="B1441" s="15" t="s">
        <v>710</v>
      </c>
      <c r="C1441" s="31" t="s">
        <v>597</v>
      </c>
      <c r="D1441" s="11" t="s">
        <v>581</v>
      </c>
      <c r="E1441" s="57" t="s">
        <v>2048</v>
      </c>
      <c r="F1441" s="57" t="s">
        <v>582</v>
      </c>
      <c r="G1441" s="57" t="s">
        <v>2048</v>
      </c>
      <c r="H1441" s="57" t="s">
        <v>583</v>
      </c>
      <c r="I1441" s="57" t="s">
        <v>2049</v>
      </c>
      <c r="J1441" s="57" t="s">
        <v>85</v>
      </c>
      <c r="K1441" s="57" t="s">
        <v>591</v>
      </c>
      <c r="L1441" s="11" t="s">
        <v>914</v>
      </c>
      <c r="M1441" s="22">
        <v>1</v>
      </c>
      <c r="N1441" s="46">
        <v>214286</v>
      </c>
      <c r="O1441" s="49">
        <f t="shared" si="30"/>
        <v>214286</v>
      </c>
      <c r="P1441" s="5" t="s">
        <v>515</v>
      </c>
      <c r="Q1441" s="5" t="s">
        <v>766</v>
      </c>
      <c r="R1441" s="11">
        <v>311000000</v>
      </c>
      <c r="S1441" s="22">
        <v>100</v>
      </c>
    </row>
    <row r="1442" spans="1:19" ht="114.75" outlineLevel="1">
      <c r="A1442" s="5">
        <v>1427</v>
      </c>
      <c r="B1442" s="15" t="s">
        <v>710</v>
      </c>
      <c r="C1442" s="31" t="s">
        <v>597</v>
      </c>
      <c r="D1442" s="11" t="s">
        <v>581</v>
      </c>
      <c r="E1442" s="57" t="s">
        <v>2048</v>
      </c>
      <c r="F1442" s="57" t="s">
        <v>582</v>
      </c>
      <c r="G1442" s="57" t="s">
        <v>2048</v>
      </c>
      <c r="H1442" s="57" t="s">
        <v>583</v>
      </c>
      <c r="I1442" s="57" t="s">
        <v>2049</v>
      </c>
      <c r="J1442" s="57" t="s">
        <v>85</v>
      </c>
      <c r="K1442" s="57" t="s">
        <v>591</v>
      </c>
      <c r="L1442" s="11" t="s">
        <v>914</v>
      </c>
      <c r="M1442" s="22">
        <v>1</v>
      </c>
      <c r="N1442" s="46">
        <v>82143</v>
      </c>
      <c r="O1442" s="49">
        <f t="shared" si="30"/>
        <v>82143</v>
      </c>
      <c r="P1442" s="5" t="s">
        <v>393</v>
      </c>
      <c r="Q1442" s="5" t="s">
        <v>766</v>
      </c>
      <c r="R1442" s="11" t="s">
        <v>2024</v>
      </c>
      <c r="S1442" s="5">
        <v>30</v>
      </c>
    </row>
    <row r="1443" spans="1:19" ht="114.75" outlineLevel="1">
      <c r="A1443" s="5">
        <v>1428</v>
      </c>
      <c r="B1443" s="15" t="s">
        <v>710</v>
      </c>
      <c r="C1443" s="31" t="s">
        <v>597</v>
      </c>
      <c r="D1443" s="11" t="s">
        <v>581</v>
      </c>
      <c r="E1443" s="57" t="s">
        <v>2048</v>
      </c>
      <c r="F1443" s="57" t="s">
        <v>582</v>
      </c>
      <c r="G1443" s="57" t="s">
        <v>2048</v>
      </c>
      <c r="H1443" s="57" t="s">
        <v>583</v>
      </c>
      <c r="I1443" s="57" t="s">
        <v>2049</v>
      </c>
      <c r="J1443" s="57" t="s">
        <v>85</v>
      </c>
      <c r="K1443" s="57" t="s">
        <v>591</v>
      </c>
      <c r="L1443" s="11" t="s">
        <v>914</v>
      </c>
      <c r="M1443" s="22">
        <v>1</v>
      </c>
      <c r="N1443" s="46">
        <v>892857</v>
      </c>
      <c r="O1443" s="49">
        <f t="shared" si="30"/>
        <v>892857</v>
      </c>
      <c r="P1443" s="5" t="s">
        <v>393</v>
      </c>
      <c r="Q1443" s="5" t="s">
        <v>766</v>
      </c>
      <c r="R1443" s="11">
        <v>351000000</v>
      </c>
      <c r="S1443" s="22">
        <v>0</v>
      </c>
    </row>
    <row r="1444" spans="1:19" ht="114.75" outlineLevel="1">
      <c r="A1444" s="5">
        <v>1429</v>
      </c>
      <c r="B1444" s="15" t="s">
        <v>710</v>
      </c>
      <c r="C1444" s="31" t="s">
        <v>597</v>
      </c>
      <c r="D1444" s="11" t="s">
        <v>581</v>
      </c>
      <c r="E1444" s="57" t="s">
        <v>2048</v>
      </c>
      <c r="F1444" s="57" t="s">
        <v>582</v>
      </c>
      <c r="G1444" s="57" t="s">
        <v>2048</v>
      </c>
      <c r="H1444" s="57" t="s">
        <v>583</v>
      </c>
      <c r="I1444" s="57" t="s">
        <v>2049</v>
      </c>
      <c r="J1444" s="57" t="s">
        <v>85</v>
      </c>
      <c r="K1444" s="57" t="s">
        <v>591</v>
      </c>
      <c r="L1444" s="11" t="s">
        <v>914</v>
      </c>
      <c r="M1444" s="22">
        <v>1</v>
      </c>
      <c r="N1444" s="46">
        <v>883929</v>
      </c>
      <c r="O1444" s="49">
        <f t="shared" si="30"/>
        <v>883929</v>
      </c>
      <c r="P1444" s="5" t="s">
        <v>612</v>
      </c>
      <c r="Q1444" s="5" t="s">
        <v>766</v>
      </c>
      <c r="R1444" s="11" t="s">
        <v>925</v>
      </c>
      <c r="S1444" s="22">
        <v>50</v>
      </c>
    </row>
    <row r="1445" spans="1:19" ht="114.75" outlineLevel="1">
      <c r="A1445" s="5">
        <v>1430</v>
      </c>
      <c r="B1445" s="15" t="s">
        <v>710</v>
      </c>
      <c r="C1445" s="31" t="s">
        <v>597</v>
      </c>
      <c r="D1445" s="11" t="s">
        <v>581</v>
      </c>
      <c r="E1445" s="57" t="s">
        <v>2048</v>
      </c>
      <c r="F1445" s="57" t="s">
        <v>582</v>
      </c>
      <c r="G1445" s="57" t="s">
        <v>2048</v>
      </c>
      <c r="H1445" s="57" t="s">
        <v>583</v>
      </c>
      <c r="I1445" s="57" t="s">
        <v>2049</v>
      </c>
      <c r="J1445" s="57" t="s">
        <v>85</v>
      </c>
      <c r="K1445" s="57" t="s">
        <v>591</v>
      </c>
      <c r="L1445" s="11" t="s">
        <v>914</v>
      </c>
      <c r="M1445" s="22">
        <v>1</v>
      </c>
      <c r="N1445" s="46">
        <v>313951</v>
      </c>
      <c r="O1445" s="49">
        <f t="shared" si="30"/>
        <v>313951</v>
      </c>
      <c r="P1445" s="5" t="s">
        <v>393</v>
      </c>
      <c r="Q1445" s="5" t="s">
        <v>766</v>
      </c>
      <c r="R1445" s="11" t="s">
        <v>2507</v>
      </c>
      <c r="S1445" s="22">
        <v>0</v>
      </c>
    </row>
    <row r="1446" spans="1:19" ht="72.75" customHeight="1" outlineLevel="1">
      <c r="A1446" s="5">
        <v>1431</v>
      </c>
      <c r="B1446" s="29" t="s">
        <v>710</v>
      </c>
      <c r="C1446" s="35" t="s">
        <v>597</v>
      </c>
      <c r="D1446" s="11" t="s">
        <v>581</v>
      </c>
      <c r="E1446" s="57" t="s">
        <v>2048</v>
      </c>
      <c r="F1446" s="57" t="s">
        <v>582</v>
      </c>
      <c r="G1446" s="57" t="s">
        <v>2048</v>
      </c>
      <c r="H1446" s="57" t="s">
        <v>583</v>
      </c>
      <c r="I1446" s="57" t="s">
        <v>2049</v>
      </c>
      <c r="J1446" s="57" t="s">
        <v>85</v>
      </c>
      <c r="K1446" s="57" t="s">
        <v>591</v>
      </c>
      <c r="L1446" s="11" t="s">
        <v>914</v>
      </c>
      <c r="M1446" s="22">
        <v>1</v>
      </c>
      <c r="N1446" s="46">
        <f>O1446/M1446</f>
        <v>382321</v>
      </c>
      <c r="O1446" s="49">
        <f>397321-15000</f>
        <v>382321</v>
      </c>
      <c r="P1446" s="5" t="s">
        <v>501</v>
      </c>
      <c r="Q1446" s="5" t="s">
        <v>766</v>
      </c>
      <c r="R1446" s="11" t="s">
        <v>715</v>
      </c>
      <c r="S1446" s="22">
        <v>0</v>
      </c>
    </row>
    <row r="1447" spans="1:19" s="32" customFormat="1" ht="114.75">
      <c r="A1447" s="5">
        <v>1432</v>
      </c>
      <c r="B1447" s="15" t="s">
        <v>710</v>
      </c>
      <c r="C1447" s="31" t="s">
        <v>597</v>
      </c>
      <c r="D1447" s="11" t="s">
        <v>581</v>
      </c>
      <c r="E1447" s="57" t="s">
        <v>2048</v>
      </c>
      <c r="F1447" s="57" t="s">
        <v>582</v>
      </c>
      <c r="G1447" s="57" t="s">
        <v>2048</v>
      </c>
      <c r="H1447" s="57" t="s">
        <v>583</v>
      </c>
      <c r="I1447" s="57" t="s">
        <v>2049</v>
      </c>
      <c r="J1447" s="57" t="s">
        <v>85</v>
      </c>
      <c r="K1447" s="57" t="s">
        <v>591</v>
      </c>
      <c r="L1447" s="11" t="s">
        <v>914</v>
      </c>
      <c r="M1447" s="22">
        <v>1</v>
      </c>
      <c r="N1447" s="46">
        <v>156250</v>
      </c>
      <c r="O1447" s="49">
        <f t="shared" si="30"/>
        <v>156250</v>
      </c>
      <c r="P1447" s="5" t="s">
        <v>391</v>
      </c>
      <c r="Q1447" s="5" t="s">
        <v>766</v>
      </c>
      <c r="R1447" s="11" t="s">
        <v>902</v>
      </c>
      <c r="S1447" s="22">
        <v>0</v>
      </c>
    </row>
    <row r="1448" spans="1:19" ht="114.75" outlineLevel="1">
      <c r="A1448" s="5">
        <v>1433</v>
      </c>
      <c r="B1448" s="15" t="s">
        <v>941</v>
      </c>
      <c r="C1448" s="5" t="s">
        <v>597</v>
      </c>
      <c r="D1448" s="11" t="s">
        <v>581</v>
      </c>
      <c r="E1448" s="57" t="s">
        <v>2048</v>
      </c>
      <c r="F1448" s="57" t="s">
        <v>582</v>
      </c>
      <c r="G1448" s="57" t="s">
        <v>2048</v>
      </c>
      <c r="H1448" s="57" t="s">
        <v>583</v>
      </c>
      <c r="I1448" s="57" t="s">
        <v>2049</v>
      </c>
      <c r="J1448" s="57" t="s">
        <v>85</v>
      </c>
      <c r="K1448" s="57" t="s">
        <v>591</v>
      </c>
      <c r="L1448" s="11" t="s">
        <v>914</v>
      </c>
      <c r="M1448" s="22">
        <v>1</v>
      </c>
      <c r="N1448" s="46">
        <v>316071</v>
      </c>
      <c r="O1448" s="49">
        <f t="shared" si="30"/>
        <v>316071</v>
      </c>
      <c r="P1448" s="5" t="s">
        <v>588</v>
      </c>
      <c r="Q1448" s="5" t="s">
        <v>766</v>
      </c>
      <c r="R1448" s="11">
        <v>591000000</v>
      </c>
      <c r="S1448" s="22">
        <v>30</v>
      </c>
    </row>
    <row r="1449" spans="1:19" ht="114.75" outlineLevel="1">
      <c r="A1449" s="5">
        <v>1434</v>
      </c>
      <c r="B1449" s="15" t="s">
        <v>710</v>
      </c>
      <c r="C1449" s="31" t="s">
        <v>597</v>
      </c>
      <c r="D1449" s="11" t="s">
        <v>581</v>
      </c>
      <c r="E1449" s="57" t="s">
        <v>2048</v>
      </c>
      <c r="F1449" s="57" t="s">
        <v>582</v>
      </c>
      <c r="G1449" s="57" t="s">
        <v>2048</v>
      </c>
      <c r="H1449" s="57" t="s">
        <v>583</v>
      </c>
      <c r="I1449" s="57" t="s">
        <v>2049</v>
      </c>
      <c r="J1449" s="57" t="s">
        <v>85</v>
      </c>
      <c r="K1449" s="57" t="s">
        <v>591</v>
      </c>
      <c r="L1449" s="11" t="s">
        <v>914</v>
      </c>
      <c r="M1449" s="22">
        <v>1</v>
      </c>
      <c r="N1449" s="46">
        <v>312500</v>
      </c>
      <c r="O1449" s="49">
        <f t="shared" si="30"/>
        <v>312500</v>
      </c>
      <c r="P1449" s="5" t="s">
        <v>393</v>
      </c>
      <c r="Q1449" s="5" t="s">
        <v>766</v>
      </c>
      <c r="R1449" s="11" t="s">
        <v>2029</v>
      </c>
      <c r="S1449" s="5">
        <v>0</v>
      </c>
    </row>
    <row r="1450" spans="1:19" ht="51" outlineLevel="1">
      <c r="A1450" s="5">
        <v>1435</v>
      </c>
      <c r="B1450" s="15" t="s">
        <v>710</v>
      </c>
      <c r="C1450" s="31" t="s">
        <v>597</v>
      </c>
      <c r="D1450" s="117" t="s">
        <v>1163</v>
      </c>
      <c r="E1450" s="57" t="s">
        <v>1927</v>
      </c>
      <c r="F1450" s="57" t="s">
        <v>1164</v>
      </c>
      <c r="G1450" s="57" t="s">
        <v>1928</v>
      </c>
      <c r="H1450" s="57" t="s">
        <v>1165</v>
      </c>
      <c r="I1450" s="57" t="s">
        <v>1929</v>
      </c>
      <c r="J1450" s="57" t="s">
        <v>90</v>
      </c>
      <c r="K1450" s="57" t="s">
        <v>591</v>
      </c>
      <c r="L1450" s="11" t="s">
        <v>914</v>
      </c>
      <c r="M1450" s="22">
        <v>1</v>
      </c>
      <c r="N1450" s="46">
        <f>O1450</f>
        <v>1828657</v>
      </c>
      <c r="O1450" s="49">
        <f>892857-714200+1650000</f>
        <v>1828657</v>
      </c>
      <c r="P1450" s="5" t="s">
        <v>612</v>
      </c>
      <c r="Q1450" s="5" t="s">
        <v>766</v>
      </c>
      <c r="R1450" s="11" t="s">
        <v>1175</v>
      </c>
      <c r="S1450" s="22">
        <v>0</v>
      </c>
    </row>
    <row r="1451" spans="1:19" ht="89.25" outlineLevel="1">
      <c r="A1451" s="5">
        <v>1436</v>
      </c>
      <c r="B1451" s="29" t="s">
        <v>710</v>
      </c>
      <c r="C1451" s="35" t="s">
        <v>597</v>
      </c>
      <c r="D1451" s="11" t="s">
        <v>584</v>
      </c>
      <c r="E1451" s="57" t="s">
        <v>2073</v>
      </c>
      <c r="F1451" s="57" t="s">
        <v>585</v>
      </c>
      <c r="G1451" s="57" t="s">
        <v>2073</v>
      </c>
      <c r="H1451" s="57" t="s">
        <v>585</v>
      </c>
      <c r="I1451" s="57" t="s">
        <v>2072</v>
      </c>
      <c r="J1451" s="57" t="s">
        <v>93</v>
      </c>
      <c r="K1451" s="57" t="s">
        <v>591</v>
      </c>
      <c r="L1451" s="11" t="s">
        <v>914</v>
      </c>
      <c r="M1451" s="22">
        <v>1</v>
      </c>
      <c r="N1451" s="46">
        <v>3251325</v>
      </c>
      <c r="O1451" s="49">
        <f t="shared" si="30"/>
        <v>3251325</v>
      </c>
      <c r="P1451" s="5" t="s">
        <v>502</v>
      </c>
      <c r="Q1451" s="5" t="s">
        <v>766</v>
      </c>
      <c r="R1451" s="11" t="s">
        <v>2030</v>
      </c>
      <c r="S1451" s="22">
        <v>0</v>
      </c>
    </row>
    <row r="1452" spans="1:19" ht="89.25" outlineLevel="1">
      <c r="A1452" s="5">
        <v>1437</v>
      </c>
      <c r="B1452" s="15" t="s">
        <v>710</v>
      </c>
      <c r="C1452" s="31" t="s">
        <v>597</v>
      </c>
      <c r="D1452" s="11" t="s">
        <v>584</v>
      </c>
      <c r="E1452" s="57" t="s">
        <v>2073</v>
      </c>
      <c r="F1452" s="57" t="s">
        <v>585</v>
      </c>
      <c r="G1452" s="57" t="s">
        <v>2073</v>
      </c>
      <c r="H1452" s="57" t="s">
        <v>585</v>
      </c>
      <c r="I1452" s="57" t="s">
        <v>2072</v>
      </c>
      <c r="J1452" s="57" t="s">
        <v>93</v>
      </c>
      <c r="K1452" s="57" t="s">
        <v>591</v>
      </c>
      <c r="L1452" s="11" t="s">
        <v>914</v>
      </c>
      <c r="M1452" s="22">
        <v>1</v>
      </c>
      <c r="N1452" s="46">
        <f>O1452</f>
        <v>0</v>
      </c>
      <c r="O1452" s="49">
        <f>2978509-676972-2301537</f>
        <v>0</v>
      </c>
      <c r="P1452" s="5" t="s">
        <v>393</v>
      </c>
      <c r="Q1452" s="5" t="s">
        <v>766</v>
      </c>
      <c r="R1452" s="11" t="s">
        <v>1021</v>
      </c>
      <c r="S1452" s="5">
        <v>0</v>
      </c>
    </row>
    <row r="1453" spans="1:19" ht="89.25" outlineLevel="1">
      <c r="A1453" s="5">
        <v>1438</v>
      </c>
      <c r="B1453" s="15" t="s">
        <v>710</v>
      </c>
      <c r="C1453" s="31" t="s">
        <v>597</v>
      </c>
      <c r="D1453" s="11" t="s">
        <v>584</v>
      </c>
      <c r="E1453" s="57" t="s">
        <v>2073</v>
      </c>
      <c r="F1453" s="57" t="s">
        <v>585</v>
      </c>
      <c r="G1453" s="57" t="s">
        <v>2073</v>
      </c>
      <c r="H1453" s="57" t="s">
        <v>585</v>
      </c>
      <c r="I1453" s="57" t="s">
        <v>2072</v>
      </c>
      <c r="J1453" s="57" t="s">
        <v>93</v>
      </c>
      <c r="K1453" s="57" t="s">
        <v>1485</v>
      </c>
      <c r="L1453" s="11" t="s">
        <v>914</v>
      </c>
      <c r="M1453" s="22">
        <v>1</v>
      </c>
      <c r="N1453" s="46">
        <v>6905572</v>
      </c>
      <c r="O1453" s="49">
        <f t="shared" si="30"/>
        <v>6905572</v>
      </c>
      <c r="P1453" s="5" t="s">
        <v>866</v>
      </c>
      <c r="Q1453" s="5" t="s">
        <v>766</v>
      </c>
      <c r="R1453" s="11" t="s">
        <v>789</v>
      </c>
      <c r="S1453" s="22">
        <v>0</v>
      </c>
    </row>
    <row r="1454" spans="1:19" s="13" customFormat="1" ht="89.25">
      <c r="A1454" s="5">
        <v>1439</v>
      </c>
      <c r="B1454" s="15" t="s">
        <v>710</v>
      </c>
      <c r="C1454" s="31" t="s">
        <v>597</v>
      </c>
      <c r="D1454" s="11" t="s">
        <v>584</v>
      </c>
      <c r="E1454" s="57" t="s">
        <v>2073</v>
      </c>
      <c r="F1454" s="57" t="s">
        <v>585</v>
      </c>
      <c r="G1454" s="57" t="s">
        <v>2073</v>
      </c>
      <c r="H1454" s="57" t="s">
        <v>585</v>
      </c>
      <c r="I1454" s="57" t="s">
        <v>2072</v>
      </c>
      <c r="J1454" s="57" t="s">
        <v>93</v>
      </c>
      <c r="K1454" s="57" t="s">
        <v>591</v>
      </c>
      <c r="L1454" s="11" t="s">
        <v>914</v>
      </c>
      <c r="M1454" s="22">
        <v>1</v>
      </c>
      <c r="N1454" s="46">
        <v>2250397</v>
      </c>
      <c r="O1454" s="49">
        <f t="shared" si="30"/>
        <v>2250397</v>
      </c>
      <c r="P1454" s="5" t="s">
        <v>391</v>
      </c>
      <c r="Q1454" s="15" t="s">
        <v>1471</v>
      </c>
      <c r="R1454" s="11" t="s">
        <v>2023</v>
      </c>
      <c r="S1454" s="22">
        <v>0</v>
      </c>
    </row>
    <row r="1455" spans="1:19" ht="89.25" outlineLevel="1">
      <c r="A1455" s="5">
        <v>1440</v>
      </c>
      <c r="B1455" s="15" t="s">
        <v>710</v>
      </c>
      <c r="C1455" s="31" t="s">
        <v>597</v>
      </c>
      <c r="D1455" s="11" t="s">
        <v>584</v>
      </c>
      <c r="E1455" s="57" t="s">
        <v>2073</v>
      </c>
      <c r="F1455" s="57" t="s">
        <v>585</v>
      </c>
      <c r="G1455" s="57" t="s">
        <v>2073</v>
      </c>
      <c r="H1455" s="57" t="s">
        <v>585</v>
      </c>
      <c r="I1455" s="57" t="s">
        <v>2072</v>
      </c>
      <c r="J1455" s="57" t="s">
        <v>93</v>
      </c>
      <c r="K1455" s="57" t="s">
        <v>1484</v>
      </c>
      <c r="L1455" s="11" t="s">
        <v>914</v>
      </c>
      <c r="M1455" s="22">
        <v>1</v>
      </c>
      <c r="N1455" s="46">
        <v>3573939</v>
      </c>
      <c r="O1455" s="49">
        <f t="shared" si="30"/>
        <v>3573939</v>
      </c>
      <c r="P1455" s="5" t="s">
        <v>586</v>
      </c>
      <c r="Q1455" s="15" t="s">
        <v>1471</v>
      </c>
      <c r="R1455" s="11" t="s">
        <v>633</v>
      </c>
      <c r="S1455" s="22">
        <v>0</v>
      </c>
    </row>
    <row r="1456" spans="1:19" ht="89.25" outlineLevel="1">
      <c r="A1456" s="5">
        <v>1441</v>
      </c>
      <c r="B1456" s="15" t="s">
        <v>710</v>
      </c>
      <c r="C1456" s="31" t="s">
        <v>597</v>
      </c>
      <c r="D1456" s="11" t="s">
        <v>584</v>
      </c>
      <c r="E1456" s="57" t="s">
        <v>2073</v>
      </c>
      <c r="F1456" s="57" t="s">
        <v>585</v>
      </c>
      <c r="G1456" s="57" t="s">
        <v>2073</v>
      </c>
      <c r="H1456" s="57" t="s">
        <v>585</v>
      </c>
      <c r="I1456" s="57" t="s">
        <v>2072</v>
      </c>
      <c r="J1456" s="57" t="s">
        <v>93</v>
      </c>
      <c r="K1456" s="57" t="s">
        <v>1485</v>
      </c>
      <c r="L1456" s="11" t="s">
        <v>914</v>
      </c>
      <c r="M1456" s="22">
        <v>1</v>
      </c>
      <c r="N1456" s="46">
        <f>O1456/M1456</f>
        <v>0</v>
      </c>
      <c r="O1456" s="49">
        <f>31028262-31028262</f>
        <v>0</v>
      </c>
      <c r="P1456" s="5" t="s">
        <v>391</v>
      </c>
      <c r="Q1456" s="15" t="s">
        <v>1471</v>
      </c>
      <c r="R1456" s="11" t="s">
        <v>2027</v>
      </c>
      <c r="S1456" s="22">
        <v>0</v>
      </c>
    </row>
    <row r="1457" spans="1:19" ht="89.25" outlineLevel="1">
      <c r="A1457" s="5">
        <v>1442</v>
      </c>
      <c r="B1457" s="15" t="s">
        <v>710</v>
      </c>
      <c r="C1457" s="31" t="s">
        <v>597</v>
      </c>
      <c r="D1457" s="11" t="s">
        <v>584</v>
      </c>
      <c r="E1457" s="57" t="s">
        <v>2073</v>
      </c>
      <c r="F1457" s="57" t="s">
        <v>585</v>
      </c>
      <c r="G1457" s="57" t="s">
        <v>2073</v>
      </c>
      <c r="H1457" s="57" t="s">
        <v>585</v>
      </c>
      <c r="I1457" s="57" t="s">
        <v>2072</v>
      </c>
      <c r="J1457" s="57" t="s">
        <v>93</v>
      </c>
      <c r="K1457" s="57" t="s">
        <v>1485</v>
      </c>
      <c r="L1457" s="11" t="s">
        <v>914</v>
      </c>
      <c r="M1457" s="22">
        <v>1</v>
      </c>
      <c r="N1457" s="46">
        <f>O1457/M1457</f>
        <v>0</v>
      </c>
      <c r="O1457" s="46">
        <f>9485949-250000-120000-150000-500000-1446676-1250000-710000-700000-588000-1401551-2369722</f>
        <v>0</v>
      </c>
      <c r="P1457" s="5" t="s">
        <v>586</v>
      </c>
      <c r="Q1457" s="15" t="s">
        <v>1471</v>
      </c>
      <c r="R1457" s="11" t="s">
        <v>2022</v>
      </c>
      <c r="S1457" s="22">
        <v>0</v>
      </c>
    </row>
    <row r="1458" spans="1:19" ht="89.25" outlineLevel="1">
      <c r="A1458" s="5">
        <v>1443</v>
      </c>
      <c r="B1458" s="15" t="s">
        <v>710</v>
      </c>
      <c r="C1458" s="31" t="s">
        <v>597</v>
      </c>
      <c r="D1458" s="11" t="s">
        <v>584</v>
      </c>
      <c r="E1458" s="57" t="s">
        <v>2073</v>
      </c>
      <c r="F1458" s="57" t="s">
        <v>585</v>
      </c>
      <c r="G1458" s="57" t="s">
        <v>2073</v>
      </c>
      <c r="H1458" s="57" t="s">
        <v>585</v>
      </c>
      <c r="I1458" s="57" t="s">
        <v>2072</v>
      </c>
      <c r="J1458" s="57" t="s">
        <v>93</v>
      </c>
      <c r="K1458" s="57" t="s">
        <v>1485</v>
      </c>
      <c r="L1458" s="11" t="s">
        <v>914</v>
      </c>
      <c r="M1458" s="22">
        <v>1</v>
      </c>
      <c r="N1458" s="46">
        <v>8868966</v>
      </c>
      <c r="O1458" s="49">
        <f t="shared" si="30"/>
        <v>8868966</v>
      </c>
      <c r="P1458" s="5" t="s">
        <v>866</v>
      </c>
      <c r="Q1458" s="5" t="s">
        <v>766</v>
      </c>
      <c r="R1458" s="11">
        <v>311000000</v>
      </c>
      <c r="S1458" s="22">
        <v>0</v>
      </c>
    </row>
    <row r="1459" spans="1:19" ht="89.25" outlineLevel="1">
      <c r="A1459" s="5">
        <v>1444</v>
      </c>
      <c r="B1459" s="15" t="s">
        <v>710</v>
      </c>
      <c r="C1459" s="31" t="s">
        <v>597</v>
      </c>
      <c r="D1459" s="11" t="s">
        <v>584</v>
      </c>
      <c r="E1459" s="57" t="s">
        <v>2073</v>
      </c>
      <c r="F1459" s="57" t="s">
        <v>585</v>
      </c>
      <c r="G1459" s="57" t="s">
        <v>2073</v>
      </c>
      <c r="H1459" s="57" t="s">
        <v>585</v>
      </c>
      <c r="I1459" s="57" t="s">
        <v>2072</v>
      </c>
      <c r="J1459" s="57" t="s">
        <v>93</v>
      </c>
      <c r="K1459" s="57" t="s">
        <v>1484</v>
      </c>
      <c r="L1459" s="11" t="s">
        <v>914</v>
      </c>
      <c r="M1459" s="22">
        <v>1</v>
      </c>
      <c r="N1459" s="46">
        <v>3663477</v>
      </c>
      <c r="O1459" s="49">
        <f t="shared" si="30"/>
        <v>3663477</v>
      </c>
      <c r="P1459" s="5" t="s">
        <v>866</v>
      </c>
      <c r="Q1459" s="5" t="s">
        <v>766</v>
      </c>
      <c r="R1459" s="11" t="s">
        <v>2024</v>
      </c>
      <c r="S1459" s="5">
        <v>0</v>
      </c>
    </row>
    <row r="1460" spans="1:19" ht="89.25" outlineLevel="1">
      <c r="A1460" s="5">
        <v>1445</v>
      </c>
      <c r="B1460" s="15" t="s">
        <v>710</v>
      </c>
      <c r="C1460" s="31" t="s">
        <v>597</v>
      </c>
      <c r="D1460" s="11" t="s">
        <v>584</v>
      </c>
      <c r="E1460" s="57" t="s">
        <v>2073</v>
      </c>
      <c r="F1460" s="57" t="s">
        <v>585</v>
      </c>
      <c r="G1460" s="57" t="s">
        <v>2073</v>
      </c>
      <c r="H1460" s="57" t="s">
        <v>585</v>
      </c>
      <c r="I1460" s="57" t="s">
        <v>2072</v>
      </c>
      <c r="J1460" s="57" t="s">
        <v>93</v>
      </c>
      <c r="K1460" s="57" t="s">
        <v>1484</v>
      </c>
      <c r="L1460" s="11" t="s">
        <v>914</v>
      </c>
      <c r="M1460" s="22">
        <v>1</v>
      </c>
      <c r="N1460" s="46">
        <v>5050868</v>
      </c>
      <c r="O1460" s="49">
        <f t="shared" si="30"/>
        <v>5050868</v>
      </c>
      <c r="P1460" s="5" t="s">
        <v>586</v>
      </c>
      <c r="Q1460" s="15" t="s">
        <v>1471</v>
      </c>
      <c r="R1460" s="11">
        <v>351000000</v>
      </c>
      <c r="S1460" s="22">
        <v>0</v>
      </c>
    </row>
    <row r="1461" spans="1:19" ht="89.25" outlineLevel="1">
      <c r="A1461" s="5">
        <v>1446</v>
      </c>
      <c r="B1461" s="15" t="s">
        <v>710</v>
      </c>
      <c r="C1461" s="31" t="s">
        <v>597</v>
      </c>
      <c r="D1461" s="11" t="s">
        <v>584</v>
      </c>
      <c r="E1461" s="57" t="s">
        <v>2073</v>
      </c>
      <c r="F1461" s="57" t="s">
        <v>585</v>
      </c>
      <c r="G1461" s="57" t="s">
        <v>2073</v>
      </c>
      <c r="H1461" s="57" t="s">
        <v>585</v>
      </c>
      <c r="I1461" s="57" t="s">
        <v>2072</v>
      </c>
      <c r="J1461" s="57" t="s">
        <v>93</v>
      </c>
      <c r="K1461" s="57" t="s">
        <v>591</v>
      </c>
      <c r="L1461" s="11" t="s">
        <v>914</v>
      </c>
      <c r="M1461" s="22">
        <v>1</v>
      </c>
      <c r="N1461" s="46">
        <v>1934081</v>
      </c>
      <c r="O1461" s="49">
        <f t="shared" si="30"/>
        <v>1934081</v>
      </c>
      <c r="P1461" s="5" t="s">
        <v>586</v>
      </c>
      <c r="Q1461" s="15" t="s">
        <v>1471</v>
      </c>
      <c r="R1461" s="11" t="s">
        <v>925</v>
      </c>
      <c r="S1461" s="22">
        <v>0</v>
      </c>
    </row>
    <row r="1462" spans="1:19" ht="89.25" outlineLevel="1">
      <c r="A1462" s="5">
        <v>1447</v>
      </c>
      <c r="B1462" s="15" t="s">
        <v>710</v>
      </c>
      <c r="C1462" s="31" t="s">
        <v>597</v>
      </c>
      <c r="D1462" s="11" t="s">
        <v>584</v>
      </c>
      <c r="E1462" s="57" t="s">
        <v>2073</v>
      </c>
      <c r="F1462" s="57" t="s">
        <v>585</v>
      </c>
      <c r="G1462" s="57" t="s">
        <v>2073</v>
      </c>
      <c r="H1462" s="57" t="s">
        <v>585</v>
      </c>
      <c r="I1462" s="57" t="s">
        <v>2072</v>
      </c>
      <c r="J1462" s="57" t="s">
        <v>93</v>
      </c>
      <c r="K1462" s="57" t="s">
        <v>1484</v>
      </c>
      <c r="L1462" s="11" t="s">
        <v>914</v>
      </c>
      <c r="M1462" s="22">
        <v>1</v>
      </c>
      <c r="N1462" s="46">
        <v>3367080</v>
      </c>
      <c r="O1462" s="49">
        <f t="shared" si="30"/>
        <v>3367080</v>
      </c>
      <c r="P1462" s="40" t="s">
        <v>502</v>
      </c>
      <c r="Q1462" s="15" t="s">
        <v>1471</v>
      </c>
      <c r="R1462" s="11">
        <v>431000000</v>
      </c>
      <c r="S1462" s="22">
        <v>0</v>
      </c>
    </row>
    <row r="1463" spans="1:19" ht="89.25" outlineLevel="1">
      <c r="A1463" s="5">
        <v>1448</v>
      </c>
      <c r="B1463" s="15" t="s">
        <v>710</v>
      </c>
      <c r="C1463" s="31" t="s">
        <v>597</v>
      </c>
      <c r="D1463" s="11" t="s">
        <v>584</v>
      </c>
      <c r="E1463" s="57" t="s">
        <v>2073</v>
      </c>
      <c r="F1463" s="57" t="s">
        <v>585</v>
      </c>
      <c r="G1463" s="57" t="s">
        <v>2073</v>
      </c>
      <c r="H1463" s="57" t="s">
        <v>585</v>
      </c>
      <c r="I1463" s="57" t="s">
        <v>2072</v>
      </c>
      <c r="J1463" s="57" t="s">
        <v>93</v>
      </c>
      <c r="K1463" s="57" t="s">
        <v>591</v>
      </c>
      <c r="L1463" s="11" t="s">
        <v>914</v>
      </c>
      <c r="M1463" s="22">
        <v>1</v>
      </c>
      <c r="N1463" s="46">
        <f>O1463/M1463</f>
        <v>0</v>
      </c>
      <c r="O1463" s="49">
        <f>2656095-2656095</f>
        <v>0</v>
      </c>
      <c r="P1463" s="5" t="s">
        <v>391</v>
      </c>
      <c r="Q1463" s="15" t="s">
        <v>1471</v>
      </c>
      <c r="R1463" s="11" t="s">
        <v>715</v>
      </c>
      <c r="S1463" s="22">
        <v>0</v>
      </c>
    </row>
    <row r="1464" spans="1:19" s="32" customFormat="1" ht="89.25">
      <c r="A1464" s="5">
        <v>1449</v>
      </c>
      <c r="B1464" s="15" t="s">
        <v>710</v>
      </c>
      <c r="C1464" s="31" t="s">
        <v>597</v>
      </c>
      <c r="D1464" s="11" t="s">
        <v>584</v>
      </c>
      <c r="E1464" s="57" t="s">
        <v>2073</v>
      </c>
      <c r="F1464" s="57" t="s">
        <v>585</v>
      </c>
      <c r="G1464" s="57" t="s">
        <v>2073</v>
      </c>
      <c r="H1464" s="57" t="s">
        <v>585</v>
      </c>
      <c r="I1464" s="57" t="s">
        <v>2072</v>
      </c>
      <c r="J1464" s="57" t="s">
        <v>93</v>
      </c>
      <c r="K1464" s="57" t="s">
        <v>591</v>
      </c>
      <c r="L1464" s="11" t="s">
        <v>914</v>
      </c>
      <c r="M1464" s="22">
        <v>1</v>
      </c>
      <c r="N1464" s="46">
        <f>O1464/M1464</f>
        <v>0</v>
      </c>
      <c r="O1464" s="49">
        <f>2036935-2036935</f>
        <v>0</v>
      </c>
      <c r="P1464" s="5" t="s">
        <v>391</v>
      </c>
      <c r="Q1464" s="5" t="s">
        <v>1471</v>
      </c>
      <c r="R1464" s="11">
        <v>551000000</v>
      </c>
      <c r="S1464" s="22">
        <v>0</v>
      </c>
    </row>
    <row r="1465" spans="1:19" ht="89.25" outlineLevel="1">
      <c r="A1465" s="5">
        <v>1450</v>
      </c>
      <c r="B1465" s="15" t="s">
        <v>941</v>
      </c>
      <c r="C1465" s="5" t="s">
        <v>597</v>
      </c>
      <c r="D1465" s="11" t="s">
        <v>584</v>
      </c>
      <c r="E1465" s="57" t="s">
        <v>2073</v>
      </c>
      <c r="F1465" s="57" t="s">
        <v>585</v>
      </c>
      <c r="G1465" s="57" t="s">
        <v>2073</v>
      </c>
      <c r="H1465" s="57" t="s">
        <v>585</v>
      </c>
      <c r="I1465" s="57" t="s">
        <v>2072</v>
      </c>
      <c r="J1465" s="57" t="s">
        <v>93</v>
      </c>
      <c r="K1465" s="57" t="s">
        <v>591</v>
      </c>
      <c r="L1465" s="11" t="s">
        <v>914</v>
      </c>
      <c r="M1465" s="22">
        <v>1</v>
      </c>
      <c r="N1465" s="46">
        <v>2979763</v>
      </c>
      <c r="O1465" s="49">
        <f t="shared" si="30"/>
        <v>2979763</v>
      </c>
      <c r="P1465" s="5" t="s">
        <v>586</v>
      </c>
      <c r="Q1465" s="15" t="s">
        <v>1471</v>
      </c>
      <c r="R1465" s="11">
        <v>591000000</v>
      </c>
      <c r="S1465" s="22">
        <v>0</v>
      </c>
    </row>
    <row r="1466" spans="1:19" ht="89.25" outlineLevel="1">
      <c r="A1466" s="5">
        <v>1451</v>
      </c>
      <c r="B1466" s="15" t="s">
        <v>710</v>
      </c>
      <c r="C1466" s="31" t="s">
        <v>597</v>
      </c>
      <c r="D1466" s="11" t="s">
        <v>584</v>
      </c>
      <c r="E1466" s="57" t="s">
        <v>2073</v>
      </c>
      <c r="F1466" s="57" t="s">
        <v>585</v>
      </c>
      <c r="G1466" s="57" t="s">
        <v>2073</v>
      </c>
      <c r="H1466" s="57" t="s">
        <v>585</v>
      </c>
      <c r="I1466" s="57" t="s">
        <v>2072</v>
      </c>
      <c r="J1466" s="57" t="s">
        <v>93</v>
      </c>
      <c r="K1466" s="57" t="s">
        <v>1484</v>
      </c>
      <c r="L1466" s="11" t="s">
        <v>914</v>
      </c>
      <c r="M1466" s="22">
        <v>1</v>
      </c>
      <c r="N1466" s="46">
        <f>O1466/M1466</f>
        <v>0</v>
      </c>
      <c r="O1466" s="49">
        <f>5652511-5652511</f>
        <v>0</v>
      </c>
      <c r="P1466" s="5" t="s">
        <v>391</v>
      </c>
      <c r="Q1466" s="5" t="s">
        <v>1471</v>
      </c>
      <c r="R1466" s="11" t="s">
        <v>2029</v>
      </c>
      <c r="S1466" s="5">
        <v>0</v>
      </c>
    </row>
    <row r="1467" spans="1:19" ht="51" outlineLevel="1">
      <c r="A1467" s="5">
        <v>1452</v>
      </c>
      <c r="B1467" s="29" t="s">
        <v>710</v>
      </c>
      <c r="C1467" s="35" t="s">
        <v>597</v>
      </c>
      <c r="D1467" s="15" t="s">
        <v>707</v>
      </c>
      <c r="E1467" s="57" t="s">
        <v>781</v>
      </c>
      <c r="F1467" s="57" t="s">
        <v>708</v>
      </c>
      <c r="G1467" s="57" t="s">
        <v>781</v>
      </c>
      <c r="H1467" s="57" t="s">
        <v>708</v>
      </c>
      <c r="I1467" s="57" t="s">
        <v>2057</v>
      </c>
      <c r="J1467" s="57" t="s">
        <v>128</v>
      </c>
      <c r="K1467" s="57" t="s">
        <v>591</v>
      </c>
      <c r="L1467" s="11" t="s">
        <v>914</v>
      </c>
      <c r="M1467" s="22">
        <v>1</v>
      </c>
      <c r="N1467" s="46">
        <f>O1467</f>
        <v>1714286</v>
      </c>
      <c r="O1467" s="49">
        <f>1440000+274286</f>
        <v>1714286</v>
      </c>
      <c r="P1467" s="5" t="s">
        <v>393</v>
      </c>
      <c r="Q1467" s="5" t="s">
        <v>766</v>
      </c>
      <c r="R1467" s="11" t="s">
        <v>2030</v>
      </c>
      <c r="S1467" s="22">
        <v>0</v>
      </c>
    </row>
    <row r="1468" spans="1:19" ht="51" outlineLevel="1">
      <c r="A1468" s="5">
        <v>1453</v>
      </c>
      <c r="B1468" s="15" t="s">
        <v>710</v>
      </c>
      <c r="C1468" s="31" t="s">
        <v>597</v>
      </c>
      <c r="D1468" s="15" t="s">
        <v>707</v>
      </c>
      <c r="E1468" s="57" t="s">
        <v>781</v>
      </c>
      <c r="F1468" s="57" t="s">
        <v>708</v>
      </c>
      <c r="G1468" s="57" t="s">
        <v>781</v>
      </c>
      <c r="H1468" s="57" t="s">
        <v>708</v>
      </c>
      <c r="I1468" s="57" t="s">
        <v>2057</v>
      </c>
      <c r="J1468" s="57" t="s">
        <v>128</v>
      </c>
      <c r="K1468" s="57" t="s">
        <v>591</v>
      </c>
      <c r="L1468" s="11" t="s">
        <v>914</v>
      </c>
      <c r="M1468" s="22">
        <v>1</v>
      </c>
      <c r="N1468" s="46">
        <f t="shared" ref="N1468:N1481" si="31">O1468</f>
        <v>1714286</v>
      </c>
      <c r="O1468" s="49">
        <f t="shared" ref="O1468:O1482" si="32">1440000+274286</f>
        <v>1714286</v>
      </c>
      <c r="P1468" s="5" t="s">
        <v>393</v>
      </c>
      <c r="Q1468" s="5" t="s">
        <v>766</v>
      </c>
      <c r="R1468" s="11" t="s">
        <v>1021</v>
      </c>
      <c r="S1468" s="5">
        <v>0</v>
      </c>
    </row>
    <row r="1469" spans="1:19" ht="51" outlineLevel="1">
      <c r="A1469" s="5">
        <v>1454</v>
      </c>
      <c r="B1469" s="15" t="s">
        <v>710</v>
      </c>
      <c r="C1469" s="31" t="s">
        <v>597</v>
      </c>
      <c r="D1469" s="15" t="s">
        <v>707</v>
      </c>
      <c r="E1469" s="57" t="s">
        <v>781</v>
      </c>
      <c r="F1469" s="57" t="s">
        <v>708</v>
      </c>
      <c r="G1469" s="57" t="s">
        <v>781</v>
      </c>
      <c r="H1469" s="57" t="s">
        <v>708</v>
      </c>
      <c r="I1469" s="57" t="s">
        <v>2057</v>
      </c>
      <c r="J1469" s="57" t="s">
        <v>128</v>
      </c>
      <c r="K1469" s="57" t="s">
        <v>591</v>
      </c>
      <c r="L1469" s="11" t="s">
        <v>914</v>
      </c>
      <c r="M1469" s="22">
        <v>1</v>
      </c>
      <c r="N1469" s="46">
        <f t="shared" si="31"/>
        <v>1714286</v>
      </c>
      <c r="O1469" s="49">
        <f t="shared" si="32"/>
        <v>1714286</v>
      </c>
      <c r="P1469" s="5" t="s">
        <v>393</v>
      </c>
      <c r="Q1469" s="5" t="s">
        <v>766</v>
      </c>
      <c r="R1469" s="11" t="s">
        <v>789</v>
      </c>
      <c r="S1469" s="5">
        <v>0</v>
      </c>
    </row>
    <row r="1470" spans="1:19" s="13" customFormat="1" ht="51">
      <c r="A1470" s="5">
        <v>1455</v>
      </c>
      <c r="B1470" s="15" t="s">
        <v>710</v>
      </c>
      <c r="C1470" s="31" t="s">
        <v>597</v>
      </c>
      <c r="D1470" s="15" t="s">
        <v>707</v>
      </c>
      <c r="E1470" s="57" t="s">
        <v>781</v>
      </c>
      <c r="F1470" s="57" t="s">
        <v>708</v>
      </c>
      <c r="G1470" s="57" t="s">
        <v>781</v>
      </c>
      <c r="H1470" s="57" t="s">
        <v>708</v>
      </c>
      <c r="I1470" s="57" t="s">
        <v>2057</v>
      </c>
      <c r="J1470" s="57" t="s">
        <v>128</v>
      </c>
      <c r="K1470" s="57" t="s">
        <v>591</v>
      </c>
      <c r="L1470" s="11" t="s">
        <v>914</v>
      </c>
      <c r="M1470" s="22">
        <v>1</v>
      </c>
      <c r="N1470" s="46">
        <f t="shared" si="31"/>
        <v>1714286</v>
      </c>
      <c r="O1470" s="49">
        <f t="shared" si="32"/>
        <v>1714286</v>
      </c>
      <c r="P1470" s="5" t="s">
        <v>393</v>
      </c>
      <c r="Q1470" s="5" t="s">
        <v>766</v>
      </c>
      <c r="R1470" s="11" t="s">
        <v>2023</v>
      </c>
      <c r="S1470" s="22">
        <v>0</v>
      </c>
    </row>
    <row r="1471" spans="1:19" ht="51" outlineLevel="1">
      <c r="A1471" s="5">
        <v>1456</v>
      </c>
      <c r="B1471" s="15" t="s">
        <v>710</v>
      </c>
      <c r="C1471" s="31" t="s">
        <v>597</v>
      </c>
      <c r="D1471" s="15" t="s">
        <v>707</v>
      </c>
      <c r="E1471" s="57" t="s">
        <v>781</v>
      </c>
      <c r="F1471" s="57" t="s">
        <v>708</v>
      </c>
      <c r="G1471" s="57" t="s">
        <v>781</v>
      </c>
      <c r="H1471" s="57" t="s">
        <v>708</v>
      </c>
      <c r="I1471" s="57" t="s">
        <v>2057</v>
      </c>
      <c r="J1471" s="57" t="s">
        <v>128</v>
      </c>
      <c r="K1471" s="57" t="s">
        <v>591</v>
      </c>
      <c r="L1471" s="11" t="s">
        <v>914</v>
      </c>
      <c r="M1471" s="22">
        <v>1</v>
      </c>
      <c r="N1471" s="46">
        <f t="shared" si="31"/>
        <v>1714286</v>
      </c>
      <c r="O1471" s="49">
        <f t="shared" si="32"/>
        <v>1714286</v>
      </c>
      <c r="P1471" s="5" t="s">
        <v>393</v>
      </c>
      <c r="Q1471" s="5" t="s">
        <v>766</v>
      </c>
      <c r="R1471" s="11" t="s">
        <v>633</v>
      </c>
      <c r="S1471" s="22">
        <v>0</v>
      </c>
    </row>
    <row r="1472" spans="1:19" ht="51" outlineLevel="1">
      <c r="A1472" s="5">
        <v>1457</v>
      </c>
      <c r="B1472" s="15" t="s">
        <v>710</v>
      </c>
      <c r="C1472" s="31" t="s">
        <v>597</v>
      </c>
      <c r="D1472" s="15" t="s">
        <v>707</v>
      </c>
      <c r="E1472" s="57" t="s">
        <v>781</v>
      </c>
      <c r="F1472" s="57" t="s">
        <v>708</v>
      </c>
      <c r="G1472" s="57" t="s">
        <v>781</v>
      </c>
      <c r="H1472" s="57" t="s">
        <v>708</v>
      </c>
      <c r="I1472" s="57" t="s">
        <v>2057</v>
      </c>
      <c r="J1472" s="57" t="s">
        <v>128</v>
      </c>
      <c r="K1472" s="57" t="s">
        <v>591</v>
      </c>
      <c r="L1472" s="11" t="s">
        <v>914</v>
      </c>
      <c r="M1472" s="22">
        <v>1</v>
      </c>
      <c r="N1472" s="46">
        <f t="shared" si="31"/>
        <v>1714286</v>
      </c>
      <c r="O1472" s="49">
        <f t="shared" si="32"/>
        <v>1714286</v>
      </c>
      <c r="P1472" s="5" t="s">
        <v>393</v>
      </c>
      <c r="Q1472" s="5" t="s">
        <v>766</v>
      </c>
      <c r="R1472" s="11">
        <v>311000000</v>
      </c>
      <c r="S1472" s="22">
        <v>0</v>
      </c>
    </row>
    <row r="1473" spans="1:19" ht="51" outlineLevel="1">
      <c r="A1473" s="5">
        <v>1458</v>
      </c>
      <c r="B1473" s="15" t="s">
        <v>710</v>
      </c>
      <c r="C1473" s="31" t="s">
        <v>597</v>
      </c>
      <c r="D1473" s="15" t="s">
        <v>707</v>
      </c>
      <c r="E1473" s="57" t="s">
        <v>781</v>
      </c>
      <c r="F1473" s="57" t="s">
        <v>708</v>
      </c>
      <c r="G1473" s="57" t="s">
        <v>781</v>
      </c>
      <c r="H1473" s="57" t="s">
        <v>708</v>
      </c>
      <c r="I1473" s="57" t="s">
        <v>2057</v>
      </c>
      <c r="J1473" s="57" t="s">
        <v>128</v>
      </c>
      <c r="K1473" s="57" t="s">
        <v>591</v>
      </c>
      <c r="L1473" s="11" t="s">
        <v>914</v>
      </c>
      <c r="M1473" s="22">
        <v>1</v>
      </c>
      <c r="N1473" s="46">
        <f t="shared" si="31"/>
        <v>1714286</v>
      </c>
      <c r="O1473" s="49">
        <f t="shared" si="32"/>
        <v>1714286</v>
      </c>
      <c r="P1473" s="5" t="s">
        <v>393</v>
      </c>
      <c r="Q1473" s="5" t="s">
        <v>766</v>
      </c>
      <c r="R1473" s="11" t="s">
        <v>2024</v>
      </c>
      <c r="S1473" s="5">
        <v>0</v>
      </c>
    </row>
    <row r="1474" spans="1:19" ht="51" outlineLevel="1">
      <c r="A1474" s="5">
        <v>1459</v>
      </c>
      <c r="B1474" s="15" t="s">
        <v>710</v>
      </c>
      <c r="C1474" s="31" t="s">
        <v>597</v>
      </c>
      <c r="D1474" s="15" t="s">
        <v>707</v>
      </c>
      <c r="E1474" s="57" t="s">
        <v>781</v>
      </c>
      <c r="F1474" s="57" t="s">
        <v>708</v>
      </c>
      <c r="G1474" s="57" t="s">
        <v>781</v>
      </c>
      <c r="H1474" s="57" t="s">
        <v>708</v>
      </c>
      <c r="I1474" s="57" t="s">
        <v>2057</v>
      </c>
      <c r="J1474" s="57" t="s">
        <v>128</v>
      </c>
      <c r="K1474" s="57" t="s">
        <v>591</v>
      </c>
      <c r="L1474" s="11" t="s">
        <v>914</v>
      </c>
      <c r="M1474" s="22">
        <v>1</v>
      </c>
      <c r="N1474" s="46">
        <f t="shared" si="31"/>
        <v>1714286</v>
      </c>
      <c r="O1474" s="49">
        <f t="shared" si="32"/>
        <v>1714286</v>
      </c>
      <c r="P1474" s="5" t="s">
        <v>393</v>
      </c>
      <c r="Q1474" s="5" t="s">
        <v>766</v>
      </c>
      <c r="R1474" s="11">
        <v>351000000</v>
      </c>
      <c r="S1474" s="22">
        <v>0</v>
      </c>
    </row>
    <row r="1475" spans="1:19" ht="51" outlineLevel="1">
      <c r="A1475" s="5">
        <v>1460</v>
      </c>
      <c r="B1475" s="15" t="s">
        <v>710</v>
      </c>
      <c r="C1475" s="31" t="s">
        <v>597</v>
      </c>
      <c r="D1475" s="15" t="s">
        <v>707</v>
      </c>
      <c r="E1475" s="57" t="s">
        <v>781</v>
      </c>
      <c r="F1475" s="57" t="s">
        <v>708</v>
      </c>
      <c r="G1475" s="57" t="s">
        <v>781</v>
      </c>
      <c r="H1475" s="57" t="s">
        <v>708</v>
      </c>
      <c r="I1475" s="57" t="s">
        <v>2057</v>
      </c>
      <c r="J1475" s="57" t="s">
        <v>128</v>
      </c>
      <c r="K1475" s="57" t="s">
        <v>591</v>
      </c>
      <c r="L1475" s="11" t="s">
        <v>914</v>
      </c>
      <c r="M1475" s="22">
        <v>1</v>
      </c>
      <c r="N1475" s="46">
        <f t="shared" si="31"/>
        <v>1714286</v>
      </c>
      <c r="O1475" s="49">
        <f t="shared" si="32"/>
        <v>1714286</v>
      </c>
      <c r="P1475" s="5" t="s">
        <v>393</v>
      </c>
      <c r="Q1475" s="5" t="s">
        <v>766</v>
      </c>
      <c r="R1475" s="11" t="s">
        <v>925</v>
      </c>
      <c r="S1475" s="22">
        <v>0</v>
      </c>
    </row>
    <row r="1476" spans="1:19" ht="51" outlineLevel="1">
      <c r="A1476" s="5">
        <v>1461</v>
      </c>
      <c r="B1476" s="15" t="s">
        <v>710</v>
      </c>
      <c r="C1476" s="31" t="s">
        <v>597</v>
      </c>
      <c r="D1476" s="15" t="s">
        <v>707</v>
      </c>
      <c r="E1476" s="57" t="s">
        <v>781</v>
      </c>
      <c r="F1476" s="57" t="s">
        <v>708</v>
      </c>
      <c r="G1476" s="57" t="s">
        <v>781</v>
      </c>
      <c r="H1476" s="57" t="s">
        <v>708</v>
      </c>
      <c r="I1476" s="57" t="s">
        <v>2057</v>
      </c>
      <c r="J1476" s="57" t="s">
        <v>128</v>
      </c>
      <c r="K1476" s="57" t="s">
        <v>591</v>
      </c>
      <c r="L1476" s="11" t="s">
        <v>914</v>
      </c>
      <c r="M1476" s="22">
        <v>1</v>
      </c>
      <c r="N1476" s="46">
        <f t="shared" si="31"/>
        <v>1714286</v>
      </c>
      <c r="O1476" s="49">
        <f t="shared" si="32"/>
        <v>1714286</v>
      </c>
      <c r="P1476" s="5" t="s">
        <v>393</v>
      </c>
      <c r="Q1476" s="5" t="s">
        <v>766</v>
      </c>
      <c r="R1476" s="11">
        <v>431000000</v>
      </c>
      <c r="S1476" s="22">
        <v>0</v>
      </c>
    </row>
    <row r="1477" spans="1:19" ht="51" outlineLevel="1">
      <c r="A1477" s="5">
        <v>1462</v>
      </c>
      <c r="B1477" s="29" t="s">
        <v>710</v>
      </c>
      <c r="C1477" s="35" t="s">
        <v>597</v>
      </c>
      <c r="D1477" s="15" t="s">
        <v>707</v>
      </c>
      <c r="E1477" s="57" t="s">
        <v>781</v>
      </c>
      <c r="F1477" s="57" t="s">
        <v>708</v>
      </c>
      <c r="G1477" s="57" t="s">
        <v>781</v>
      </c>
      <c r="H1477" s="57" t="s">
        <v>708</v>
      </c>
      <c r="I1477" s="57" t="s">
        <v>2057</v>
      </c>
      <c r="J1477" s="57" t="s">
        <v>128</v>
      </c>
      <c r="K1477" s="57" t="s">
        <v>591</v>
      </c>
      <c r="L1477" s="11" t="s">
        <v>914</v>
      </c>
      <c r="M1477" s="22">
        <v>1</v>
      </c>
      <c r="N1477" s="46">
        <f t="shared" si="31"/>
        <v>1714286</v>
      </c>
      <c r="O1477" s="49">
        <f t="shared" si="32"/>
        <v>1714286</v>
      </c>
      <c r="P1477" s="5" t="s">
        <v>393</v>
      </c>
      <c r="Q1477" s="5" t="s">
        <v>766</v>
      </c>
      <c r="R1477" s="11" t="s">
        <v>715</v>
      </c>
      <c r="S1477" s="22">
        <v>0</v>
      </c>
    </row>
    <row r="1478" spans="1:19" s="32" customFormat="1" ht="51">
      <c r="A1478" s="5">
        <v>1463</v>
      </c>
      <c r="B1478" s="15" t="s">
        <v>710</v>
      </c>
      <c r="C1478" s="31" t="s">
        <v>597</v>
      </c>
      <c r="D1478" s="15" t="s">
        <v>707</v>
      </c>
      <c r="E1478" s="57" t="s">
        <v>781</v>
      </c>
      <c r="F1478" s="57" t="s">
        <v>708</v>
      </c>
      <c r="G1478" s="57" t="s">
        <v>781</v>
      </c>
      <c r="H1478" s="57" t="s">
        <v>708</v>
      </c>
      <c r="I1478" s="57" t="s">
        <v>2057</v>
      </c>
      <c r="J1478" s="57" t="s">
        <v>128</v>
      </c>
      <c r="K1478" s="57" t="s">
        <v>591</v>
      </c>
      <c r="L1478" s="11" t="s">
        <v>914</v>
      </c>
      <c r="M1478" s="22">
        <v>1</v>
      </c>
      <c r="N1478" s="46">
        <f t="shared" si="31"/>
        <v>1714286</v>
      </c>
      <c r="O1478" s="49">
        <f t="shared" si="32"/>
        <v>1714286</v>
      </c>
      <c r="P1478" s="5" t="s">
        <v>393</v>
      </c>
      <c r="Q1478" s="5" t="s">
        <v>766</v>
      </c>
      <c r="R1478" s="11">
        <v>551000000</v>
      </c>
      <c r="S1478" s="22">
        <v>0</v>
      </c>
    </row>
    <row r="1479" spans="1:19" ht="51" outlineLevel="1">
      <c r="A1479" s="5">
        <v>1464</v>
      </c>
      <c r="B1479" s="15" t="s">
        <v>941</v>
      </c>
      <c r="C1479" s="5" t="s">
        <v>597</v>
      </c>
      <c r="D1479" s="15" t="s">
        <v>707</v>
      </c>
      <c r="E1479" s="57" t="s">
        <v>781</v>
      </c>
      <c r="F1479" s="57" t="s">
        <v>708</v>
      </c>
      <c r="G1479" s="57" t="s">
        <v>781</v>
      </c>
      <c r="H1479" s="57" t="s">
        <v>708</v>
      </c>
      <c r="I1479" s="57" t="s">
        <v>2057</v>
      </c>
      <c r="J1479" s="57" t="s">
        <v>128</v>
      </c>
      <c r="K1479" s="57" t="s">
        <v>591</v>
      </c>
      <c r="L1479" s="11" t="s">
        <v>914</v>
      </c>
      <c r="M1479" s="22">
        <v>1</v>
      </c>
      <c r="N1479" s="46">
        <f t="shared" si="31"/>
        <v>1714286</v>
      </c>
      <c r="O1479" s="49">
        <f t="shared" si="32"/>
        <v>1714286</v>
      </c>
      <c r="P1479" s="5" t="s">
        <v>393</v>
      </c>
      <c r="Q1479" s="5" t="s">
        <v>766</v>
      </c>
      <c r="R1479" s="11">
        <v>591000000</v>
      </c>
      <c r="S1479" s="22">
        <v>0</v>
      </c>
    </row>
    <row r="1480" spans="1:19" ht="51" outlineLevel="1">
      <c r="A1480" s="5">
        <v>1465</v>
      </c>
      <c r="B1480" s="15" t="s">
        <v>710</v>
      </c>
      <c r="C1480" s="31" t="s">
        <v>597</v>
      </c>
      <c r="D1480" s="15" t="s">
        <v>707</v>
      </c>
      <c r="E1480" s="57" t="s">
        <v>781</v>
      </c>
      <c r="F1480" s="57" t="s">
        <v>708</v>
      </c>
      <c r="G1480" s="57" t="s">
        <v>781</v>
      </c>
      <c r="H1480" s="57" t="s">
        <v>708</v>
      </c>
      <c r="I1480" s="57" t="s">
        <v>2057</v>
      </c>
      <c r="J1480" s="57" t="s">
        <v>128</v>
      </c>
      <c r="K1480" s="57" t="s">
        <v>591</v>
      </c>
      <c r="L1480" s="11" t="s">
        <v>914</v>
      </c>
      <c r="M1480" s="22">
        <v>1</v>
      </c>
      <c r="N1480" s="46">
        <f t="shared" si="31"/>
        <v>1714286</v>
      </c>
      <c r="O1480" s="49">
        <f t="shared" si="32"/>
        <v>1714286</v>
      </c>
      <c r="P1480" s="5" t="s">
        <v>393</v>
      </c>
      <c r="Q1480" s="5" t="s">
        <v>766</v>
      </c>
      <c r="R1480" s="11" t="s">
        <v>2029</v>
      </c>
      <c r="S1480" s="5">
        <v>0</v>
      </c>
    </row>
    <row r="1481" spans="1:19" ht="51" outlineLevel="1">
      <c r="A1481" s="5">
        <v>1466</v>
      </c>
      <c r="B1481" s="15" t="s">
        <v>710</v>
      </c>
      <c r="C1481" s="31" t="s">
        <v>597</v>
      </c>
      <c r="D1481" s="15" t="s">
        <v>707</v>
      </c>
      <c r="E1481" s="76" t="s">
        <v>781</v>
      </c>
      <c r="F1481" s="76" t="s">
        <v>708</v>
      </c>
      <c r="G1481" s="76" t="s">
        <v>781</v>
      </c>
      <c r="H1481" s="76" t="s">
        <v>708</v>
      </c>
      <c r="I1481" s="76" t="s">
        <v>2057</v>
      </c>
      <c r="J1481" s="76" t="s">
        <v>128</v>
      </c>
      <c r="K1481" s="76" t="s">
        <v>591</v>
      </c>
      <c r="L1481" s="11" t="s">
        <v>914</v>
      </c>
      <c r="M1481" s="22">
        <v>1</v>
      </c>
      <c r="N1481" s="46">
        <f t="shared" si="31"/>
        <v>2155714</v>
      </c>
      <c r="O1481" s="49">
        <f>1440000+274286+441428</f>
        <v>2155714</v>
      </c>
      <c r="P1481" s="5" t="s">
        <v>393</v>
      </c>
      <c r="Q1481" s="5" t="s">
        <v>766</v>
      </c>
      <c r="R1481" s="11" t="s">
        <v>2022</v>
      </c>
      <c r="S1481" s="22">
        <v>0</v>
      </c>
    </row>
    <row r="1482" spans="1:19" ht="51" outlineLevel="1">
      <c r="A1482" s="5">
        <v>1467</v>
      </c>
      <c r="B1482" s="15" t="s">
        <v>710</v>
      </c>
      <c r="C1482" s="31" t="s">
        <v>597</v>
      </c>
      <c r="D1482" s="15" t="s">
        <v>707</v>
      </c>
      <c r="E1482" s="57" t="s">
        <v>781</v>
      </c>
      <c r="F1482" s="57" t="s">
        <v>708</v>
      </c>
      <c r="G1482" s="57" t="s">
        <v>781</v>
      </c>
      <c r="H1482" s="57" t="s">
        <v>708</v>
      </c>
      <c r="I1482" s="57" t="s">
        <v>2057</v>
      </c>
      <c r="J1482" s="57" t="s">
        <v>128</v>
      </c>
      <c r="K1482" s="57" t="s">
        <v>591</v>
      </c>
      <c r="L1482" s="11" t="s">
        <v>914</v>
      </c>
      <c r="M1482" s="22">
        <v>1</v>
      </c>
      <c r="N1482" s="46">
        <f>O1482</f>
        <v>1714286</v>
      </c>
      <c r="O1482" s="49">
        <f t="shared" si="32"/>
        <v>1714286</v>
      </c>
      <c r="P1482" s="5" t="s">
        <v>393</v>
      </c>
      <c r="Q1482" s="5" t="s">
        <v>766</v>
      </c>
      <c r="R1482" s="11" t="s">
        <v>2027</v>
      </c>
      <c r="S1482" s="22">
        <v>0</v>
      </c>
    </row>
    <row r="1483" spans="1:19" ht="153" outlineLevel="1">
      <c r="A1483" s="5">
        <v>1468</v>
      </c>
      <c r="B1483" s="29" t="s">
        <v>710</v>
      </c>
      <c r="C1483" s="35" t="s">
        <v>597</v>
      </c>
      <c r="D1483" s="11" t="s">
        <v>922</v>
      </c>
      <c r="E1483" s="57" t="s">
        <v>2050</v>
      </c>
      <c r="F1483" s="57" t="s">
        <v>923</v>
      </c>
      <c r="G1483" s="57" t="s">
        <v>2051</v>
      </c>
      <c r="H1483" s="57" t="s">
        <v>924</v>
      </c>
      <c r="I1483" s="57" t="s">
        <v>2052</v>
      </c>
      <c r="J1483" s="57" t="s">
        <v>130</v>
      </c>
      <c r="K1483" s="57" t="s">
        <v>591</v>
      </c>
      <c r="L1483" s="11" t="s">
        <v>914</v>
      </c>
      <c r="M1483" s="22">
        <v>1</v>
      </c>
      <c r="N1483" s="46">
        <v>840000</v>
      </c>
      <c r="O1483" s="49">
        <f t="shared" ref="O1483:O1531" si="33">M1483*N1483</f>
        <v>840000</v>
      </c>
      <c r="P1483" s="5" t="s">
        <v>393</v>
      </c>
      <c r="Q1483" s="5" t="s">
        <v>766</v>
      </c>
      <c r="R1483" s="11" t="s">
        <v>2030</v>
      </c>
      <c r="S1483" s="22">
        <v>0</v>
      </c>
    </row>
    <row r="1484" spans="1:19" ht="153" outlineLevel="1">
      <c r="A1484" s="5">
        <v>1469</v>
      </c>
      <c r="B1484" s="15" t="s">
        <v>710</v>
      </c>
      <c r="C1484" s="31" t="s">
        <v>597</v>
      </c>
      <c r="D1484" s="11" t="s">
        <v>922</v>
      </c>
      <c r="E1484" s="57" t="s">
        <v>2050</v>
      </c>
      <c r="F1484" s="57" t="s">
        <v>923</v>
      </c>
      <c r="G1484" s="57" t="s">
        <v>2051</v>
      </c>
      <c r="H1484" s="57" t="s">
        <v>924</v>
      </c>
      <c r="I1484" s="57" t="s">
        <v>2052</v>
      </c>
      <c r="J1484" s="57" t="s">
        <v>130</v>
      </c>
      <c r="K1484" s="57" t="s">
        <v>591</v>
      </c>
      <c r="L1484" s="11" t="s">
        <v>914</v>
      </c>
      <c r="M1484" s="22">
        <v>1</v>
      </c>
      <c r="N1484" s="46">
        <v>840000</v>
      </c>
      <c r="O1484" s="49">
        <f t="shared" si="33"/>
        <v>840000</v>
      </c>
      <c r="P1484" s="5" t="s">
        <v>393</v>
      </c>
      <c r="Q1484" s="5" t="s">
        <v>766</v>
      </c>
      <c r="R1484" s="11" t="s">
        <v>1021</v>
      </c>
      <c r="S1484" s="5">
        <v>0</v>
      </c>
    </row>
    <row r="1485" spans="1:19" ht="153" outlineLevel="1">
      <c r="A1485" s="5">
        <v>1470</v>
      </c>
      <c r="B1485" s="15" t="s">
        <v>710</v>
      </c>
      <c r="C1485" s="31" t="s">
        <v>597</v>
      </c>
      <c r="D1485" s="11" t="s">
        <v>922</v>
      </c>
      <c r="E1485" s="57" t="s">
        <v>2050</v>
      </c>
      <c r="F1485" s="57" t="s">
        <v>923</v>
      </c>
      <c r="G1485" s="57" t="s">
        <v>2051</v>
      </c>
      <c r="H1485" s="57" t="s">
        <v>924</v>
      </c>
      <c r="I1485" s="57" t="s">
        <v>2052</v>
      </c>
      <c r="J1485" s="57" t="s">
        <v>130</v>
      </c>
      <c r="K1485" s="57" t="s">
        <v>591</v>
      </c>
      <c r="L1485" s="11" t="s">
        <v>914</v>
      </c>
      <c r="M1485" s="22">
        <v>1</v>
      </c>
      <c r="N1485" s="46">
        <v>840000</v>
      </c>
      <c r="O1485" s="49">
        <f t="shared" si="33"/>
        <v>840000</v>
      </c>
      <c r="P1485" s="5" t="s">
        <v>393</v>
      </c>
      <c r="Q1485" s="5" t="s">
        <v>766</v>
      </c>
      <c r="R1485" s="11" t="s">
        <v>789</v>
      </c>
      <c r="S1485" s="5">
        <v>0</v>
      </c>
    </row>
    <row r="1486" spans="1:19" s="13" customFormat="1" ht="153">
      <c r="A1486" s="5">
        <v>1471</v>
      </c>
      <c r="B1486" s="15" t="s">
        <v>710</v>
      </c>
      <c r="C1486" s="31" t="s">
        <v>597</v>
      </c>
      <c r="D1486" s="11" t="s">
        <v>922</v>
      </c>
      <c r="E1486" s="57" t="s">
        <v>2050</v>
      </c>
      <c r="F1486" s="57" t="s">
        <v>923</v>
      </c>
      <c r="G1486" s="57" t="s">
        <v>2051</v>
      </c>
      <c r="H1486" s="57" t="s">
        <v>924</v>
      </c>
      <c r="I1486" s="57" t="s">
        <v>2052</v>
      </c>
      <c r="J1486" s="57" t="s">
        <v>130</v>
      </c>
      <c r="K1486" s="57" t="s">
        <v>591</v>
      </c>
      <c r="L1486" s="11" t="s">
        <v>914</v>
      </c>
      <c r="M1486" s="22">
        <v>1</v>
      </c>
      <c r="N1486" s="46">
        <v>840000</v>
      </c>
      <c r="O1486" s="49">
        <f t="shared" si="33"/>
        <v>840000</v>
      </c>
      <c r="P1486" s="5" t="s">
        <v>393</v>
      </c>
      <c r="Q1486" s="5" t="s">
        <v>766</v>
      </c>
      <c r="R1486" s="11" t="s">
        <v>2023</v>
      </c>
      <c r="S1486" s="22">
        <v>100</v>
      </c>
    </row>
    <row r="1487" spans="1:19" ht="153">
      <c r="A1487" s="5">
        <v>1472</v>
      </c>
      <c r="B1487" s="15" t="s">
        <v>710</v>
      </c>
      <c r="C1487" s="31" t="s">
        <v>597</v>
      </c>
      <c r="D1487" s="11" t="s">
        <v>922</v>
      </c>
      <c r="E1487" s="57" t="s">
        <v>2050</v>
      </c>
      <c r="F1487" s="57" t="s">
        <v>923</v>
      </c>
      <c r="G1487" s="57" t="s">
        <v>2051</v>
      </c>
      <c r="H1487" s="57" t="s">
        <v>924</v>
      </c>
      <c r="I1487" s="57" t="s">
        <v>2052</v>
      </c>
      <c r="J1487" s="57" t="s">
        <v>130</v>
      </c>
      <c r="K1487" s="57" t="s">
        <v>591</v>
      </c>
      <c r="L1487" s="11" t="s">
        <v>914</v>
      </c>
      <c r="M1487" s="22">
        <v>1</v>
      </c>
      <c r="N1487" s="46">
        <v>840000</v>
      </c>
      <c r="O1487" s="49">
        <f t="shared" si="33"/>
        <v>840000</v>
      </c>
      <c r="P1487" s="5" t="s">
        <v>393</v>
      </c>
      <c r="Q1487" s="15" t="s">
        <v>1471</v>
      </c>
      <c r="R1487" s="11" t="s">
        <v>633</v>
      </c>
      <c r="S1487" s="22">
        <v>0</v>
      </c>
    </row>
    <row r="1488" spans="1:19" s="34" customFormat="1" ht="153">
      <c r="A1488" s="5">
        <v>1473</v>
      </c>
      <c r="B1488" s="15" t="s">
        <v>710</v>
      </c>
      <c r="C1488" s="31" t="s">
        <v>597</v>
      </c>
      <c r="D1488" s="11" t="s">
        <v>922</v>
      </c>
      <c r="E1488" s="57" t="s">
        <v>2050</v>
      </c>
      <c r="F1488" s="57" t="s">
        <v>923</v>
      </c>
      <c r="G1488" s="57" t="s">
        <v>2051</v>
      </c>
      <c r="H1488" s="57" t="s">
        <v>924</v>
      </c>
      <c r="I1488" s="57" t="s">
        <v>2052</v>
      </c>
      <c r="J1488" s="57" t="s">
        <v>130</v>
      </c>
      <c r="K1488" s="57" t="s">
        <v>591</v>
      </c>
      <c r="L1488" s="11" t="s">
        <v>914</v>
      </c>
      <c r="M1488" s="22">
        <v>1</v>
      </c>
      <c r="N1488" s="46">
        <v>840000</v>
      </c>
      <c r="O1488" s="49">
        <f t="shared" si="33"/>
        <v>840000</v>
      </c>
      <c r="P1488" s="5" t="s">
        <v>393</v>
      </c>
      <c r="Q1488" s="5" t="s">
        <v>766</v>
      </c>
      <c r="R1488" s="11">
        <v>311000000</v>
      </c>
      <c r="S1488" s="22">
        <v>0</v>
      </c>
    </row>
    <row r="1489" spans="1:19" s="36" customFormat="1" ht="153">
      <c r="A1489" s="5">
        <v>1474</v>
      </c>
      <c r="B1489" s="15" t="s">
        <v>710</v>
      </c>
      <c r="C1489" s="31" t="s">
        <v>597</v>
      </c>
      <c r="D1489" s="11" t="s">
        <v>922</v>
      </c>
      <c r="E1489" s="57" t="s">
        <v>2050</v>
      </c>
      <c r="F1489" s="57" t="s">
        <v>923</v>
      </c>
      <c r="G1489" s="57" t="s">
        <v>2051</v>
      </c>
      <c r="H1489" s="57" t="s">
        <v>924</v>
      </c>
      <c r="I1489" s="57" t="s">
        <v>2052</v>
      </c>
      <c r="J1489" s="57" t="s">
        <v>130</v>
      </c>
      <c r="K1489" s="57" t="s">
        <v>591</v>
      </c>
      <c r="L1489" s="11" t="s">
        <v>914</v>
      </c>
      <c r="M1489" s="22">
        <v>1</v>
      </c>
      <c r="N1489" s="46">
        <v>840000</v>
      </c>
      <c r="O1489" s="49">
        <f t="shared" si="33"/>
        <v>840000</v>
      </c>
      <c r="P1489" s="5" t="s">
        <v>393</v>
      </c>
      <c r="Q1489" s="5" t="s">
        <v>766</v>
      </c>
      <c r="R1489" s="11" t="s">
        <v>2024</v>
      </c>
      <c r="S1489" s="22">
        <v>0</v>
      </c>
    </row>
    <row r="1490" spans="1:19" s="13" customFormat="1" ht="153">
      <c r="A1490" s="5">
        <v>1475</v>
      </c>
      <c r="B1490" s="15" t="s">
        <v>710</v>
      </c>
      <c r="C1490" s="31" t="s">
        <v>597</v>
      </c>
      <c r="D1490" s="11" t="s">
        <v>922</v>
      </c>
      <c r="E1490" s="57" t="s">
        <v>2050</v>
      </c>
      <c r="F1490" s="57" t="s">
        <v>923</v>
      </c>
      <c r="G1490" s="57" t="s">
        <v>2051</v>
      </c>
      <c r="H1490" s="57" t="s">
        <v>924</v>
      </c>
      <c r="I1490" s="57" t="s">
        <v>2052</v>
      </c>
      <c r="J1490" s="57" t="s">
        <v>130</v>
      </c>
      <c r="K1490" s="57" t="s">
        <v>591</v>
      </c>
      <c r="L1490" s="11" t="s">
        <v>914</v>
      </c>
      <c r="M1490" s="22">
        <v>1</v>
      </c>
      <c r="N1490" s="46">
        <v>840000</v>
      </c>
      <c r="O1490" s="49">
        <f t="shared" si="33"/>
        <v>840000</v>
      </c>
      <c r="P1490" s="5" t="s">
        <v>393</v>
      </c>
      <c r="Q1490" s="15" t="s">
        <v>1471</v>
      </c>
      <c r="R1490" s="11">
        <v>351000000</v>
      </c>
      <c r="S1490" s="22">
        <v>0</v>
      </c>
    </row>
    <row r="1491" spans="1:19" ht="153">
      <c r="A1491" s="5">
        <v>1476</v>
      </c>
      <c r="B1491" s="15" t="s">
        <v>710</v>
      </c>
      <c r="C1491" s="31" t="s">
        <v>597</v>
      </c>
      <c r="D1491" s="11" t="s">
        <v>922</v>
      </c>
      <c r="E1491" s="57" t="s">
        <v>2050</v>
      </c>
      <c r="F1491" s="57" t="s">
        <v>923</v>
      </c>
      <c r="G1491" s="57" t="s">
        <v>2051</v>
      </c>
      <c r="H1491" s="57" t="s">
        <v>924</v>
      </c>
      <c r="I1491" s="57" t="s">
        <v>2052</v>
      </c>
      <c r="J1491" s="57" t="s">
        <v>130</v>
      </c>
      <c r="K1491" s="57" t="s">
        <v>591</v>
      </c>
      <c r="L1491" s="11" t="s">
        <v>914</v>
      </c>
      <c r="M1491" s="22">
        <v>1</v>
      </c>
      <c r="N1491" s="46">
        <v>840000</v>
      </c>
      <c r="O1491" s="49">
        <f t="shared" si="33"/>
        <v>840000</v>
      </c>
      <c r="P1491" s="5" t="s">
        <v>393</v>
      </c>
      <c r="Q1491" s="5" t="s">
        <v>766</v>
      </c>
      <c r="R1491" s="11" t="s">
        <v>925</v>
      </c>
      <c r="S1491" s="22">
        <v>0</v>
      </c>
    </row>
    <row r="1492" spans="1:19" s="13" customFormat="1" ht="153">
      <c r="A1492" s="5">
        <v>1477</v>
      </c>
      <c r="B1492" s="15" t="s">
        <v>710</v>
      </c>
      <c r="C1492" s="31" t="s">
        <v>597</v>
      </c>
      <c r="D1492" s="11" t="s">
        <v>922</v>
      </c>
      <c r="E1492" s="57" t="s">
        <v>2050</v>
      </c>
      <c r="F1492" s="57" t="s">
        <v>923</v>
      </c>
      <c r="G1492" s="57" t="s">
        <v>2051</v>
      </c>
      <c r="H1492" s="57" t="s">
        <v>924</v>
      </c>
      <c r="I1492" s="57" t="s">
        <v>2052</v>
      </c>
      <c r="J1492" s="57" t="s">
        <v>130</v>
      </c>
      <c r="K1492" s="57" t="s">
        <v>591</v>
      </c>
      <c r="L1492" s="11" t="s">
        <v>914</v>
      </c>
      <c r="M1492" s="22">
        <v>1</v>
      </c>
      <c r="N1492" s="46">
        <v>840000</v>
      </c>
      <c r="O1492" s="49">
        <f t="shared" si="33"/>
        <v>840000</v>
      </c>
      <c r="P1492" s="5" t="s">
        <v>393</v>
      </c>
      <c r="Q1492" s="5" t="s">
        <v>766</v>
      </c>
      <c r="R1492" s="11">
        <v>431000000</v>
      </c>
      <c r="S1492" s="22">
        <v>0</v>
      </c>
    </row>
    <row r="1493" spans="1:19" ht="84.75" customHeight="1">
      <c r="A1493" s="5">
        <v>1478</v>
      </c>
      <c r="B1493" s="29" t="s">
        <v>710</v>
      </c>
      <c r="C1493" s="5" t="s">
        <v>597</v>
      </c>
      <c r="D1493" s="11" t="s">
        <v>922</v>
      </c>
      <c r="E1493" s="57" t="s">
        <v>2050</v>
      </c>
      <c r="F1493" s="57" t="s">
        <v>923</v>
      </c>
      <c r="G1493" s="57" t="s">
        <v>2051</v>
      </c>
      <c r="H1493" s="57" t="s">
        <v>924</v>
      </c>
      <c r="I1493" s="57" t="s">
        <v>2052</v>
      </c>
      <c r="J1493" s="57" t="s">
        <v>130</v>
      </c>
      <c r="K1493" s="57" t="s">
        <v>591</v>
      </c>
      <c r="L1493" s="11" t="s">
        <v>914</v>
      </c>
      <c r="M1493" s="22">
        <v>1</v>
      </c>
      <c r="N1493" s="46">
        <v>840000</v>
      </c>
      <c r="O1493" s="49">
        <f t="shared" si="33"/>
        <v>840000</v>
      </c>
      <c r="P1493" s="5" t="s">
        <v>393</v>
      </c>
      <c r="Q1493" s="5" t="s">
        <v>766</v>
      </c>
      <c r="R1493" s="11" t="s">
        <v>715</v>
      </c>
      <c r="S1493" s="22">
        <v>0</v>
      </c>
    </row>
    <row r="1494" spans="1:19" s="32" customFormat="1" ht="63.75" customHeight="1">
      <c r="A1494" s="5">
        <v>1479</v>
      </c>
      <c r="B1494" s="15" t="s">
        <v>710</v>
      </c>
      <c r="C1494" s="31" t="s">
        <v>597</v>
      </c>
      <c r="D1494" s="11" t="s">
        <v>922</v>
      </c>
      <c r="E1494" s="57" t="s">
        <v>2050</v>
      </c>
      <c r="F1494" s="57" t="s">
        <v>923</v>
      </c>
      <c r="G1494" s="57" t="s">
        <v>2051</v>
      </c>
      <c r="H1494" s="57" t="s">
        <v>924</v>
      </c>
      <c r="I1494" s="57" t="s">
        <v>2052</v>
      </c>
      <c r="J1494" s="57" t="s">
        <v>130</v>
      </c>
      <c r="K1494" s="57" t="s">
        <v>591</v>
      </c>
      <c r="L1494" s="11" t="s">
        <v>914</v>
      </c>
      <c r="M1494" s="22">
        <v>1</v>
      </c>
      <c r="N1494" s="46">
        <v>840000</v>
      </c>
      <c r="O1494" s="49">
        <f t="shared" si="33"/>
        <v>840000</v>
      </c>
      <c r="P1494" s="5" t="s">
        <v>393</v>
      </c>
      <c r="Q1494" s="5" t="s">
        <v>766</v>
      </c>
      <c r="R1494" s="11">
        <v>551000000</v>
      </c>
      <c r="S1494" s="22">
        <v>0</v>
      </c>
    </row>
    <row r="1495" spans="1:19" s="13" customFormat="1" ht="153">
      <c r="A1495" s="5">
        <v>1480</v>
      </c>
      <c r="B1495" s="15" t="s">
        <v>941</v>
      </c>
      <c r="C1495" s="5" t="s">
        <v>597</v>
      </c>
      <c r="D1495" s="11" t="s">
        <v>922</v>
      </c>
      <c r="E1495" s="57" t="s">
        <v>2050</v>
      </c>
      <c r="F1495" s="57" t="s">
        <v>923</v>
      </c>
      <c r="G1495" s="57" t="s">
        <v>2051</v>
      </c>
      <c r="H1495" s="57" t="s">
        <v>924</v>
      </c>
      <c r="I1495" s="57" t="s">
        <v>2052</v>
      </c>
      <c r="J1495" s="57" t="s">
        <v>130</v>
      </c>
      <c r="K1495" s="57" t="s">
        <v>591</v>
      </c>
      <c r="L1495" s="11" t="s">
        <v>914</v>
      </c>
      <c r="M1495" s="22">
        <v>1</v>
      </c>
      <c r="N1495" s="46">
        <v>840000</v>
      </c>
      <c r="O1495" s="49">
        <f t="shared" si="33"/>
        <v>840000</v>
      </c>
      <c r="P1495" s="5" t="s">
        <v>393</v>
      </c>
      <c r="Q1495" s="5" t="s">
        <v>766</v>
      </c>
      <c r="R1495" s="11">
        <v>591000000</v>
      </c>
      <c r="S1495" s="22">
        <v>0</v>
      </c>
    </row>
    <row r="1496" spans="1:19" s="13" customFormat="1" ht="153">
      <c r="A1496" s="5">
        <v>1481</v>
      </c>
      <c r="B1496" s="15" t="s">
        <v>710</v>
      </c>
      <c r="C1496" s="31" t="s">
        <v>597</v>
      </c>
      <c r="D1496" s="11" t="s">
        <v>922</v>
      </c>
      <c r="E1496" s="57" t="s">
        <v>2050</v>
      </c>
      <c r="F1496" s="57" t="s">
        <v>923</v>
      </c>
      <c r="G1496" s="57" t="s">
        <v>2051</v>
      </c>
      <c r="H1496" s="57" t="s">
        <v>924</v>
      </c>
      <c r="I1496" s="57" t="s">
        <v>2052</v>
      </c>
      <c r="J1496" s="57" t="s">
        <v>130</v>
      </c>
      <c r="K1496" s="57" t="s">
        <v>591</v>
      </c>
      <c r="L1496" s="11" t="s">
        <v>914</v>
      </c>
      <c r="M1496" s="22">
        <v>1</v>
      </c>
      <c r="N1496" s="46">
        <v>840000</v>
      </c>
      <c r="O1496" s="49">
        <f t="shared" si="33"/>
        <v>840000</v>
      </c>
      <c r="P1496" s="5" t="s">
        <v>393</v>
      </c>
      <c r="Q1496" s="5" t="s">
        <v>2387</v>
      </c>
      <c r="R1496" s="11" t="s">
        <v>2029</v>
      </c>
      <c r="S1496" s="5">
        <v>0</v>
      </c>
    </row>
    <row r="1497" spans="1:19" s="13" customFormat="1" ht="153">
      <c r="A1497" s="5">
        <v>1482</v>
      </c>
      <c r="B1497" s="15" t="s">
        <v>710</v>
      </c>
      <c r="C1497" s="31" t="s">
        <v>597</v>
      </c>
      <c r="D1497" s="11" t="s">
        <v>922</v>
      </c>
      <c r="E1497" s="57" t="s">
        <v>2050</v>
      </c>
      <c r="F1497" s="57" t="s">
        <v>923</v>
      </c>
      <c r="G1497" s="57" t="s">
        <v>2051</v>
      </c>
      <c r="H1497" s="57" t="s">
        <v>924</v>
      </c>
      <c r="I1497" s="57" t="s">
        <v>2052</v>
      </c>
      <c r="J1497" s="57" t="s">
        <v>130</v>
      </c>
      <c r="K1497" s="57" t="s">
        <v>591</v>
      </c>
      <c r="L1497" s="11" t="s">
        <v>914</v>
      </c>
      <c r="M1497" s="22">
        <v>1</v>
      </c>
      <c r="N1497" s="46">
        <v>840000</v>
      </c>
      <c r="O1497" s="49">
        <f t="shared" si="33"/>
        <v>840000</v>
      </c>
      <c r="P1497" s="5" t="s">
        <v>391</v>
      </c>
      <c r="Q1497" s="5" t="s">
        <v>766</v>
      </c>
      <c r="R1497" s="11" t="s">
        <v>2022</v>
      </c>
      <c r="S1497" s="22">
        <v>0</v>
      </c>
    </row>
    <row r="1498" spans="1:19" ht="153">
      <c r="A1498" s="5">
        <v>1483</v>
      </c>
      <c r="B1498" s="15" t="s">
        <v>710</v>
      </c>
      <c r="C1498" s="31" t="s">
        <v>597</v>
      </c>
      <c r="D1498" s="11" t="s">
        <v>922</v>
      </c>
      <c r="E1498" s="57" t="s">
        <v>2050</v>
      </c>
      <c r="F1498" s="57" t="s">
        <v>923</v>
      </c>
      <c r="G1498" s="57" t="s">
        <v>2051</v>
      </c>
      <c r="H1498" s="57" t="s">
        <v>924</v>
      </c>
      <c r="I1498" s="57" t="s">
        <v>2052</v>
      </c>
      <c r="J1498" s="57" t="s">
        <v>130</v>
      </c>
      <c r="K1498" s="57" t="s">
        <v>591</v>
      </c>
      <c r="L1498" s="11" t="s">
        <v>914</v>
      </c>
      <c r="M1498" s="22">
        <v>1</v>
      </c>
      <c r="N1498" s="46">
        <v>840000</v>
      </c>
      <c r="O1498" s="49">
        <f t="shared" si="33"/>
        <v>840000</v>
      </c>
      <c r="P1498" s="5" t="s">
        <v>393</v>
      </c>
      <c r="Q1498" s="15" t="s">
        <v>1471</v>
      </c>
      <c r="R1498" s="11" t="s">
        <v>694</v>
      </c>
      <c r="S1498" s="22">
        <v>0</v>
      </c>
    </row>
    <row r="1499" spans="1:19" s="13" customFormat="1" ht="76.5" collapsed="1">
      <c r="A1499" s="5">
        <v>1484</v>
      </c>
      <c r="B1499" s="15" t="s">
        <v>710</v>
      </c>
      <c r="C1499" s="31" t="s">
        <v>597</v>
      </c>
      <c r="D1499" s="31" t="s">
        <v>1300</v>
      </c>
      <c r="E1499" s="57" t="s">
        <v>1930</v>
      </c>
      <c r="F1499" s="57" t="s">
        <v>1301</v>
      </c>
      <c r="G1499" s="57" t="s">
        <v>1931</v>
      </c>
      <c r="H1499" s="57" t="s">
        <v>1302</v>
      </c>
      <c r="I1499" s="57" t="s">
        <v>1932</v>
      </c>
      <c r="J1499" s="57" t="s">
        <v>86</v>
      </c>
      <c r="K1499" s="57" t="s">
        <v>1485</v>
      </c>
      <c r="L1499" s="11" t="s">
        <v>914</v>
      </c>
      <c r="M1499" s="22">
        <v>1</v>
      </c>
      <c r="N1499" s="46">
        <v>16071429</v>
      </c>
      <c r="O1499" s="49">
        <f t="shared" si="33"/>
        <v>16071429</v>
      </c>
      <c r="P1499" s="5" t="s">
        <v>588</v>
      </c>
      <c r="Q1499" s="5" t="s">
        <v>3592</v>
      </c>
      <c r="R1499" s="11" t="s">
        <v>1175</v>
      </c>
      <c r="S1499" s="5">
        <v>0</v>
      </c>
    </row>
    <row r="1500" spans="1:19" ht="63.75">
      <c r="A1500" s="5">
        <v>1485</v>
      </c>
      <c r="B1500" s="15" t="s">
        <v>710</v>
      </c>
      <c r="C1500" s="31" t="s">
        <v>597</v>
      </c>
      <c r="D1500" s="5" t="s">
        <v>1430</v>
      </c>
      <c r="E1500" s="57" t="s">
        <v>1947</v>
      </c>
      <c r="F1500" s="57" t="s">
        <v>1948</v>
      </c>
      <c r="G1500" s="57" t="s">
        <v>1947</v>
      </c>
      <c r="H1500" s="57" t="s">
        <v>1948</v>
      </c>
      <c r="I1500" s="57" t="s">
        <v>1933</v>
      </c>
      <c r="J1500" s="57" t="s">
        <v>290</v>
      </c>
      <c r="K1500" s="57" t="s">
        <v>1484</v>
      </c>
      <c r="L1500" s="11" t="s">
        <v>914</v>
      </c>
      <c r="M1500" s="22">
        <v>1</v>
      </c>
      <c r="N1500" s="46">
        <f>O1500/M1500</f>
        <v>0</v>
      </c>
      <c r="O1500" s="49">
        <f>6555000-2055000-4500000</f>
        <v>0</v>
      </c>
      <c r="P1500" s="5" t="s">
        <v>612</v>
      </c>
      <c r="Q1500" s="15" t="s">
        <v>766</v>
      </c>
      <c r="R1500" s="11" t="s">
        <v>1175</v>
      </c>
      <c r="S1500" s="22">
        <v>30</v>
      </c>
    </row>
    <row r="1501" spans="1:19" ht="102">
      <c r="A1501" s="5">
        <v>1486</v>
      </c>
      <c r="B1501" s="15" t="s">
        <v>710</v>
      </c>
      <c r="C1501" s="31" t="s">
        <v>597</v>
      </c>
      <c r="D1501" s="5" t="s">
        <v>966</v>
      </c>
      <c r="E1501" s="57" t="s">
        <v>1953</v>
      </c>
      <c r="F1501" s="57" t="s">
        <v>916</v>
      </c>
      <c r="G1501" s="57" t="s">
        <v>2758</v>
      </c>
      <c r="H1501" s="57" t="s">
        <v>1498</v>
      </c>
      <c r="I1501" s="57" t="s">
        <v>2760</v>
      </c>
      <c r="J1501" s="57" t="s">
        <v>2759</v>
      </c>
      <c r="K1501" s="57" t="s">
        <v>591</v>
      </c>
      <c r="L1501" s="11" t="s">
        <v>914</v>
      </c>
      <c r="M1501" s="22">
        <v>1</v>
      </c>
      <c r="N1501" s="46">
        <f>O1501/M1501</f>
        <v>3303571</v>
      </c>
      <c r="O1501" s="49">
        <f>2678571+625000</f>
        <v>3303571</v>
      </c>
      <c r="P1501" s="5" t="s">
        <v>502</v>
      </c>
      <c r="Q1501" s="15" t="s">
        <v>766</v>
      </c>
      <c r="R1501" s="11" t="s">
        <v>1175</v>
      </c>
      <c r="S1501" s="22">
        <v>30</v>
      </c>
    </row>
    <row r="1502" spans="1:19" s="1" customFormat="1" ht="114.75">
      <c r="A1502" s="5">
        <v>1487</v>
      </c>
      <c r="B1502" s="15" t="s">
        <v>710</v>
      </c>
      <c r="C1502" s="31" t="s">
        <v>597</v>
      </c>
      <c r="D1502" s="5" t="s">
        <v>1421</v>
      </c>
      <c r="E1502" s="57" t="s">
        <v>1938</v>
      </c>
      <c r="F1502" s="57" t="s">
        <v>1422</v>
      </c>
      <c r="G1502" s="57" t="s">
        <v>1937</v>
      </c>
      <c r="H1502" s="57" t="s">
        <v>1423</v>
      </c>
      <c r="I1502" s="57" t="s">
        <v>1936</v>
      </c>
      <c r="J1502" s="57" t="s">
        <v>291</v>
      </c>
      <c r="K1502" s="57" t="s">
        <v>591</v>
      </c>
      <c r="L1502" s="11" t="s">
        <v>914</v>
      </c>
      <c r="M1502" s="22">
        <v>1</v>
      </c>
      <c r="N1502" s="46">
        <f>O1502/M1502</f>
        <v>1000000</v>
      </c>
      <c r="O1502" s="49">
        <f>1300000-300000</f>
        <v>1000000</v>
      </c>
      <c r="P1502" s="5" t="s">
        <v>501</v>
      </c>
      <c r="Q1502" s="5" t="s">
        <v>766</v>
      </c>
      <c r="R1502" s="11" t="s">
        <v>1175</v>
      </c>
      <c r="S1502" s="5">
        <v>30</v>
      </c>
    </row>
    <row r="1503" spans="1:19" s="1" customFormat="1" ht="89.25">
      <c r="A1503" s="5">
        <v>1488</v>
      </c>
      <c r="B1503" s="15" t="s">
        <v>710</v>
      </c>
      <c r="C1503" s="31" t="s">
        <v>597</v>
      </c>
      <c r="D1503" s="5" t="s">
        <v>1424</v>
      </c>
      <c r="E1503" s="57" t="s">
        <v>1939</v>
      </c>
      <c r="F1503" s="57" t="s">
        <v>1425</v>
      </c>
      <c r="G1503" s="57" t="s">
        <v>1939</v>
      </c>
      <c r="H1503" s="57" t="s">
        <v>1426</v>
      </c>
      <c r="I1503" s="57" t="s">
        <v>2762</v>
      </c>
      <c r="J1503" s="57" t="s">
        <v>2761</v>
      </c>
      <c r="K1503" s="57" t="s">
        <v>591</v>
      </c>
      <c r="L1503" s="11" t="s">
        <v>914</v>
      </c>
      <c r="M1503" s="22">
        <v>1</v>
      </c>
      <c r="N1503" s="46">
        <f>O1503/M1503</f>
        <v>1500000</v>
      </c>
      <c r="O1503" s="49">
        <f>1071429+428571</f>
        <v>1500000</v>
      </c>
      <c r="P1503" s="5" t="s">
        <v>612</v>
      </c>
      <c r="Q1503" s="5" t="s">
        <v>766</v>
      </c>
      <c r="R1503" s="11" t="s">
        <v>1175</v>
      </c>
      <c r="S1503" s="5">
        <v>30</v>
      </c>
    </row>
    <row r="1504" spans="1:19" s="1" customFormat="1" ht="76.5">
      <c r="A1504" s="5">
        <v>1489</v>
      </c>
      <c r="B1504" s="15" t="s">
        <v>710</v>
      </c>
      <c r="C1504" s="31" t="s">
        <v>597</v>
      </c>
      <c r="D1504" s="5" t="s">
        <v>700</v>
      </c>
      <c r="E1504" s="57" t="s">
        <v>867</v>
      </c>
      <c r="F1504" s="57" t="s">
        <v>701</v>
      </c>
      <c r="G1504" s="57" t="s">
        <v>867</v>
      </c>
      <c r="H1504" s="57" t="s">
        <v>701</v>
      </c>
      <c r="I1504" s="57" t="s">
        <v>1940</v>
      </c>
      <c r="J1504" s="57" t="s">
        <v>292</v>
      </c>
      <c r="K1504" s="57" t="s">
        <v>591</v>
      </c>
      <c r="L1504" s="11" t="s">
        <v>914</v>
      </c>
      <c r="M1504" s="22">
        <v>1</v>
      </c>
      <c r="N1504" s="46">
        <v>1785714</v>
      </c>
      <c r="O1504" s="49">
        <f t="shared" si="33"/>
        <v>1785714</v>
      </c>
      <c r="P1504" s="4" t="s">
        <v>391</v>
      </c>
      <c r="Q1504" s="5" t="s">
        <v>766</v>
      </c>
      <c r="R1504" s="11" t="s">
        <v>1175</v>
      </c>
      <c r="S1504" s="5">
        <v>30</v>
      </c>
    </row>
    <row r="1505" spans="1:19" s="1" customFormat="1" ht="114.75">
      <c r="A1505" s="5">
        <v>1490</v>
      </c>
      <c r="B1505" s="15" t="s">
        <v>710</v>
      </c>
      <c r="C1505" s="31" t="s">
        <v>597</v>
      </c>
      <c r="D1505" s="5" t="s">
        <v>1427</v>
      </c>
      <c r="E1505" s="57" t="s">
        <v>1942</v>
      </c>
      <c r="F1505" s="57" t="s">
        <v>1428</v>
      </c>
      <c r="G1505" s="57" t="s">
        <v>1943</v>
      </c>
      <c r="H1505" s="57" t="s">
        <v>1429</v>
      </c>
      <c r="I1505" s="57" t="s">
        <v>1941</v>
      </c>
      <c r="J1505" s="57" t="s">
        <v>293</v>
      </c>
      <c r="K1505" s="57" t="s">
        <v>1485</v>
      </c>
      <c r="L1505" s="11" t="s">
        <v>914</v>
      </c>
      <c r="M1505" s="22">
        <v>1</v>
      </c>
      <c r="N1505" s="46">
        <f>O1505/M1505</f>
        <v>4809421.3600000003</v>
      </c>
      <c r="O1505" s="49">
        <f>14040000-906250-8324328.64</f>
        <v>4809421.3600000003</v>
      </c>
      <c r="P1505" s="5" t="s">
        <v>393</v>
      </c>
      <c r="Q1505" s="5" t="s">
        <v>766</v>
      </c>
      <c r="R1505" s="11" t="s">
        <v>1175</v>
      </c>
      <c r="S1505" s="5">
        <v>0</v>
      </c>
    </row>
    <row r="1506" spans="1:19" s="1" customFormat="1" ht="102">
      <c r="A1506" s="5">
        <v>1491</v>
      </c>
      <c r="B1506" s="15" t="s">
        <v>710</v>
      </c>
      <c r="C1506" s="31" t="s">
        <v>597</v>
      </c>
      <c r="D1506" s="5" t="s">
        <v>1173</v>
      </c>
      <c r="E1506" s="57" t="s">
        <v>1945</v>
      </c>
      <c r="F1506" s="57" t="s">
        <v>509</v>
      </c>
      <c r="G1506" s="57" t="s">
        <v>1946</v>
      </c>
      <c r="H1506" s="57" t="s">
        <v>1174</v>
      </c>
      <c r="I1506" s="57" t="s">
        <v>1944</v>
      </c>
      <c r="J1506" s="57" t="s">
        <v>294</v>
      </c>
      <c r="K1506" s="57" t="s">
        <v>1484</v>
      </c>
      <c r="L1506" s="11" t="s">
        <v>914</v>
      </c>
      <c r="M1506" s="22">
        <v>1</v>
      </c>
      <c r="N1506" s="46">
        <f>O1506/M1506</f>
        <v>0</v>
      </c>
      <c r="O1506" s="49">
        <f>5357143-5357143</f>
        <v>0</v>
      </c>
      <c r="P1506" s="4" t="s">
        <v>515</v>
      </c>
      <c r="Q1506" s="5" t="s">
        <v>766</v>
      </c>
      <c r="R1506" s="11" t="s">
        <v>1175</v>
      </c>
      <c r="S1506" s="5">
        <v>0</v>
      </c>
    </row>
    <row r="1507" spans="1:19" s="1" customFormat="1" ht="102">
      <c r="A1507" s="5">
        <v>1492</v>
      </c>
      <c r="B1507" s="15" t="s">
        <v>710</v>
      </c>
      <c r="C1507" s="31" t="s">
        <v>597</v>
      </c>
      <c r="D1507" s="5" t="s">
        <v>1431</v>
      </c>
      <c r="E1507" s="57" t="s">
        <v>1949</v>
      </c>
      <c r="F1507" s="57" t="s">
        <v>1432</v>
      </c>
      <c r="G1507" s="57" t="s">
        <v>1950</v>
      </c>
      <c r="H1507" s="57" t="s">
        <v>1433</v>
      </c>
      <c r="I1507" s="57" t="s">
        <v>2764</v>
      </c>
      <c r="J1507" s="57" t="s">
        <v>2763</v>
      </c>
      <c r="K1507" s="57" t="s">
        <v>591</v>
      </c>
      <c r="L1507" s="11" t="s">
        <v>914</v>
      </c>
      <c r="M1507" s="22">
        <v>1</v>
      </c>
      <c r="N1507" s="46">
        <f>O1507/M1507</f>
        <v>16184797</v>
      </c>
      <c r="O1507" s="49">
        <f>15200000+984797</f>
        <v>16184797</v>
      </c>
      <c r="P1507" s="4" t="s">
        <v>612</v>
      </c>
      <c r="Q1507" s="5" t="s">
        <v>766</v>
      </c>
      <c r="R1507" s="11" t="s">
        <v>1175</v>
      </c>
      <c r="S1507" s="5">
        <v>30</v>
      </c>
    </row>
    <row r="1508" spans="1:19" s="1" customFormat="1" ht="114.75">
      <c r="A1508" s="5">
        <v>1493</v>
      </c>
      <c r="B1508" s="15" t="s">
        <v>710</v>
      </c>
      <c r="C1508" s="31" t="s">
        <v>597</v>
      </c>
      <c r="D1508" s="5" t="s">
        <v>1431</v>
      </c>
      <c r="E1508" s="57" t="s">
        <v>1949</v>
      </c>
      <c r="F1508" s="57" t="s">
        <v>1432</v>
      </c>
      <c r="G1508" s="57" t="s">
        <v>1950</v>
      </c>
      <c r="H1508" s="57" t="s">
        <v>1433</v>
      </c>
      <c r="I1508" s="57" t="s">
        <v>2766</v>
      </c>
      <c r="J1508" s="57" t="s">
        <v>2765</v>
      </c>
      <c r="K1508" s="57" t="s">
        <v>591</v>
      </c>
      <c r="L1508" s="11" t="s">
        <v>914</v>
      </c>
      <c r="M1508" s="22">
        <v>1</v>
      </c>
      <c r="N1508" s="46">
        <f>O1508/M1508</f>
        <v>14757857</v>
      </c>
      <c r="O1508" s="49">
        <f>10700000+4057857</f>
        <v>14757857</v>
      </c>
      <c r="P1508" s="4" t="s">
        <v>501</v>
      </c>
      <c r="Q1508" s="5" t="s">
        <v>766</v>
      </c>
      <c r="R1508" s="11" t="s">
        <v>1175</v>
      </c>
      <c r="S1508" s="5">
        <v>50</v>
      </c>
    </row>
    <row r="1509" spans="1:19" s="1" customFormat="1" ht="102">
      <c r="A1509" s="5">
        <v>1494</v>
      </c>
      <c r="B1509" s="15" t="s">
        <v>710</v>
      </c>
      <c r="C1509" s="31" t="s">
        <v>597</v>
      </c>
      <c r="D1509" s="5" t="s">
        <v>1434</v>
      </c>
      <c r="E1509" s="57" t="s">
        <v>1951</v>
      </c>
      <c r="F1509" s="57" t="s">
        <v>1435</v>
      </c>
      <c r="G1509" s="57" t="s">
        <v>1952</v>
      </c>
      <c r="H1509" s="57" t="s">
        <v>1436</v>
      </c>
      <c r="I1509" s="57" t="s">
        <v>2904</v>
      </c>
      <c r="J1509" s="57" t="s">
        <v>2903</v>
      </c>
      <c r="K1509" s="57" t="s">
        <v>591</v>
      </c>
      <c r="L1509" s="11" t="s">
        <v>914</v>
      </c>
      <c r="M1509" s="22">
        <v>1</v>
      </c>
      <c r="N1509" s="46">
        <v>4200000</v>
      </c>
      <c r="O1509" s="49">
        <f t="shared" si="33"/>
        <v>4200000</v>
      </c>
      <c r="P1509" s="4" t="s">
        <v>698</v>
      </c>
      <c r="Q1509" s="5" t="s">
        <v>766</v>
      </c>
      <c r="R1509" s="11" t="s">
        <v>1175</v>
      </c>
      <c r="S1509" s="5">
        <v>30</v>
      </c>
    </row>
    <row r="1510" spans="1:19" ht="255">
      <c r="A1510" s="5">
        <v>1495</v>
      </c>
      <c r="B1510" s="15" t="s">
        <v>710</v>
      </c>
      <c r="C1510" s="31" t="s">
        <v>597</v>
      </c>
      <c r="D1510" s="5" t="s">
        <v>966</v>
      </c>
      <c r="E1510" s="57" t="s">
        <v>1953</v>
      </c>
      <c r="F1510" s="57" t="s">
        <v>916</v>
      </c>
      <c r="G1510" s="57" t="s">
        <v>2758</v>
      </c>
      <c r="H1510" s="57" t="s">
        <v>1498</v>
      </c>
      <c r="I1510" s="57" t="s">
        <v>2768</v>
      </c>
      <c r="J1510" s="57" t="s">
        <v>2767</v>
      </c>
      <c r="K1510" s="57" t="s">
        <v>591</v>
      </c>
      <c r="L1510" s="11" t="s">
        <v>914</v>
      </c>
      <c r="M1510" s="22">
        <v>1</v>
      </c>
      <c r="N1510" s="46">
        <f>O1510/M1510</f>
        <v>3303571</v>
      </c>
      <c r="O1510" s="49">
        <f>2964286+339285</f>
        <v>3303571</v>
      </c>
      <c r="P1510" s="4" t="s">
        <v>699</v>
      </c>
      <c r="Q1510" s="5" t="s">
        <v>766</v>
      </c>
      <c r="R1510" s="11" t="s">
        <v>1175</v>
      </c>
      <c r="S1510" s="22">
        <v>30</v>
      </c>
    </row>
    <row r="1511" spans="1:19" s="1" customFormat="1" ht="125.25" customHeight="1">
      <c r="A1511" s="5">
        <v>1496</v>
      </c>
      <c r="B1511" s="15" t="s">
        <v>710</v>
      </c>
      <c r="C1511" s="31" t="s">
        <v>597</v>
      </c>
      <c r="D1511" s="84" t="s">
        <v>1437</v>
      </c>
      <c r="E1511" s="57" t="s">
        <v>1954</v>
      </c>
      <c r="F1511" s="57" t="s">
        <v>1438</v>
      </c>
      <c r="G1511" s="57" t="s">
        <v>1954</v>
      </c>
      <c r="H1511" s="57" t="s">
        <v>1438</v>
      </c>
      <c r="I1511" s="57" t="s">
        <v>2770</v>
      </c>
      <c r="J1511" s="57" t="s">
        <v>2769</v>
      </c>
      <c r="K1511" s="57" t="s">
        <v>591</v>
      </c>
      <c r="L1511" s="11" t="s">
        <v>914</v>
      </c>
      <c r="M1511" s="22">
        <v>1</v>
      </c>
      <c r="N1511" s="46">
        <f>O1511/M1511</f>
        <v>14285714</v>
      </c>
      <c r="O1511" s="49">
        <f>8851473+5434241</f>
        <v>14285714</v>
      </c>
      <c r="P1511" s="4" t="s">
        <v>612</v>
      </c>
      <c r="Q1511" s="5" t="s">
        <v>766</v>
      </c>
      <c r="R1511" s="11" t="s">
        <v>1175</v>
      </c>
      <c r="S1511" s="5">
        <v>30</v>
      </c>
    </row>
    <row r="1512" spans="1:19" s="1" customFormat="1" ht="76.5">
      <c r="A1512" s="5">
        <v>1497</v>
      </c>
      <c r="B1512" s="15" t="s">
        <v>710</v>
      </c>
      <c r="C1512" s="31" t="s">
        <v>597</v>
      </c>
      <c r="D1512" s="84" t="s">
        <v>1434</v>
      </c>
      <c r="E1512" s="57" t="s">
        <v>1951</v>
      </c>
      <c r="F1512" s="57" t="s">
        <v>1435</v>
      </c>
      <c r="G1512" s="57" t="s">
        <v>1952</v>
      </c>
      <c r="H1512" s="57" t="s">
        <v>1436</v>
      </c>
      <c r="I1512" s="57" t="s">
        <v>2906</v>
      </c>
      <c r="J1512" s="57" t="s">
        <v>2905</v>
      </c>
      <c r="K1512" s="57" t="s">
        <v>591</v>
      </c>
      <c r="L1512" s="11" t="s">
        <v>914</v>
      </c>
      <c r="M1512" s="22">
        <v>1</v>
      </c>
      <c r="N1512" s="46">
        <v>1435714</v>
      </c>
      <c r="O1512" s="49">
        <f t="shared" si="33"/>
        <v>1435714</v>
      </c>
      <c r="P1512" s="4" t="s">
        <v>506</v>
      </c>
      <c r="Q1512" s="5" t="s">
        <v>766</v>
      </c>
      <c r="R1512" s="11" t="s">
        <v>1175</v>
      </c>
      <c r="S1512" s="5">
        <v>50</v>
      </c>
    </row>
    <row r="1513" spans="1:19" ht="63" customHeight="1">
      <c r="A1513" s="5">
        <v>1498</v>
      </c>
      <c r="B1513" s="15" t="s">
        <v>710</v>
      </c>
      <c r="C1513" s="31" t="s">
        <v>597</v>
      </c>
      <c r="D1513" s="5" t="s">
        <v>524</v>
      </c>
      <c r="E1513" s="57" t="s">
        <v>1955</v>
      </c>
      <c r="F1513" s="57" t="s">
        <v>525</v>
      </c>
      <c r="G1513" s="57" t="s">
        <v>1956</v>
      </c>
      <c r="H1513" s="57" t="s">
        <v>526</v>
      </c>
      <c r="I1513" s="57" t="s">
        <v>2772</v>
      </c>
      <c r="J1513" s="57" t="s">
        <v>2771</v>
      </c>
      <c r="K1513" s="57" t="s">
        <v>591</v>
      </c>
      <c r="L1513" s="11" t="s">
        <v>914</v>
      </c>
      <c r="M1513" s="22">
        <v>1</v>
      </c>
      <c r="N1513" s="46">
        <f>O1513/M1513</f>
        <v>6000000</v>
      </c>
      <c r="O1513" s="49">
        <f>5147813+852187</f>
        <v>6000000</v>
      </c>
      <c r="P1513" s="4" t="s">
        <v>612</v>
      </c>
      <c r="Q1513" s="5" t="s">
        <v>766</v>
      </c>
      <c r="R1513" s="11" t="s">
        <v>1175</v>
      </c>
      <c r="S1513" s="22">
        <v>30</v>
      </c>
    </row>
    <row r="1514" spans="1:19" s="1" customFormat="1" ht="76.5">
      <c r="A1514" s="5">
        <v>1499</v>
      </c>
      <c r="B1514" s="15" t="s">
        <v>710</v>
      </c>
      <c r="C1514" s="31" t="s">
        <v>597</v>
      </c>
      <c r="D1514" s="11" t="s">
        <v>1430</v>
      </c>
      <c r="E1514" s="57" t="s">
        <v>1947</v>
      </c>
      <c r="F1514" s="57" t="s">
        <v>1948</v>
      </c>
      <c r="G1514" s="57" t="s">
        <v>1947</v>
      </c>
      <c r="H1514" s="57" t="s">
        <v>1948</v>
      </c>
      <c r="I1514" s="57" t="s">
        <v>2774</v>
      </c>
      <c r="J1514" s="57" t="s">
        <v>2773</v>
      </c>
      <c r="K1514" s="57" t="s">
        <v>591</v>
      </c>
      <c r="L1514" s="11" t="s">
        <v>914</v>
      </c>
      <c r="M1514" s="22">
        <v>1</v>
      </c>
      <c r="N1514" s="46">
        <f>O1514/M1514</f>
        <v>7142857</v>
      </c>
      <c r="O1514" s="49">
        <f>9375000-2232143</f>
        <v>7142857</v>
      </c>
      <c r="P1514" s="4" t="s">
        <v>501</v>
      </c>
      <c r="Q1514" s="5" t="s">
        <v>766</v>
      </c>
      <c r="R1514" s="11" t="s">
        <v>1175</v>
      </c>
      <c r="S1514" s="5">
        <v>30</v>
      </c>
    </row>
    <row r="1515" spans="1:19" s="13" customFormat="1" ht="89.25">
      <c r="A1515" s="5">
        <v>1500</v>
      </c>
      <c r="B1515" s="15" t="s">
        <v>710</v>
      </c>
      <c r="C1515" s="31" t="s">
        <v>597</v>
      </c>
      <c r="D1515" s="11" t="s">
        <v>1448</v>
      </c>
      <c r="E1515" s="57" t="s">
        <v>1958</v>
      </c>
      <c r="F1515" s="57" t="s">
        <v>1449</v>
      </c>
      <c r="G1515" s="57" t="s">
        <v>1959</v>
      </c>
      <c r="H1515" s="57" t="s">
        <v>1450</v>
      </c>
      <c r="I1515" s="57" t="s">
        <v>1960</v>
      </c>
      <c r="J1515" s="57" t="s">
        <v>94</v>
      </c>
      <c r="K1515" s="57" t="s">
        <v>1484</v>
      </c>
      <c r="L1515" s="11" t="s">
        <v>914</v>
      </c>
      <c r="M1515" s="22">
        <v>1</v>
      </c>
      <c r="N1515" s="46">
        <v>4285714</v>
      </c>
      <c r="O1515" s="49">
        <f t="shared" si="33"/>
        <v>4285714</v>
      </c>
      <c r="P1515" s="4" t="s">
        <v>393</v>
      </c>
      <c r="Q1515" s="5" t="s">
        <v>766</v>
      </c>
      <c r="R1515" s="11" t="s">
        <v>1175</v>
      </c>
      <c r="S1515" s="22">
        <v>30</v>
      </c>
    </row>
    <row r="1516" spans="1:19" s="13" customFormat="1" ht="89.25">
      <c r="A1516" s="5">
        <v>1501</v>
      </c>
      <c r="B1516" s="29" t="s">
        <v>710</v>
      </c>
      <c r="C1516" s="35" t="s">
        <v>597</v>
      </c>
      <c r="D1516" s="11" t="s">
        <v>524</v>
      </c>
      <c r="E1516" s="57" t="s">
        <v>2040</v>
      </c>
      <c r="F1516" s="57" t="s">
        <v>525</v>
      </c>
      <c r="G1516" s="57" t="s">
        <v>2017</v>
      </c>
      <c r="H1516" s="57" t="s">
        <v>526</v>
      </c>
      <c r="I1516" s="57" t="s">
        <v>2041</v>
      </c>
      <c r="J1516" s="57" t="s">
        <v>115</v>
      </c>
      <c r="K1516" s="57" t="s">
        <v>591</v>
      </c>
      <c r="L1516" s="11" t="s">
        <v>914</v>
      </c>
      <c r="M1516" s="22">
        <v>1</v>
      </c>
      <c r="N1516" s="46">
        <v>829082</v>
      </c>
      <c r="O1516" s="49">
        <f t="shared" si="33"/>
        <v>829082</v>
      </c>
      <c r="P1516" s="5" t="s">
        <v>699</v>
      </c>
      <c r="Q1516" s="5" t="s">
        <v>766</v>
      </c>
      <c r="R1516" s="11" t="s">
        <v>2030</v>
      </c>
      <c r="S1516" s="22">
        <v>30</v>
      </c>
    </row>
    <row r="1517" spans="1:19" s="13" customFormat="1" ht="89.25">
      <c r="A1517" s="5">
        <v>1502</v>
      </c>
      <c r="B1517" s="15" t="s">
        <v>710</v>
      </c>
      <c r="C1517" s="31" t="s">
        <v>597</v>
      </c>
      <c r="D1517" s="11" t="s">
        <v>524</v>
      </c>
      <c r="E1517" s="57" t="s">
        <v>2040</v>
      </c>
      <c r="F1517" s="57" t="s">
        <v>525</v>
      </c>
      <c r="G1517" s="57" t="s">
        <v>2017</v>
      </c>
      <c r="H1517" s="57" t="s">
        <v>526</v>
      </c>
      <c r="I1517" s="57" t="s">
        <v>2041</v>
      </c>
      <c r="J1517" s="57" t="s">
        <v>115</v>
      </c>
      <c r="K1517" s="57" t="s">
        <v>591</v>
      </c>
      <c r="L1517" s="11" t="s">
        <v>914</v>
      </c>
      <c r="M1517" s="22">
        <v>1</v>
      </c>
      <c r="N1517" s="46">
        <v>829082</v>
      </c>
      <c r="O1517" s="49">
        <f t="shared" si="33"/>
        <v>829082</v>
      </c>
      <c r="P1517" s="5" t="s">
        <v>515</v>
      </c>
      <c r="Q1517" s="5" t="s">
        <v>766</v>
      </c>
      <c r="R1517" s="11" t="s">
        <v>1021</v>
      </c>
      <c r="S1517" s="22">
        <v>30</v>
      </c>
    </row>
    <row r="1518" spans="1:19" s="13" customFormat="1" ht="89.25">
      <c r="A1518" s="5">
        <v>1503</v>
      </c>
      <c r="B1518" s="15" t="s">
        <v>710</v>
      </c>
      <c r="C1518" s="31" t="s">
        <v>597</v>
      </c>
      <c r="D1518" s="11" t="s">
        <v>524</v>
      </c>
      <c r="E1518" s="57" t="s">
        <v>2040</v>
      </c>
      <c r="F1518" s="57" t="s">
        <v>525</v>
      </c>
      <c r="G1518" s="57" t="s">
        <v>2017</v>
      </c>
      <c r="H1518" s="57" t="s">
        <v>526</v>
      </c>
      <c r="I1518" s="57" t="s">
        <v>2041</v>
      </c>
      <c r="J1518" s="57" t="s">
        <v>115</v>
      </c>
      <c r="K1518" s="57" t="s">
        <v>591</v>
      </c>
      <c r="L1518" s="11" t="s">
        <v>914</v>
      </c>
      <c r="M1518" s="22">
        <v>1</v>
      </c>
      <c r="N1518" s="46">
        <v>829082</v>
      </c>
      <c r="O1518" s="49">
        <f t="shared" si="33"/>
        <v>829082</v>
      </c>
      <c r="P1518" s="5" t="s">
        <v>501</v>
      </c>
      <c r="Q1518" s="5" t="s">
        <v>766</v>
      </c>
      <c r="R1518" s="11" t="s">
        <v>789</v>
      </c>
      <c r="S1518" s="5">
        <v>0</v>
      </c>
    </row>
    <row r="1519" spans="1:19" s="13" customFormat="1" ht="89.25">
      <c r="A1519" s="5">
        <v>1504</v>
      </c>
      <c r="B1519" s="15" t="s">
        <v>710</v>
      </c>
      <c r="C1519" s="31" t="s">
        <v>597</v>
      </c>
      <c r="D1519" s="11" t="s">
        <v>524</v>
      </c>
      <c r="E1519" s="57" t="s">
        <v>2040</v>
      </c>
      <c r="F1519" s="57" t="s">
        <v>525</v>
      </c>
      <c r="G1519" s="57" t="s">
        <v>2017</v>
      </c>
      <c r="H1519" s="57" t="s">
        <v>526</v>
      </c>
      <c r="I1519" s="57" t="s">
        <v>2041</v>
      </c>
      <c r="J1519" s="57" t="s">
        <v>115</v>
      </c>
      <c r="K1519" s="57" t="s">
        <v>591</v>
      </c>
      <c r="L1519" s="11" t="s">
        <v>914</v>
      </c>
      <c r="M1519" s="22">
        <v>1</v>
      </c>
      <c r="N1519" s="46">
        <v>1339286</v>
      </c>
      <c r="O1519" s="49">
        <f t="shared" si="33"/>
        <v>1339286</v>
      </c>
      <c r="P1519" s="5" t="s">
        <v>698</v>
      </c>
      <c r="Q1519" s="15" t="s">
        <v>699</v>
      </c>
      <c r="R1519" s="11" t="s">
        <v>2027</v>
      </c>
      <c r="S1519" s="22">
        <v>0</v>
      </c>
    </row>
    <row r="1520" spans="1:19" s="13" customFormat="1" ht="89.25">
      <c r="A1520" s="5">
        <v>1505</v>
      </c>
      <c r="B1520" s="15" t="s">
        <v>710</v>
      </c>
      <c r="C1520" s="31" t="s">
        <v>597</v>
      </c>
      <c r="D1520" s="11" t="s">
        <v>524</v>
      </c>
      <c r="E1520" s="57" t="s">
        <v>2040</v>
      </c>
      <c r="F1520" s="57" t="s">
        <v>525</v>
      </c>
      <c r="G1520" s="57" t="s">
        <v>2017</v>
      </c>
      <c r="H1520" s="57" t="s">
        <v>526</v>
      </c>
      <c r="I1520" s="57" t="s">
        <v>2041</v>
      </c>
      <c r="J1520" s="57" t="s">
        <v>115</v>
      </c>
      <c r="K1520" s="57" t="s">
        <v>591</v>
      </c>
      <c r="L1520" s="11" t="s">
        <v>914</v>
      </c>
      <c r="M1520" s="22">
        <v>1</v>
      </c>
      <c r="N1520" s="46">
        <v>1339286</v>
      </c>
      <c r="O1520" s="49">
        <f t="shared" si="33"/>
        <v>1339286</v>
      </c>
      <c r="P1520" s="5" t="s">
        <v>393</v>
      </c>
      <c r="Q1520" s="5" t="s">
        <v>766</v>
      </c>
      <c r="R1520" s="11" t="s">
        <v>2022</v>
      </c>
      <c r="S1520" s="22">
        <v>0</v>
      </c>
    </row>
    <row r="1521" spans="1:19" s="13" customFormat="1" ht="89.25">
      <c r="A1521" s="5">
        <v>1506</v>
      </c>
      <c r="B1521" s="15" t="s">
        <v>710</v>
      </c>
      <c r="C1521" s="31" t="s">
        <v>597</v>
      </c>
      <c r="D1521" s="11" t="s">
        <v>524</v>
      </c>
      <c r="E1521" s="57" t="s">
        <v>2040</v>
      </c>
      <c r="F1521" s="57" t="s">
        <v>525</v>
      </c>
      <c r="G1521" s="57" t="s">
        <v>2017</v>
      </c>
      <c r="H1521" s="57" t="s">
        <v>526</v>
      </c>
      <c r="I1521" s="57" t="s">
        <v>2041</v>
      </c>
      <c r="J1521" s="57" t="s">
        <v>115</v>
      </c>
      <c r="K1521" s="57" t="s">
        <v>591</v>
      </c>
      <c r="L1521" s="11" t="s">
        <v>914</v>
      </c>
      <c r="M1521" s="22">
        <v>1</v>
      </c>
      <c r="N1521" s="46">
        <v>829082</v>
      </c>
      <c r="O1521" s="49">
        <f t="shared" si="33"/>
        <v>829082</v>
      </c>
      <c r="P1521" s="5" t="s">
        <v>612</v>
      </c>
      <c r="Q1521" s="5" t="s">
        <v>766</v>
      </c>
      <c r="R1521" s="11" t="s">
        <v>2023</v>
      </c>
      <c r="S1521" s="22">
        <v>30</v>
      </c>
    </row>
    <row r="1522" spans="1:19" ht="89.25">
      <c r="A1522" s="5">
        <v>1507</v>
      </c>
      <c r="B1522" s="15" t="s">
        <v>710</v>
      </c>
      <c r="C1522" s="31" t="s">
        <v>597</v>
      </c>
      <c r="D1522" s="11" t="s">
        <v>524</v>
      </c>
      <c r="E1522" s="57" t="s">
        <v>2040</v>
      </c>
      <c r="F1522" s="57" t="s">
        <v>525</v>
      </c>
      <c r="G1522" s="57" t="s">
        <v>2017</v>
      </c>
      <c r="H1522" s="57" t="s">
        <v>526</v>
      </c>
      <c r="I1522" s="57" t="s">
        <v>2041</v>
      </c>
      <c r="J1522" s="57" t="s">
        <v>115</v>
      </c>
      <c r="K1522" s="57" t="s">
        <v>591</v>
      </c>
      <c r="L1522" s="11" t="s">
        <v>914</v>
      </c>
      <c r="M1522" s="22">
        <v>1</v>
      </c>
      <c r="N1522" s="46">
        <v>829082</v>
      </c>
      <c r="O1522" s="49">
        <f t="shared" si="33"/>
        <v>829082</v>
      </c>
      <c r="P1522" s="5" t="s">
        <v>393</v>
      </c>
      <c r="Q1522" s="5" t="s">
        <v>1051</v>
      </c>
      <c r="R1522" s="11" t="s">
        <v>633</v>
      </c>
      <c r="S1522" s="22">
        <v>0</v>
      </c>
    </row>
    <row r="1523" spans="1:19" s="34" customFormat="1" ht="89.25">
      <c r="A1523" s="5">
        <v>1508</v>
      </c>
      <c r="B1523" s="15" t="s">
        <v>710</v>
      </c>
      <c r="C1523" s="31" t="s">
        <v>597</v>
      </c>
      <c r="D1523" s="11" t="s">
        <v>524</v>
      </c>
      <c r="E1523" s="57" t="s">
        <v>2040</v>
      </c>
      <c r="F1523" s="57" t="s">
        <v>525</v>
      </c>
      <c r="G1523" s="57" t="s">
        <v>2017</v>
      </c>
      <c r="H1523" s="57" t="s">
        <v>526</v>
      </c>
      <c r="I1523" s="57" t="s">
        <v>2041</v>
      </c>
      <c r="J1523" s="57" t="s">
        <v>115</v>
      </c>
      <c r="K1523" s="57" t="s">
        <v>591</v>
      </c>
      <c r="L1523" s="11" t="s">
        <v>914</v>
      </c>
      <c r="M1523" s="22">
        <v>1</v>
      </c>
      <c r="N1523" s="46">
        <v>829082</v>
      </c>
      <c r="O1523" s="49">
        <f t="shared" si="33"/>
        <v>829082</v>
      </c>
      <c r="P1523" s="5" t="s">
        <v>506</v>
      </c>
      <c r="Q1523" s="5" t="s">
        <v>766</v>
      </c>
      <c r="R1523" s="11">
        <v>311000000</v>
      </c>
      <c r="S1523" s="22">
        <v>30</v>
      </c>
    </row>
    <row r="1524" spans="1:19" s="36" customFormat="1" ht="89.25">
      <c r="A1524" s="5">
        <v>1509</v>
      </c>
      <c r="B1524" s="15" t="s">
        <v>710</v>
      </c>
      <c r="C1524" s="31" t="s">
        <v>597</v>
      </c>
      <c r="D1524" s="11" t="s">
        <v>524</v>
      </c>
      <c r="E1524" s="57" t="s">
        <v>2040</v>
      </c>
      <c r="F1524" s="57" t="s">
        <v>525</v>
      </c>
      <c r="G1524" s="57" t="s">
        <v>2017</v>
      </c>
      <c r="H1524" s="57" t="s">
        <v>526</v>
      </c>
      <c r="I1524" s="57" t="s">
        <v>2041</v>
      </c>
      <c r="J1524" s="57" t="s">
        <v>115</v>
      </c>
      <c r="K1524" s="57" t="s">
        <v>591</v>
      </c>
      <c r="L1524" s="11" t="s">
        <v>914</v>
      </c>
      <c r="M1524" s="22">
        <v>1</v>
      </c>
      <c r="N1524" s="46">
        <v>829082</v>
      </c>
      <c r="O1524" s="49">
        <f t="shared" si="33"/>
        <v>829082</v>
      </c>
      <c r="P1524" s="5" t="s">
        <v>393</v>
      </c>
      <c r="Q1524" s="5" t="s">
        <v>766</v>
      </c>
      <c r="R1524" s="11" t="s">
        <v>2024</v>
      </c>
      <c r="S1524" s="22">
        <v>0</v>
      </c>
    </row>
    <row r="1525" spans="1:19" s="13" customFormat="1" ht="89.25">
      <c r="A1525" s="5">
        <v>1510</v>
      </c>
      <c r="B1525" s="15" t="s">
        <v>710</v>
      </c>
      <c r="C1525" s="31" t="s">
        <v>597</v>
      </c>
      <c r="D1525" s="11" t="s">
        <v>524</v>
      </c>
      <c r="E1525" s="57" t="s">
        <v>2040</v>
      </c>
      <c r="F1525" s="57" t="s">
        <v>525</v>
      </c>
      <c r="G1525" s="57" t="s">
        <v>2017</v>
      </c>
      <c r="H1525" s="57" t="s">
        <v>526</v>
      </c>
      <c r="I1525" s="57" t="s">
        <v>2041</v>
      </c>
      <c r="J1525" s="57" t="s">
        <v>115</v>
      </c>
      <c r="K1525" s="57" t="s">
        <v>591</v>
      </c>
      <c r="L1525" s="11" t="s">
        <v>914</v>
      </c>
      <c r="M1525" s="22">
        <v>1</v>
      </c>
      <c r="N1525" s="46">
        <v>829082</v>
      </c>
      <c r="O1525" s="49">
        <f t="shared" si="33"/>
        <v>829082</v>
      </c>
      <c r="P1525" s="5" t="s">
        <v>393</v>
      </c>
      <c r="Q1525" s="5" t="s">
        <v>1051</v>
      </c>
      <c r="R1525" s="11">
        <v>351000000</v>
      </c>
      <c r="S1525" s="22">
        <v>0</v>
      </c>
    </row>
    <row r="1526" spans="1:19" ht="89.25">
      <c r="A1526" s="5">
        <v>1511</v>
      </c>
      <c r="B1526" s="15" t="s">
        <v>710</v>
      </c>
      <c r="C1526" s="31" t="s">
        <v>597</v>
      </c>
      <c r="D1526" s="11" t="s">
        <v>524</v>
      </c>
      <c r="E1526" s="57" t="s">
        <v>2040</v>
      </c>
      <c r="F1526" s="57" t="s">
        <v>525</v>
      </c>
      <c r="G1526" s="57" t="s">
        <v>2017</v>
      </c>
      <c r="H1526" s="57" t="s">
        <v>526</v>
      </c>
      <c r="I1526" s="57" t="s">
        <v>2041</v>
      </c>
      <c r="J1526" s="57" t="s">
        <v>115</v>
      </c>
      <c r="K1526" s="57" t="s">
        <v>591</v>
      </c>
      <c r="L1526" s="11" t="s">
        <v>914</v>
      </c>
      <c r="M1526" s="22">
        <v>1</v>
      </c>
      <c r="N1526" s="46">
        <v>829082</v>
      </c>
      <c r="O1526" s="49">
        <f t="shared" si="33"/>
        <v>829082</v>
      </c>
      <c r="P1526" s="5" t="s">
        <v>502</v>
      </c>
      <c r="Q1526" s="5" t="s">
        <v>766</v>
      </c>
      <c r="R1526" s="11" t="s">
        <v>925</v>
      </c>
      <c r="S1526" s="22">
        <v>50</v>
      </c>
    </row>
    <row r="1527" spans="1:19" s="13" customFormat="1" ht="89.25">
      <c r="A1527" s="5">
        <v>1512</v>
      </c>
      <c r="B1527" s="15" t="s">
        <v>710</v>
      </c>
      <c r="C1527" s="31" t="s">
        <v>597</v>
      </c>
      <c r="D1527" s="11" t="s">
        <v>524</v>
      </c>
      <c r="E1527" s="57" t="s">
        <v>2040</v>
      </c>
      <c r="F1527" s="57" t="s">
        <v>525</v>
      </c>
      <c r="G1527" s="57" t="s">
        <v>2017</v>
      </c>
      <c r="H1527" s="57" t="s">
        <v>526</v>
      </c>
      <c r="I1527" s="57" t="s">
        <v>2041</v>
      </c>
      <c r="J1527" s="57" t="s">
        <v>115</v>
      </c>
      <c r="K1527" s="57" t="s">
        <v>591</v>
      </c>
      <c r="L1527" s="11" t="s">
        <v>914</v>
      </c>
      <c r="M1527" s="22">
        <v>1</v>
      </c>
      <c r="N1527" s="46">
        <v>829082</v>
      </c>
      <c r="O1527" s="49">
        <f t="shared" si="33"/>
        <v>829082</v>
      </c>
      <c r="P1527" s="5" t="s">
        <v>588</v>
      </c>
      <c r="Q1527" s="5" t="s">
        <v>766</v>
      </c>
      <c r="R1527" s="11">
        <v>431000000</v>
      </c>
      <c r="S1527" s="22">
        <v>0</v>
      </c>
    </row>
    <row r="1528" spans="1:19" s="13" customFormat="1" ht="69" customHeight="1">
      <c r="A1528" s="5">
        <v>1513</v>
      </c>
      <c r="B1528" s="29" t="s">
        <v>710</v>
      </c>
      <c r="C1528" s="5" t="s">
        <v>597</v>
      </c>
      <c r="D1528" s="11" t="s">
        <v>524</v>
      </c>
      <c r="E1528" s="57" t="s">
        <v>2040</v>
      </c>
      <c r="F1528" s="57" t="s">
        <v>525</v>
      </c>
      <c r="G1528" s="57" t="s">
        <v>2017</v>
      </c>
      <c r="H1528" s="57" t="s">
        <v>526</v>
      </c>
      <c r="I1528" s="57" t="s">
        <v>2041</v>
      </c>
      <c r="J1528" s="57" t="s">
        <v>115</v>
      </c>
      <c r="K1528" s="57" t="s">
        <v>591</v>
      </c>
      <c r="L1528" s="11" t="s">
        <v>914</v>
      </c>
      <c r="M1528" s="52">
        <v>1</v>
      </c>
      <c r="N1528" s="46">
        <v>829082</v>
      </c>
      <c r="O1528" s="49">
        <f t="shared" si="33"/>
        <v>829082</v>
      </c>
      <c r="P1528" s="5" t="s">
        <v>699</v>
      </c>
      <c r="Q1528" s="5" t="s">
        <v>766</v>
      </c>
      <c r="R1528" s="11" t="s">
        <v>715</v>
      </c>
      <c r="S1528" s="22">
        <v>0</v>
      </c>
    </row>
    <row r="1529" spans="1:19" s="32" customFormat="1" ht="61.5" customHeight="1">
      <c r="A1529" s="5">
        <v>1514</v>
      </c>
      <c r="B1529" s="15" t="s">
        <v>710</v>
      </c>
      <c r="C1529" s="31" t="s">
        <v>597</v>
      </c>
      <c r="D1529" s="11" t="s">
        <v>524</v>
      </c>
      <c r="E1529" s="57" t="s">
        <v>2040</v>
      </c>
      <c r="F1529" s="57" t="s">
        <v>525</v>
      </c>
      <c r="G1529" s="57" t="s">
        <v>2017</v>
      </c>
      <c r="H1529" s="57" t="s">
        <v>526</v>
      </c>
      <c r="I1529" s="57" t="s">
        <v>2041</v>
      </c>
      <c r="J1529" s="57" t="s">
        <v>115</v>
      </c>
      <c r="K1529" s="57" t="s">
        <v>591</v>
      </c>
      <c r="L1529" s="11" t="s">
        <v>914</v>
      </c>
      <c r="M1529" s="22">
        <v>1</v>
      </c>
      <c r="N1529" s="46">
        <v>829082</v>
      </c>
      <c r="O1529" s="49">
        <f t="shared" si="33"/>
        <v>829082</v>
      </c>
      <c r="P1529" s="5" t="s">
        <v>391</v>
      </c>
      <c r="Q1529" s="5" t="s">
        <v>766</v>
      </c>
      <c r="R1529" s="11">
        <v>551000000</v>
      </c>
      <c r="S1529" s="22">
        <v>0</v>
      </c>
    </row>
    <row r="1530" spans="1:19" s="13" customFormat="1" ht="89.25">
      <c r="A1530" s="5">
        <v>1515</v>
      </c>
      <c r="B1530" s="15" t="s">
        <v>941</v>
      </c>
      <c r="C1530" s="5" t="s">
        <v>597</v>
      </c>
      <c r="D1530" s="11" t="s">
        <v>524</v>
      </c>
      <c r="E1530" s="57" t="s">
        <v>2040</v>
      </c>
      <c r="F1530" s="57" t="s">
        <v>525</v>
      </c>
      <c r="G1530" s="57" t="s">
        <v>2017</v>
      </c>
      <c r="H1530" s="57" t="s">
        <v>526</v>
      </c>
      <c r="I1530" s="57" t="s">
        <v>2041</v>
      </c>
      <c r="J1530" s="57" t="s">
        <v>115</v>
      </c>
      <c r="K1530" s="57" t="s">
        <v>591</v>
      </c>
      <c r="L1530" s="11" t="s">
        <v>914</v>
      </c>
      <c r="M1530" s="22">
        <v>1</v>
      </c>
      <c r="N1530" s="46">
        <v>829082</v>
      </c>
      <c r="O1530" s="49">
        <f t="shared" si="33"/>
        <v>829082</v>
      </c>
      <c r="P1530" s="5" t="s">
        <v>506</v>
      </c>
      <c r="Q1530" s="15" t="s">
        <v>766</v>
      </c>
      <c r="R1530" s="11">
        <v>591000000</v>
      </c>
      <c r="S1530" s="22">
        <v>30</v>
      </c>
    </row>
    <row r="1531" spans="1:19" s="13" customFormat="1" ht="89.25">
      <c r="A1531" s="5">
        <v>1516</v>
      </c>
      <c r="B1531" s="15" t="s">
        <v>710</v>
      </c>
      <c r="C1531" s="31" t="s">
        <v>597</v>
      </c>
      <c r="D1531" s="11" t="s">
        <v>524</v>
      </c>
      <c r="E1531" s="57" t="s">
        <v>2040</v>
      </c>
      <c r="F1531" s="57" t="s">
        <v>525</v>
      </c>
      <c r="G1531" s="57" t="s">
        <v>2017</v>
      </c>
      <c r="H1531" s="57" t="s">
        <v>526</v>
      </c>
      <c r="I1531" s="57" t="s">
        <v>2041</v>
      </c>
      <c r="J1531" s="57" t="s">
        <v>115</v>
      </c>
      <c r="K1531" s="57" t="s">
        <v>591</v>
      </c>
      <c r="L1531" s="11" t="s">
        <v>914</v>
      </c>
      <c r="M1531" s="22">
        <v>1</v>
      </c>
      <c r="N1531" s="46">
        <v>829082</v>
      </c>
      <c r="O1531" s="49">
        <f t="shared" si="33"/>
        <v>829082</v>
      </c>
      <c r="P1531" s="5" t="s">
        <v>612</v>
      </c>
      <c r="Q1531" s="5" t="s">
        <v>612</v>
      </c>
      <c r="R1531" s="11" t="s">
        <v>2029</v>
      </c>
      <c r="S1531" s="5">
        <v>0</v>
      </c>
    </row>
    <row r="1532" spans="1:19" s="1" customFormat="1" ht="63.75">
      <c r="A1532" s="5">
        <v>1517</v>
      </c>
      <c r="B1532" s="15" t="s">
        <v>710</v>
      </c>
      <c r="C1532" s="31" t="s">
        <v>597</v>
      </c>
      <c r="D1532" s="31" t="s">
        <v>1439</v>
      </c>
      <c r="E1532" s="76" t="s">
        <v>1961</v>
      </c>
      <c r="F1532" s="76" t="s">
        <v>1440</v>
      </c>
      <c r="G1532" s="76" t="s">
        <v>1962</v>
      </c>
      <c r="H1532" s="76" t="s">
        <v>1441</v>
      </c>
      <c r="I1532" s="76" t="s">
        <v>1957</v>
      </c>
      <c r="J1532" s="76" t="s">
        <v>303</v>
      </c>
      <c r="K1532" s="76" t="s">
        <v>1485</v>
      </c>
      <c r="L1532" s="11" t="s">
        <v>914</v>
      </c>
      <c r="M1532" s="22">
        <v>1</v>
      </c>
      <c r="N1532" s="46">
        <f>O1532/M1532</f>
        <v>0</v>
      </c>
      <c r="O1532" s="49">
        <f>25361744-25361744</f>
        <v>0</v>
      </c>
      <c r="P1532" s="4" t="s">
        <v>515</v>
      </c>
      <c r="Q1532" s="5" t="s">
        <v>766</v>
      </c>
      <c r="R1532" s="11" t="s">
        <v>1175</v>
      </c>
      <c r="S1532" s="5">
        <v>0</v>
      </c>
    </row>
    <row r="1533" spans="1:19" s="1" customFormat="1" ht="89.25">
      <c r="A1533" s="5">
        <v>1518</v>
      </c>
      <c r="B1533" s="15" t="s">
        <v>710</v>
      </c>
      <c r="C1533" s="31" t="s">
        <v>597</v>
      </c>
      <c r="D1533" s="31" t="s">
        <v>1442</v>
      </c>
      <c r="E1533" s="76" t="s">
        <v>1963</v>
      </c>
      <c r="F1533" s="76" t="s">
        <v>1443</v>
      </c>
      <c r="G1533" s="76" t="s">
        <v>1964</v>
      </c>
      <c r="H1533" s="76" t="s">
        <v>1444</v>
      </c>
      <c r="I1533" s="76" t="s">
        <v>1965</v>
      </c>
      <c r="J1533" s="76" t="s">
        <v>295</v>
      </c>
      <c r="K1533" s="76" t="s">
        <v>1485</v>
      </c>
      <c r="L1533" s="11" t="s">
        <v>914</v>
      </c>
      <c r="M1533" s="22">
        <v>1</v>
      </c>
      <c r="N1533" s="46">
        <f t="shared" ref="N1533:N1545" si="34">O1533/M1533</f>
        <v>0</v>
      </c>
      <c r="O1533" s="49">
        <f>14336161-14336161</f>
        <v>0</v>
      </c>
      <c r="P1533" s="5" t="s">
        <v>515</v>
      </c>
      <c r="Q1533" s="5" t="s">
        <v>766</v>
      </c>
      <c r="R1533" s="11" t="s">
        <v>1175</v>
      </c>
      <c r="S1533" s="5">
        <v>0</v>
      </c>
    </row>
    <row r="1534" spans="1:19" s="1" customFormat="1" ht="89.25">
      <c r="A1534" s="5">
        <v>1519</v>
      </c>
      <c r="B1534" s="15" t="s">
        <v>710</v>
      </c>
      <c r="C1534" s="31" t="s">
        <v>597</v>
      </c>
      <c r="D1534" s="31" t="s">
        <v>966</v>
      </c>
      <c r="E1534" s="76" t="s">
        <v>1953</v>
      </c>
      <c r="F1534" s="76" t="s">
        <v>916</v>
      </c>
      <c r="G1534" s="76" t="s">
        <v>1834</v>
      </c>
      <c r="H1534" s="76" t="s">
        <v>967</v>
      </c>
      <c r="I1534" s="76" t="s">
        <v>1966</v>
      </c>
      <c r="J1534" s="76" t="s">
        <v>304</v>
      </c>
      <c r="K1534" s="76" t="s">
        <v>1484</v>
      </c>
      <c r="L1534" s="11" t="s">
        <v>914</v>
      </c>
      <c r="M1534" s="22">
        <v>1</v>
      </c>
      <c r="N1534" s="46">
        <f t="shared" si="34"/>
        <v>0</v>
      </c>
      <c r="O1534" s="49">
        <f>4464286-4464286</f>
        <v>0</v>
      </c>
      <c r="P1534" s="4" t="s">
        <v>515</v>
      </c>
      <c r="Q1534" s="5" t="s">
        <v>766</v>
      </c>
      <c r="R1534" s="11" t="s">
        <v>1175</v>
      </c>
      <c r="S1534" s="5">
        <v>0</v>
      </c>
    </row>
    <row r="1535" spans="1:19" s="1" customFormat="1" ht="102">
      <c r="A1535" s="5">
        <v>1520</v>
      </c>
      <c r="B1535" s="15" t="s">
        <v>710</v>
      </c>
      <c r="C1535" s="31" t="s">
        <v>597</v>
      </c>
      <c r="D1535" s="31" t="s">
        <v>1445</v>
      </c>
      <c r="E1535" s="76" t="s">
        <v>1968</v>
      </c>
      <c r="F1535" s="76" t="s">
        <v>1446</v>
      </c>
      <c r="G1535" s="76" t="s">
        <v>1967</v>
      </c>
      <c r="H1535" s="76" t="s">
        <v>1447</v>
      </c>
      <c r="I1535" s="76" t="s">
        <v>2310</v>
      </c>
      <c r="J1535" s="76" t="s">
        <v>296</v>
      </c>
      <c r="K1535" s="76" t="s">
        <v>591</v>
      </c>
      <c r="L1535" s="11" t="s">
        <v>914</v>
      </c>
      <c r="M1535" s="22">
        <v>1</v>
      </c>
      <c r="N1535" s="46">
        <f t="shared" si="34"/>
        <v>0</v>
      </c>
      <c r="O1535" s="49">
        <f>1601631-1601631</f>
        <v>0</v>
      </c>
      <c r="P1535" s="4" t="s">
        <v>515</v>
      </c>
      <c r="Q1535" s="5" t="s">
        <v>766</v>
      </c>
      <c r="R1535" s="11" t="s">
        <v>1175</v>
      </c>
      <c r="S1535" s="5">
        <v>30</v>
      </c>
    </row>
    <row r="1536" spans="1:19" s="1" customFormat="1" ht="178.5">
      <c r="A1536" s="5">
        <v>1521</v>
      </c>
      <c r="B1536" s="15" t="s">
        <v>710</v>
      </c>
      <c r="C1536" s="31" t="s">
        <v>597</v>
      </c>
      <c r="D1536" s="31" t="s">
        <v>942</v>
      </c>
      <c r="E1536" s="76" t="s">
        <v>1155</v>
      </c>
      <c r="F1536" s="76" t="s">
        <v>943</v>
      </c>
      <c r="G1536" s="76" t="s">
        <v>1969</v>
      </c>
      <c r="H1536" s="76" t="s">
        <v>944</v>
      </c>
      <c r="I1536" s="76" t="s">
        <v>2311</v>
      </c>
      <c r="J1536" s="76" t="s">
        <v>297</v>
      </c>
      <c r="K1536" s="76" t="s">
        <v>1485</v>
      </c>
      <c r="L1536" s="11" t="s">
        <v>914</v>
      </c>
      <c r="M1536" s="22">
        <v>1</v>
      </c>
      <c r="N1536" s="46">
        <f t="shared" si="34"/>
        <v>0</v>
      </c>
      <c r="O1536" s="49">
        <f>56320532-56320532</f>
        <v>0</v>
      </c>
      <c r="P1536" s="4" t="s">
        <v>515</v>
      </c>
      <c r="Q1536" s="5" t="s">
        <v>766</v>
      </c>
      <c r="R1536" s="11" t="s">
        <v>1175</v>
      </c>
      <c r="S1536" s="5">
        <v>0</v>
      </c>
    </row>
    <row r="1537" spans="1:19" s="1" customFormat="1" ht="51">
      <c r="A1537" s="5">
        <v>1522</v>
      </c>
      <c r="B1537" s="15" t="s">
        <v>710</v>
      </c>
      <c r="C1537" s="31" t="s">
        <v>597</v>
      </c>
      <c r="D1537" s="31" t="s">
        <v>592</v>
      </c>
      <c r="E1537" s="76" t="s">
        <v>593</v>
      </c>
      <c r="F1537" s="76" t="s">
        <v>594</v>
      </c>
      <c r="G1537" s="76" t="s">
        <v>595</v>
      </c>
      <c r="H1537" s="76" t="s">
        <v>596</v>
      </c>
      <c r="I1537" s="76" t="s">
        <v>2312</v>
      </c>
      <c r="J1537" s="76" t="s">
        <v>305</v>
      </c>
      <c r="K1537" s="76" t="s">
        <v>591</v>
      </c>
      <c r="L1537" s="11" t="s">
        <v>914</v>
      </c>
      <c r="M1537" s="22">
        <v>1</v>
      </c>
      <c r="N1537" s="46">
        <f t="shared" si="34"/>
        <v>0</v>
      </c>
      <c r="O1537" s="49">
        <f>2232143-2232143</f>
        <v>0</v>
      </c>
      <c r="P1537" s="4" t="s">
        <v>515</v>
      </c>
      <c r="Q1537" s="5" t="s">
        <v>766</v>
      </c>
      <c r="R1537" s="11" t="s">
        <v>1175</v>
      </c>
      <c r="S1537" s="5">
        <v>30</v>
      </c>
    </row>
    <row r="1538" spans="1:19" s="1" customFormat="1" ht="63.75">
      <c r="A1538" s="5">
        <v>1523</v>
      </c>
      <c r="B1538" s="15" t="s">
        <v>710</v>
      </c>
      <c r="C1538" s="31" t="s">
        <v>597</v>
      </c>
      <c r="D1538" s="31" t="s">
        <v>1448</v>
      </c>
      <c r="E1538" s="76" t="s">
        <v>1958</v>
      </c>
      <c r="F1538" s="76" t="s">
        <v>1449</v>
      </c>
      <c r="G1538" s="76" t="s">
        <v>1959</v>
      </c>
      <c r="H1538" s="76" t="s">
        <v>1450</v>
      </c>
      <c r="I1538" s="76" t="s">
        <v>1970</v>
      </c>
      <c r="J1538" s="76" t="s">
        <v>298</v>
      </c>
      <c r="K1538" s="76" t="s">
        <v>1485</v>
      </c>
      <c r="L1538" s="11" t="s">
        <v>914</v>
      </c>
      <c r="M1538" s="22">
        <v>1</v>
      </c>
      <c r="N1538" s="46">
        <f t="shared" si="34"/>
        <v>0</v>
      </c>
      <c r="O1538" s="49">
        <f>9285714-9285714</f>
        <v>0</v>
      </c>
      <c r="P1538" s="4" t="s">
        <v>515</v>
      </c>
      <c r="Q1538" s="5" t="s">
        <v>766</v>
      </c>
      <c r="R1538" s="11" t="s">
        <v>1175</v>
      </c>
      <c r="S1538" s="5">
        <v>0</v>
      </c>
    </row>
    <row r="1539" spans="1:19" s="1" customFormat="1" ht="76.5">
      <c r="A1539" s="5">
        <v>1524</v>
      </c>
      <c r="B1539" s="15" t="s">
        <v>710</v>
      </c>
      <c r="C1539" s="31" t="s">
        <v>597</v>
      </c>
      <c r="D1539" s="31" t="s">
        <v>1445</v>
      </c>
      <c r="E1539" s="76" t="s">
        <v>1968</v>
      </c>
      <c r="F1539" s="76" t="s">
        <v>1446</v>
      </c>
      <c r="G1539" s="76" t="s">
        <v>1967</v>
      </c>
      <c r="H1539" s="76" t="s">
        <v>1451</v>
      </c>
      <c r="I1539" s="76" t="s">
        <v>1971</v>
      </c>
      <c r="J1539" s="76" t="s">
        <v>299</v>
      </c>
      <c r="K1539" s="76" t="s">
        <v>591</v>
      </c>
      <c r="L1539" s="11" t="s">
        <v>914</v>
      </c>
      <c r="M1539" s="22">
        <v>1</v>
      </c>
      <c r="N1539" s="46">
        <f t="shared" si="34"/>
        <v>0</v>
      </c>
      <c r="O1539" s="49">
        <f>1785714-1785714</f>
        <v>0</v>
      </c>
      <c r="P1539" s="4" t="s">
        <v>515</v>
      </c>
      <c r="Q1539" s="5" t="s">
        <v>766</v>
      </c>
      <c r="R1539" s="11" t="s">
        <v>1175</v>
      </c>
      <c r="S1539" s="5">
        <v>30</v>
      </c>
    </row>
    <row r="1540" spans="1:19" s="1" customFormat="1" ht="216.75">
      <c r="A1540" s="5">
        <v>1525</v>
      </c>
      <c r="B1540" s="15" t="s">
        <v>710</v>
      </c>
      <c r="C1540" s="31" t="s">
        <v>597</v>
      </c>
      <c r="D1540" s="31" t="s">
        <v>1452</v>
      </c>
      <c r="E1540" s="76" t="s">
        <v>1973</v>
      </c>
      <c r="F1540" s="76" t="s">
        <v>1453</v>
      </c>
      <c r="G1540" s="76" t="s">
        <v>1974</v>
      </c>
      <c r="H1540" s="76" t="s">
        <v>1454</v>
      </c>
      <c r="I1540" s="76" t="s">
        <v>1972</v>
      </c>
      <c r="J1540" s="76" t="s">
        <v>300</v>
      </c>
      <c r="K1540" s="76" t="s">
        <v>591</v>
      </c>
      <c r="L1540" s="11" t="s">
        <v>914</v>
      </c>
      <c r="M1540" s="22">
        <v>1</v>
      </c>
      <c r="N1540" s="46">
        <f t="shared" si="34"/>
        <v>0</v>
      </c>
      <c r="O1540" s="49">
        <f>625000-625000</f>
        <v>0</v>
      </c>
      <c r="P1540" s="4" t="s">
        <v>612</v>
      </c>
      <c r="Q1540" s="5" t="s">
        <v>766</v>
      </c>
      <c r="R1540" s="11" t="s">
        <v>1175</v>
      </c>
      <c r="S1540" s="5">
        <v>30</v>
      </c>
    </row>
    <row r="1541" spans="1:19" s="1" customFormat="1" ht="63.75">
      <c r="A1541" s="5">
        <v>1526</v>
      </c>
      <c r="B1541" s="15" t="s">
        <v>710</v>
      </c>
      <c r="C1541" s="31" t="s">
        <v>597</v>
      </c>
      <c r="D1541" s="31" t="s">
        <v>1455</v>
      </c>
      <c r="E1541" s="76" t="s">
        <v>1975</v>
      </c>
      <c r="F1541" s="76" t="s">
        <v>1456</v>
      </c>
      <c r="G1541" s="76" t="s">
        <v>1976</v>
      </c>
      <c r="H1541" s="76" t="s">
        <v>1457</v>
      </c>
      <c r="I1541" s="76" t="s">
        <v>2655</v>
      </c>
      <c r="J1541" s="76" t="s">
        <v>301</v>
      </c>
      <c r="K1541" s="76" t="s">
        <v>1485</v>
      </c>
      <c r="L1541" s="11" t="s">
        <v>914</v>
      </c>
      <c r="M1541" s="22">
        <v>1</v>
      </c>
      <c r="N1541" s="46">
        <f t="shared" si="34"/>
        <v>0</v>
      </c>
      <c r="O1541" s="49">
        <f>13337025-13337025</f>
        <v>0</v>
      </c>
      <c r="P1541" s="5" t="s">
        <v>515</v>
      </c>
      <c r="Q1541" s="5" t="s">
        <v>766</v>
      </c>
      <c r="R1541" s="11" t="s">
        <v>1175</v>
      </c>
      <c r="S1541" s="5">
        <v>0</v>
      </c>
    </row>
    <row r="1542" spans="1:19" s="1" customFormat="1" ht="102">
      <c r="A1542" s="5">
        <v>1527</v>
      </c>
      <c r="B1542" s="15" t="s">
        <v>710</v>
      </c>
      <c r="C1542" s="31" t="s">
        <v>597</v>
      </c>
      <c r="D1542" s="31" t="s">
        <v>1368</v>
      </c>
      <c r="E1542" s="76" t="s">
        <v>1977</v>
      </c>
      <c r="F1542" s="76" t="s">
        <v>1369</v>
      </c>
      <c r="G1542" s="76" t="s">
        <v>1978</v>
      </c>
      <c r="H1542" s="76" t="s">
        <v>1370</v>
      </c>
      <c r="I1542" s="76" t="s">
        <v>3654</v>
      </c>
      <c r="J1542" s="76" t="s">
        <v>3639</v>
      </c>
      <c r="K1542" s="76" t="s">
        <v>591</v>
      </c>
      <c r="L1542" s="11" t="s">
        <v>914</v>
      </c>
      <c r="M1542" s="22">
        <v>1</v>
      </c>
      <c r="N1542" s="46">
        <f t="shared" si="34"/>
        <v>1793951</v>
      </c>
      <c r="O1542" s="49">
        <f>2678571+453157+2000000-430285-640608-381500-940848-944536</f>
        <v>1793951</v>
      </c>
      <c r="P1542" s="4" t="s">
        <v>588</v>
      </c>
      <c r="Q1542" s="5" t="s">
        <v>3633</v>
      </c>
      <c r="R1542" s="11" t="s">
        <v>2022</v>
      </c>
      <c r="S1542" s="5">
        <v>50</v>
      </c>
    </row>
    <row r="1543" spans="1:19" s="1" customFormat="1" ht="51">
      <c r="A1543" s="5">
        <v>1528</v>
      </c>
      <c r="B1543" s="15" t="s">
        <v>710</v>
      </c>
      <c r="C1543" s="31" t="s">
        <v>597</v>
      </c>
      <c r="D1543" s="31" t="s">
        <v>1260</v>
      </c>
      <c r="E1543" s="76" t="s">
        <v>1979</v>
      </c>
      <c r="F1543" s="76" t="s">
        <v>1261</v>
      </c>
      <c r="G1543" s="76" t="s">
        <v>1979</v>
      </c>
      <c r="H1543" s="76" t="s">
        <v>1261</v>
      </c>
      <c r="I1543" s="76" t="s">
        <v>1980</v>
      </c>
      <c r="J1543" s="76" t="s">
        <v>306</v>
      </c>
      <c r="K1543" s="76" t="s">
        <v>1485</v>
      </c>
      <c r="L1543" s="11" t="s">
        <v>914</v>
      </c>
      <c r="M1543" s="22">
        <v>1</v>
      </c>
      <c r="N1543" s="46">
        <f t="shared" si="34"/>
        <v>0</v>
      </c>
      <c r="O1543" s="49">
        <f>13482193-13482193</f>
        <v>0</v>
      </c>
      <c r="P1543" s="4" t="s">
        <v>501</v>
      </c>
      <c r="Q1543" s="5" t="s">
        <v>766</v>
      </c>
      <c r="R1543" s="11" t="s">
        <v>1175</v>
      </c>
      <c r="S1543" s="5">
        <v>0</v>
      </c>
    </row>
    <row r="1544" spans="1:19" s="1" customFormat="1" ht="102">
      <c r="A1544" s="5">
        <v>1529</v>
      </c>
      <c r="B1544" s="15" t="s">
        <v>710</v>
      </c>
      <c r="C1544" s="31" t="s">
        <v>597</v>
      </c>
      <c r="D1544" s="31" t="s">
        <v>1452</v>
      </c>
      <c r="E1544" s="76" t="s">
        <v>1973</v>
      </c>
      <c r="F1544" s="76" t="s">
        <v>1453</v>
      </c>
      <c r="G1544" s="76" t="s">
        <v>1974</v>
      </c>
      <c r="H1544" s="76" t="s">
        <v>1454</v>
      </c>
      <c r="I1544" s="76" t="s">
        <v>1981</v>
      </c>
      <c r="J1544" s="76" t="s">
        <v>302</v>
      </c>
      <c r="K1544" s="76" t="s">
        <v>591</v>
      </c>
      <c r="L1544" s="11" t="s">
        <v>914</v>
      </c>
      <c r="M1544" s="22">
        <v>1</v>
      </c>
      <c r="N1544" s="46">
        <f t="shared" si="34"/>
        <v>0</v>
      </c>
      <c r="O1544" s="49">
        <f>714286+309230-1023516</f>
        <v>0</v>
      </c>
      <c r="P1544" s="4" t="s">
        <v>612</v>
      </c>
      <c r="Q1544" s="5" t="s">
        <v>766</v>
      </c>
      <c r="R1544" s="11" t="s">
        <v>1175</v>
      </c>
      <c r="S1544" s="5">
        <v>30</v>
      </c>
    </row>
    <row r="1545" spans="1:19" s="1" customFormat="1" ht="127.5">
      <c r="A1545" s="5">
        <v>1530</v>
      </c>
      <c r="B1545" s="15" t="s">
        <v>710</v>
      </c>
      <c r="C1545" s="31" t="s">
        <v>597</v>
      </c>
      <c r="D1545" s="31" t="s">
        <v>1439</v>
      </c>
      <c r="E1545" s="76" t="s">
        <v>1961</v>
      </c>
      <c r="F1545" s="76" t="s">
        <v>1440</v>
      </c>
      <c r="G1545" s="76" t="s">
        <v>1962</v>
      </c>
      <c r="H1545" s="76" t="s">
        <v>1441</v>
      </c>
      <c r="I1545" s="76" t="s">
        <v>2777</v>
      </c>
      <c r="J1545" s="76" t="s">
        <v>2776</v>
      </c>
      <c r="K1545" s="76" t="s">
        <v>591</v>
      </c>
      <c r="L1545" s="11" t="s">
        <v>914</v>
      </c>
      <c r="M1545" s="22">
        <v>1</v>
      </c>
      <c r="N1545" s="46">
        <f t="shared" si="34"/>
        <v>36400000</v>
      </c>
      <c r="O1545" s="49">
        <f>40375000-3975000</f>
        <v>36400000</v>
      </c>
      <c r="P1545" s="4" t="s">
        <v>612</v>
      </c>
      <c r="Q1545" s="5" t="s">
        <v>766</v>
      </c>
      <c r="R1545" s="11" t="s">
        <v>1175</v>
      </c>
      <c r="S1545" s="5">
        <v>50</v>
      </c>
    </row>
    <row r="1546" spans="1:19" s="1" customFormat="1" ht="89.25">
      <c r="A1546" s="5">
        <v>1531</v>
      </c>
      <c r="B1546" s="15" t="s">
        <v>710</v>
      </c>
      <c r="C1546" s="31" t="s">
        <v>597</v>
      </c>
      <c r="D1546" s="31" t="s">
        <v>524</v>
      </c>
      <c r="E1546" s="57" t="s">
        <v>1955</v>
      </c>
      <c r="F1546" s="57" t="s">
        <v>525</v>
      </c>
      <c r="G1546" s="57" t="s">
        <v>1956</v>
      </c>
      <c r="H1546" s="57" t="s">
        <v>526</v>
      </c>
      <c r="I1546" s="57" t="s">
        <v>2390</v>
      </c>
      <c r="J1546" s="57" t="s">
        <v>2391</v>
      </c>
      <c r="K1546" s="57" t="s">
        <v>1485</v>
      </c>
      <c r="L1546" s="11" t="s">
        <v>914</v>
      </c>
      <c r="M1546" s="22">
        <v>1</v>
      </c>
      <c r="N1546" s="46">
        <v>18624107</v>
      </c>
      <c r="O1546" s="49">
        <f>M1546*N1546</f>
        <v>18624107</v>
      </c>
      <c r="P1546" s="5" t="s">
        <v>393</v>
      </c>
      <c r="Q1546" s="5" t="s">
        <v>766</v>
      </c>
      <c r="R1546" s="11" t="s">
        <v>2022</v>
      </c>
      <c r="S1546" s="5">
        <v>0</v>
      </c>
    </row>
    <row r="1547" spans="1:19" s="1" customFormat="1" ht="102">
      <c r="A1547" s="5">
        <v>1532</v>
      </c>
      <c r="B1547" s="15" t="s">
        <v>710</v>
      </c>
      <c r="C1547" s="31" t="s">
        <v>597</v>
      </c>
      <c r="D1547" s="31" t="s">
        <v>1368</v>
      </c>
      <c r="E1547" s="57" t="s">
        <v>1977</v>
      </c>
      <c r="F1547" s="57" t="s">
        <v>1369</v>
      </c>
      <c r="G1547" s="57" t="s">
        <v>1978</v>
      </c>
      <c r="H1547" s="57" t="s">
        <v>969</v>
      </c>
      <c r="I1547" s="57" t="s">
        <v>2775</v>
      </c>
      <c r="J1547" s="57" t="s">
        <v>117</v>
      </c>
      <c r="K1547" s="57" t="s">
        <v>591</v>
      </c>
      <c r="L1547" s="11" t="s">
        <v>914</v>
      </c>
      <c r="M1547" s="22">
        <v>1</v>
      </c>
      <c r="N1547" s="46">
        <f>O1547/M1547</f>
        <v>2302706</v>
      </c>
      <c r="O1547" s="49">
        <f>5080358-2777652</f>
        <v>2302706</v>
      </c>
      <c r="P1547" s="4" t="s">
        <v>506</v>
      </c>
      <c r="Q1547" s="5" t="s">
        <v>766</v>
      </c>
      <c r="R1547" s="11" t="s">
        <v>1175</v>
      </c>
      <c r="S1547" s="5">
        <v>30</v>
      </c>
    </row>
    <row r="1548" spans="1:19" s="1" customFormat="1" ht="102">
      <c r="A1548" s="5">
        <v>1533</v>
      </c>
      <c r="B1548" s="15" t="s">
        <v>710</v>
      </c>
      <c r="C1548" s="31" t="s">
        <v>597</v>
      </c>
      <c r="D1548" s="31" t="s">
        <v>1268</v>
      </c>
      <c r="E1548" s="57" t="s">
        <v>1867</v>
      </c>
      <c r="F1548" s="57" t="s">
        <v>1269</v>
      </c>
      <c r="G1548" s="57" t="s">
        <v>1867</v>
      </c>
      <c r="H1548" s="57" t="s">
        <v>1270</v>
      </c>
      <c r="I1548" s="57" t="s">
        <v>2313</v>
      </c>
      <c r="J1548" s="57" t="s">
        <v>307</v>
      </c>
      <c r="K1548" s="57" t="s">
        <v>591</v>
      </c>
      <c r="L1548" s="11" t="s">
        <v>914</v>
      </c>
      <c r="M1548" s="22">
        <v>1</v>
      </c>
      <c r="N1548" s="46">
        <v>214286</v>
      </c>
      <c r="O1548" s="49">
        <f t="shared" ref="O1548:O1555" si="35">M1548*N1548</f>
        <v>214286</v>
      </c>
      <c r="P1548" s="4" t="s">
        <v>391</v>
      </c>
      <c r="Q1548" s="5" t="s">
        <v>766</v>
      </c>
      <c r="R1548" s="11" t="s">
        <v>1175</v>
      </c>
      <c r="S1548" s="5">
        <v>30</v>
      </c>
    </row>
    <row r="1549" spans="1:19" s="1" customFormat="1" ht="63.75">
      <c r="A1549" s="5">
        <v>1534</v>
      </c>
      <c r="B1549" s="15" t="s">
        <v>710</v>
      </c>
      <c r="C1549" s="31" t="s">
        <v>597</v>
      </c>
      <c r="D1549" s="31" t="s">
        <v>1338</v>
      </c>
      <c r="E1549" s="57" t="s">
        <v>1984</v>
      </c>
      <c r="F1549" s="57" t="s">
        <v>1339</v>
      </c>
      <c r="G1549" s="57" t="s">
        <v>1985</v>
      </c>
      <c r="H1549" s="57" t="s">
        <v>1340</v>
      </c>
      <c r="I1549" s="57" t="s">
        <v>1986</v>
      </c>
      <c r="J1549" s="57" t="s">
        <v>308</v>
      </c>
      <c r="K1549" s="57" t="s">
        <v>1484</v>
      </c>
      <c r="L1549" s="11" t="s">
        <v>914</v>
      </c>
      <c r="M1549" s="22">
        <v>1</v>
      </c>
      <c r="N1549" s="46">
        <v>4285714</v>
      </c>
      <c r="O1549" s="49">
        <f t="shared" si="35"/>
        <v>4285714</v>
      </c>
      <c r="P1549" s="4" t="s">
        <v>391</v>
      </c>
      <c r="Q1549" s="5" t="s">
        <v>766</v>
      </c>
      <c r="R1549" s="11" t="s">
        <v>1175</v>
      </c>
      <c r="S1549" s="5">
        <v>0</v>
      </c>
    </row>
    <row r="1550" spans="1:19" s="1" customFormat="1" ht="51">
      <c r="A1550" s="5">
        <v>1535</v>
      </c>
      <c r="B1550" s="15" t="s">
        <v>710</v>
      </c>
      <c r="C1550" s="31" t="s">
        <v>597</v>
      </c>
      <c r="D1550" s="31" t="s">
        <v>1338</v>
      </c>
      <c r="E1550" s="57" t="s">
        <v>1984</v>
      </c>
      <c r="F1550" s="57" t="s">
        <v>1339</v>
      </c>
      <c r="G1550" s="57" t="s">
        <v>1985</v>
      </c>
      <c r="H1550" s="57" t="s">
        <v>1340</v>
      </c>
      <c r="I1550" s="57" t="s">
        <v>1987</v>
      </c>
      <c r="J1550" s="57" t="s">
        <v>309</v>
      </c>
      <c r="K1550" s="57" t="s">
        <v>1484</v>
      </c>
      <c r="L1550" s="11" t="s">
        <v>914</v>
      </c>
      <c r="M1550" s="22">
        <v>1</v>
      </c>
      <c r="N1550" s="46">
        <v>4285714</v>
      </c>
      <c r="O1550" s="49">
        <f t="shared" si="35"/>
        <v>4285714</v>
      </c>
      <c r="P1550" s="4" t="s">
        <v>391</v>
      </c>
      <c r="Q1550" s="5" t="s">
        <v>766</v>
      </c>
      <c r="R1550" s="11" t="s">
        <v>1175</v>
      </c>
      <c r="S1550" s="5">
        <v>0</v>
      </c>
    </row>
    <row r="1551" spans="1:19" s="1" customFormat="1" ht="76.5">
      <c r="A1551" s="5">
        <v>1536</v>
      </c>
      <c r="B1551" s="15" t="s">
        <v>710</v>
      </c>
      <c r="C1551" s="31" t="s">
        <v>597</v>
      </c>
      <c r="D1551" s="31" t="s">
        <v>1458</v>
      </c>
      <c r="E1551" s="57" t="s">
        <v>1989</v>
      </c>
      <c r="F1551" s="57" t="s">
        <v>1459</v>
      </c>
      <c r="G1551" s="57" t="s">
        <v>1988</v>
      </c>
      <c r="H1551" s="57" t="s">
        <v>1460</v>
      </c>
      <c r="I1551" s="57" t="s">
        <v>1990</v>
      </c>
      <c r="J1551" s="57" t="s">
        <v>310</v>
      </c>
      <c r="K1551" s="57" t="s">
        <v>591</v>
      </c>
      <c r="L1551" s="11" t="s">
        <v>914</v>
      </c>
      <c r="M1551" s="22">
        <v>1</v>
      </c>
      <c r="N1551" s="46">
        <v>3214286</v>
      </c>
      <c r="O1551" s="49">
        <f t="shared" si="35"/>
        <v>3214286</v>
      </c>
      <c r="P1551" s="4" t="s">
        <v>391</v>
      </c>
      <c r="Q1551" s="5" t="s">
        <v>766</v>
      </c>
      <c r="R1551" s="11" t="s">
        <v>1175</v>
      </c>
      <c r="S1551" s="5">
        <v>0</v>
      </c>
    </row>
    <row r="1552" spans="1:19" s="1" customFormat="1" ht="51">
      <c r="A1552" s="5">
        <v>1537</v>
      </c>
      <c r="B1552" s="15" t="s">
        <v>710</v>
      </c>
      <c r="C1552" s="31" t="s">
        <v>597</v>
      </c>
      <c r="D1552" s="31" t="s">
        <v>1461</v>
      </c>
      <c r="E1552" s="57" t="s">
        <v>1815</v>
      </c>
      <c r="F1552" s="57" t="s">
        <v>1462</v>
      </c>
      <c r="G1552" s="57" t="s">
        <v>1816</v>
      </c>
      <c r="H1552" s="57" t="s">
        <v>1463</v>
      </c>
      <c r="I1552" s="57" t="s">
        <v>1991</v>
      </c>
      <c r="J1552" s="57" t="s">
        <v>311</v>
      </c>
      <c r="K1552" s="57" t="s">
        <v>591</v>
      </c>
      <c r="L1552" s="11" t="s">
        <v>914</v>
      </c>
      <c r="M1552" s="22">
        <v>1</v>
      </c>
      <c r="N1552" s="46">
        <v>803571</v>
      </c>
      <c r="O1552" s="49">
        <f t="shared" si="35"/>
        <v>803571</v>
      </c>
      <c r="P1552" s="4" t="s">
        <v>515</v>
      </c>
      <c r="Q1552" s="5" t="s">
        <v>766</v>
      </c>
      <c r="R1552" s="11" t="s">
        <v>1175</v>
      </c>
      <c r="S1552" s="5">
        <v>30</v>
      </c>
    </row>
    <row r="1553" spans="1:19" s="1" customFormat="1" ht="76.5">
      <c r="A1553" s="5">
        <v>1538</v>
      </c>
      <c r="B1553" s="15" t="s">
        <v>710</v>
      </c>
      <c r="C1553" s="31" t="s">
        <v>597</v>
      </c>
      <c r="D1553" s="31" t="s">
        <v>1458</v>
      </c>
      <c r="E1553" s="57" t="s">
        <v>1989</v>
      </c>
      <c r="F1553" s="57" t="s">
        <v>1459</v>
      </c>
      <c r="G1553" s="57" t="s">
        <v>1988</v>
      </c>
      <c r="H1553" s="57" t="s">
        <v>1460</v>
      </c>
      <c r="I1553" s="57" t="s">
        <v>1992</v>
      </c>
      <c r="J1553" s="57" t="s">
        <v>312</v>
      </c>
      <c r="K1553" s="57" t="s">
        <v>591</v>
      </c>
      <c r="L1553" s="11" t="s">
        <v>914</v>
      </c>
      <c r="M1553" s="22">
        <v>1</v>
      </c>
      <c r="N1553" s="46">
        <v>3214286</v>
      </c>
      <c r="O1553" s="49">
        <f t="shared" si="35"/>
        <v>3214286</v>
      </c>
      <c r="P1553" s="4" t="s">
        <v>391</v>
      </c>
      <c r="Q1553" s="5" t="s">
        <v>766</v>
      </c>
      <c r="R1553" s="11" t="s">
        <v>1175</v>
      </c>
      <c r="S1553" s="5">
        <v>50</v>
      </c>
    </row>
    <row r="1554" spans="1:19" s="13" customFormat="1" ht="63.75">
      <c r="A1554" s="5">
        <v>1539</v>
      </c>
      <c r="B1554" s="15" t="s">
        <v>710</v>
      </c>
      <c r="C1554" s="31" t="s">
        <v>597</v>
      </c>
      <c r="D1554" s="31" t="s">
        <v>1336</v>
      </c>
      <c r="E1554" s="57" t="s">
        <v>1945</v>
      </c>
      <c r="F1554" s="57" t="s">
        <v>509</v>
      </c>
      <c r="G1554" s="57" t="s">
        <v>1993</v>
      </c>
      <c r="H1554" s="57" t="s">
        <v>1337</v>
      </c>
      <c r="I1554" s="57" t="s">
        <v>2314</v>
      </c>
      <c r="J1554" s="57" t="s">
        <v>51</v>
      </c>
      <c r="K1554" s="57" t="s">
        <v>1484</v>
      </c>
      <c r="L1554" s="11" t="s">
        <v>914</v>
      </c>
      <c r="M1554" s="22">
        <v>1</v>
      </c>
      <c r="N1554" s="46">
        <v>5721179</v>
      </c>
      <c r="O1554" s="49">
        <f t="shared" si="35"/>
        <v>5721179</v>
      </c>
      <c r="P1554" s="5" t="s">
        <v>501</v>
      </c>
      <c r="Q1554" s="5" t="s">
        <v>1475</v>
      </c>
      <c r="R1554" s="11" t="s">
        <v>1175</v>
      </c>
      <c r="S1554" s="5">
        <v>10</v>
      </c>
    </row>
    <row r="1555" spans="1:19" s="13" customFormat="1" ht="51">
      <c r="A1555" s="5">
        <v>1540</v>
      </c>
      <c r="B1555" s="15" t="s">
        <v>710</v>
      </c>
      <c r="C1555" s="31" t="s">
        <v>597</v>
      </c>
      <c r="D1555" s="31" t="s">
        <v>1338</v>
      </c>
      <c r="E1555" s="57" t="s">
        <v>1984</v>
      </c>
      <c r="F1555" s="57" t="s">
        <v>1339</v>
      </c>
      <c r="G1555" s="57" t="s">
        <v>1985</v>
      </c>
      <c r="H1555" s="57" t="s">
        <v>1340</v>
      </c>
      <c r="I1555" s="57" t="s">
        <v>1994</v>
      </c>
      <c r="J1555" s="57" t="s">
        <v>38</v>
      </c>
      <c r="K1555" s="57" t="s">
        <v>591</v>
      </c>
      <c r="L1555" s="11" t="s">
        <v>914</v>
      </c>
      <c r="M1555" s="22">
        <v>1</v>
      </c>
      <c r="N1555" s="46">
        <v>1250000</v>
      </c>
      <c r="O1555" s="49">
        <f t="shared" si="35"/>
        <v>1250000</v>
      </c>
      <c r="P1555" s="5" t="s">
        <v>393</v>
      </c>
      <c r="Q1555" s="5" t="s">
        <v>766</v>
      </c>
      <c r="R1555" s="11" t="s">
        <v>1175</v>
      </c>
      <c r="S1555" s="5">
        <v>0</v>
      </c>
    </row>
    <row r="1556" spans="1:19" s="88" customFormat="1" ht="89.25">
      <c r="A1556" s="5">
        <v>1541</v>
      </c>
      <c r="B1556" s="15" t="s">
        <v>710</v>
      </c>
      <c r="C1556" s="31" t="s">
        <v>597</v>
      </c>
      <c r="D1556" s="31" t="s">
        <v>966</v>
      </c>
      <c r="E1556" s="57" t="s">
        <v>1953</v>
      </c>
      <c r="F1556" s="57" t="s">
        <v>916</v>
      </c>
      <c r="G1556" s="57" t="s">
        <v>1834</v>
      </c>
      <c r="H1556" s="57" t="s">
        <v>967</v>
      </c>
      <c r="I1556" s="57" t="s">
        <v>1995</v>
      </c>
      <c r="J1556" s="57" t="s">
        <v>313</v>
      </c>
      <c r="K1556" s="57" t="s">
        <v>591</v>
      </c>
      <c r="L1556" s="11" t="s">
        <v>914</v>
      </c>
      <c r="M1556" s="22">
        <v>1</v>
      </c>
      <c r="N1556" s="46">
        <f>O1556/M1556</f>
        <v>0</v>
      </c>
      <c r="O1556" s="49">
        <f>781250-781250</f>
        <v>0</v>
      </c>
      <c r="P1556" s="40" t="s">
        <v>612</v>
      </c>
      <c r="Q1556" s="40" t="s">
        <v>501</v>
      </c>
      <c r="R1556" s="11" t="s">
        <v>1175</v>
      </c>
      <c r="S1556" s="40">
        <v>30</v>
      </c>
    </row>
    <row r="1557" spans="1:19" s="1" customFormat="1" ht="102">
      <c r="A1557" s="5">
        <v>1542</v>
      </c>
      <c r="B1557" s="15" t="s">
        <v>710</v>
      </c>
      <c r="C1557" s="31" t="s">
        <v>597</v>
      </c>
      <c r="D1557" s="31" t="s">
        <v>1368</v>
      </c>
      <c r="E1557" s="57" t="s">
        <v>1977</v>
      </c>
      <c r="F1557" s="57" t="s">
        <v>1369</v>
      </c>
      <c r="G1557" s="57" t="s">
        <v>1978</v>
      </c>
      <c r="H1557" s="57" t="s">
        <v>1370</v>
      </c>
      <c r="I1557" s="57" t="s">
        <v>2966</v>
      </c>
      <c r="J1557" s="57" t="s">
        <v>1492</v>
      </c>
      <c r="K1557" s="57" t="s">
        <v>591</v>
      </c>
      <c r="L1557" s="11" t="s">
        <v>914</v>
      </c>
      <c r="M1557" s="22">
        <v>1</v>
      </c>
      <c r="N1557" s="46">
        <f>O1557/M1557</f>
        <v>3180480</v>
      </c>
      <c r="O1557" s="49">
        <f>9482143-6301663</f>
        <v>3180480</v>
      </c>
      <c r="P1557" s="157" t="s">
        <v>506</v>
      </c>
      <c r="Q1557" s="157" t="s">
        <v>1493</v>
      </c>
      <c r="R1557" s="11" t="s">
        <v>1175</v>
      </c>
      <c r="S1557" s="157">
        <v>50</v>
      </c>
    </row>
    <row r="1558" spans="1:19" s="1" customFormat="1" ht="89.25">
      <c r="A1558" s="5">
        <v>1543</v>
      </c>
      <c r="B1558" s="15" t="s">
        <v>710</v>
      </c>
      <c r="C1558" s="31" t="s">
        <v>597</v>
      </c>
      <c r="D1558" s="31" t="s">
        <v>1469</v>
      </c>
      <c r="E1558" s="31" t="s">
        <v>2356</v>
      </c>
      <c r="F1558" s="57" t="s">
        <v>2357</v>
      </c>
      <c r="G1558" s="31" t="s">
        <v>2358</v>
      </c>
      <c r="H1558" s="57" t="s">
        <v>1470</v>
      </c>
      <c r="I1558" s="40" t="s">
        <v>2359</v>
      </c>
      <c r="J1558" s="57" t="s">
        <v>1494</v>
      </c>
      <c r="K1558" s="57" t="s">
        <v>591</v>
      </c>
      <c r="L1558" s="11" t="s">
        <v>914</v>
      </c>
      <c r="M1558" s="22">
        <v>1</v>
      </c>
      <c r="N1558" s="46">
        <v>748393</v>
      </c>
      <c r="O1558" s="49">
        <f>M1558*N1558</f>
        <v>748393</v>
      </c>
      <c r="P1558" s="40" t="s">
        <v>699</v>
      </c>
      <c r="Q1558" s="40" t="s">
        <v>1491</v>
      </c>
      <c r="R1558" s="11" t="s">
        <v>1175</v>
      </c>
      <c r="S1558" s="40">
        <v>30</v>
      </c>
    </row>
    <row r="1559" spans="1:19" s="1" customFormat="1" ht="63.75">
      <c r="A1559" s="5">
        <v>1544</v>
      </c>
      <c r="B1559" s="15" t="s">
        <v>710</v>
      </c>
      <c r="C1559" s="31" t="s">
        <v>597</v>
      </c>
      <c r="D1559" s="31" t="s">
        <v>1495</v>
      </c>
      <c r="E1559" s="57" t="s">
        <v>1998</v>
      </c>
      <c r="F1559" s="57" t="s">
        <v>1496</v>
      </c>
      <c r="G1559" s="57" t="s">
        <v>1997</v>
      </c>
      <c r="H1559" s="57" t="s">
        <v>1497</v>
      </c>
      <c r="I1559" s="57" t="s">
        <v>1996</v>
      </c>
      <c r="J1559" s="57" t="s">
        <v>314</v>
      </c>
      <c r="K1559" s="57" t="s">
        <v>591</v>
      </c>
      <c r="L1559" s="11" t="s">
        <v>914</v>
      </c>
      <c r="M1559" s="22">
        <v>1</v>
      </c>
      <c r="N1559" s="46">
        <v>1339286</v>
      </c>
      <c r="O1559" s="49">
        <f>M1559*N1559</f>
        <v>1339286</v>
      </c>
      <c r="P1559" s="40" t="s">
        <v>502</v>
      </c>
      <c r="Q1559" s="40" t="s">
        <v>699</v>
      </c>
      <c r="R1559" s="11" t="s">
        <v>1175</v>
      </c>
      <c r="S1559" s="40">
        <v>30</v>
      </c>
    </row>
    <row r="1560" spans="1:19" s="13" customFormat="1" ht="76.5">
      <c r="A1560" s="5">
        <v>1545</v>
      </c>
      <c r="B1560" s="15" t="s">
        <v>710</v>
      </c>
      <c r="C1560" s="31" t="s">
        <v>597</v>
      </c>
      <c r="D1560" s="31" t="s">
        <v>589</v>
      </c>
      <c r="E1560" s="31" t="s">
        <v>2360</v>
      </c>
      <c r="F1560" s="31" t="s">
        <v>590</v>
      </c>
      <c r="G1560" s="31" t="s">
        <v>2361</v>
      </c>
      <c r="H1560" s="31" t="s">
        <v>590</v>
      </c>
      <c r="I1560" s="89" t="s">
        <v>2362</v>
      </c>
      <c r="J1560" s="31" t="s">
        <v>2363</v>
      </c>
      <c r="K1560" s="57" t="s">
        <v>591</v>
      </c>
      <c r="L1560" s="11" t="s">
        <v>914</v>
      </c>
      <c r="M1560" s="22">
        <v>1</v>
      </c>
      <c r="N1560" s="46">
        <f>O1560/M1560</f>
        <v>910604</v>
      </c>
      <c r="O1560" s="49">
        <f>1035203-124599</f>
        <v>910604</v>
      </c>
      <c r="P1560" s="5" t="s">
        <v>501</v>
      </c>
      <c r="Q1560" s="5" t="s">
        <v>766</v>
      </c>
      <c r="R1560" s="11" t="s">
        <v>2027</v>
      </c>
      <c r="S1560" s="22">
        <v>30</v>
      </c>
    </row>
    <row r="1561" spans="1:19" s="13" customFormat="1" ht="76.5">
      <c r="A1561" s="5">
        <v>1546</v>
      </c>
      <c r="B1561" s="15" t="s">
        <v>710</v>
      </c>
      <c r="C1561" s="31" t="s">
        <v>597</v>
      </c>
      <c r="D1561" s="31" t="s">
        <v>589</v>
      </c>
      <c r="E1561" s="31" t="s">
        <v>2360</v>
      </c>
      <c r="F1561" s="31" t="s">
        <v>590</v>
      </c>
      <c r="G1561" s="31" t="s">
        <v>2361</v>
      </c>
      <c r="H1561" s="31" t="s">
        <v>590</v>
      </c>
      <c r="I1561" s="89" t="s">
        <v>2362</v>
      </c>
      <c r="J1561" s="31" t="s">
        <v>2363</v>
      </c>
      <c r="K1561" s="57" t="s">
        <v>591</v>
      </c>
      <c r="L1561" s="11" t="s">
        <v>914</v>
      </c>
      <c r="M1561" s="22">
        <v>1</v>
      </c>
      <c r="N1561" s="46">
        <f>O1561/M1561</f>
        <v>1047793</v>
      </c>
      <c r="O1561" s="49">
        <f>1035203+12590</f>
        <v>1047793</v>
      </c>
      <c r="P1561" s="5" t="s">
        <v>501</v>
      </c>
      <c r="Q1561" s="5" t="s">
        <v>766</v>
      </c>
      <c r="R1561" s="11" t="s">
        <v>2022</v>
      </c>
      <c r="S1561" s="22">
        <v>30</v>
      </c>
    </row>
    <row r="1562" spans="1:19" s="13" customFormat="1" ht="76.5">
      <c r="A1562" s="5">
        <v>1547</v>
      </c>
      <c r="B1562" s="29" t="s">
        <v>710</v>
      </c>
      <c r="C1562" s="35" t="s">
        <v>597</v>
      </c>
      <c r="D1562" s="31" t="s">
        <v>589</v>
      </c>
      <c r="E1562" s="31" t="s">
        <v>2360</v>
      </c>
      <c r="F1562" s="31" t="s">
        <v>590</v>
      </c>
      <c r="G1562" s="31" t="s">
        <v>2361</v>
      </c>
      <c r="H1562" s="31" t="s">
        <v>590</v>
      </c>
      <c r="I1562" s="89" t="s">
        <v>2362</v>
      </c>
      <c r="J1562" s="31" t="s">
        <v>2363</v>
      </c>
      <c r="K1562" s="57" t="s">
        <v>591</v>
      </c>
      <c r="L1562" s="11" t="s">
        <v>914</v>
      </c>
      <c r="M1562" s="22">
        <v>1</v>
      </c>
      <c r="N1562" s="46">
        <f t="shared" ref="N1562:N1576" si="36">O1562/M1562</f>
        <v>1047793</v>
      </c>
      <c r="O1562" s="49">
        <f>1035203+12590</f>
        <v>1047793</v>
      </c>
      <c r="P1562" s="5" t="s">
        <v>501</v>
      </c>
      <c r="Q1562" s="5" t="s">
        <v>766</v>
      </c>
      <c r="R1562" s="11" t="s">
        <v>2030</v>
      </c>
      <c r="S1562" s="22">
        <v>30</v>
      </c>
    </row>
    <row r="1563" spans="1:19" s="13" customFormat="1" ht="76.5">
      <c r="A1563" s="5">
        <v>1548</v>
      </c>
      <c r="B1563" s="15" t="s">
        <v>710</v>
      </c>
      <c r="C1563" s="31" t="s">
        <v>597</v>
      </c>
      <c r="D1563" s="31" t="s">
        <v>589</v>
      </c>
      <c r="E1563" s="31" t="s">
        <v>2360</v>
      </c>
      <c r="F1563" s="31" t="s">
        <v>590</v>
      </c>
      <c r="G1563" s="31" t="s">
        <v>2361</v>
      </c>
      <c r="H1563" s="31" t="s">
        <v>590</v>
      </c>
      <c r="I1563" s="89" t="s">
        <v>2362</v>
      </c>
      <c r="J1563" s="31" t="s">
        <v>2363</v>
      </c>
      <c r="K1563" s="57" t="s">
        <v>591</v>
      </c>
      <c r="L1563" s="11" t="s">
        <v>914</v>
      </c>
      <c r="M1563" s="53">
        <v>1</v>
      </c>
      <c r="N1563" s="46">
        <f t="shared" si="36"/>
        <v>1047793</v>
      </c>
      <c r="O1563" s="49">
        <f>1035203+12590</f>
        <v>1047793</v>
      </c>
      <c r="P1563" s="5" t="s">
        <v>501</v>
      </c>
      <c r="Q1563" s="40" t="s">
        <v>1491</v>
      </c>
      <c r="R1563" s="11" t="s">
        <v>789</v>
      </c>
      <c r="S1563" s="5">
        <v>30</v>
      </c>
    </row>
    <row r="1564" spans="1:19" s="13" customFormat="1" ht="76.5">
      <c r="A1564" s="5">
        <v>1549</v>
      </c>
      <c r="B1564" s="15" t="s">
        <v>710</v>
      </c>
      <c r="C1564" s="31" t="s">
        <v>597</v>
      </c>
      <c r="D1564" s="31" t="s">
        <v>589</v>
      </c>
      <c r="E1564" s="31" t="s">
        <v>2360</v>
      </c>
      <c r="F1564" s="31" t="s">
        <v>590</v>
      </c>
      <c r="G1564" s="31" t="s">
        <v>2361</v>
      </c>
      <c r="H1564" s="31" t="s">
        <v>590</v>
      </c>
      <c r="I1564" s="89" t="s">
        <v>2362</v>
      </c>
      <c r="J1564" s="31" t="s">
        <v>2363</v>
      </c>
      <c r="K1564" s="57" t="s">
        <v>591</v>
      </c>
      <c r="L1564" s="11" t="s">
        <v>914</v>
      </c>
      <c r="M1564" s="22">
        <v>1</v>
      </c>
      <c r="N1564" s="46">
        <f t="shared" si="36"/>
        <v>1138134</v>
      </c>
      <c r="O1564" s="49">
        <f>1035203+102931</f>
        <v>1138134</v>
      </c>
      <c r="P1564" s="5" t="s">
        <v>501</v>
      </c>
      <c r="Q1564" s="5" t="s">
        <v>766</v>
      </c>
      <c r="R1564" s="11" t="s">
        <v>1021</v>
      </c>
      <c r="S1564" s="22">
        <v>30</v>
      </c>
    </row>
    <row r="1565" spans="1:19" s="13" customFormat="1" ht="76.5">
      <c r="A1565" s="5">
        <v>1550</v>
      </c>
      <c r="B1565" s="15" t="s">
        <v>710</v>
      </c>
      <c r="C1565" s="31" t="s">
        <v>597</v>
      </c>
      <c r="D1565" s="31" t="s">
        <v>589</v>
      </c>
      <c r="E1565" s="31" t="s">
        <v>2360</v>
      </c>
      <c r="F1565" s="31" t="s">
        <v>590</v>
      </c>
      <c r="G1565" s="31" t="s">
        <v>2361</v>
      </c>
      <c r="H1565" s="31" t="s">
        <v>590</v>
      </c>
      <c r="I1565" s="89" t="s">
        <v>2362</v>
      </c>
      <c r="J1565" s="31" t="s">
        <v>2363</v>
      </c>
      <c r="K1565" s="57" t="s">
        <v>591</v>
      </c>
      <c r="L1565" s="11" t="s">
        <v>914</v>
      </c>
      <c r="M1565" s="22">
        <v>1</v>
      </c>
      <c r="N1565" s="46">
        <f t="shared" si="36"/>
        <v>1138134</v>
      </c>
      <c r="O1565" s="49">
        <f>1035203+102931</f>
        <v>1138134</v>
      </c>
      <c r="P1565" s="5" t="s">
        <v>501</v>
      </c>
      <c r="Q1565" s="5" t="s">
        <v>766</v>
      </c>
      <c r="R1565" s="11" t="s">
        <v>2023</v>
      </c>
      <c r="S1565" s="22">
        <v>30</v>
      </c>
    </row>
    <row r="1566" spans="1:19" ht="76.5">
      <c r="A1566" s="5">
        <v>1551</v>
      </c>
      <c r="B1566" s="15" t="s">
        <v>710</v>
      </c>
      <c r="C1566" s="31" t="s">
        <v>597</v>
      </c>
      <c r="D1566" s="31" t="s">
        <v>589</v>
      </c>
      <c r="E1566" s="31" t="s">
        <v>2360</v>
      </c>
      <c r="F1566" s="31" t="s">
        <v>590</v>
      </c>
      <c r="G1566" s="31" t="s">
        <v>2361</v>
      </c>
      <c r="H1566" s="31" t="s">
        <v>590</v>
      </c>
      <c r="I1566" s="89" t="s">
        <v>2362</v>
      </c>
      <c r="J1566" s="31" t="s">
        <v>2363</v>
      </c>
      <c r="K1566" s="57" t="s">
        <v>591</v>
      </c>
      <c r="L1566" s="11" t="s">
        <v>914</v>
      </c>
      <c r="M1566" s="22">
        <v>1</v>
      </c>
      <c r="N1566" s="46">
        <f t="shared" si="36"/>
        <v>1047793</v>
      </c>
      <c r="O1566" s="49">
        <f>1035203+12590</f>
        <v>1047793</v>
      </c>
      <c r="P1566" s="5" t="s">
        <v>501</v>
      </c>
      <c r="Q1566" s="5" t="s">
        <v>766</v>
      </c>
      <c r="R1566" s="11" t="s">
        <v>633</v>
      </c>
      <c r="S1566" s="22">
        <v>30</v>
      </c>
    </row>
    <row r="1567" spans="1:19" ht="76.5">
      <c r="A1567" s="5">
        <v>1552</v>
      </c>
      <c r="B1567" s="15" t="s">
        <v>710</v>
      </c>
      <c r="C1567" s="31" t="s">
        <v>597</v>
      </c>
      <c r="D1567" s="31" t="s">
        <v>589</v>
      </c>
      <c r="E1567" s="31" t="s">
        <v>2360</v>
      </c>
      <c r="F1567" s="31" t="s">
        <v>590</v>
      </c>
      <c r="G1567" s="31" t="s">
        <v>2361</v>
      </c>
      <c r="H1567" s="31" t="s">
        <v>590</v>
      </c>
      <c r="I1567" s="89" t="s">
        <v>2362</v>
      </c>
      <c r="J1567" s="31" t="s">
        <v>2363</v>
      </c>
      <c r="K1567" s="57" t="s">
        <v>591</v>
      </c>
      <c r="L1567" s="11" t="s">
        <v>914</v>
      </c>
      <c r="M1567" s="22">
        <v>1</v>
      </c>
      <c r="N1567" s="46">
        <f t="shared" si="36"/>
        <v>1047793</v>
      </c>
      <c r="O1567" s="49">
        <f>1035203+12590</f>
        <v>1047793</v>
      </c>
      <c r="P1567" s="5" t="s">
        <v>501</v>
      </c>
      <c r="Q1567" s="5" t="s">
        <v>766</v>
      </c>
      <c r="R1567" s="11" t="s">
        <v>694</v>
      </c>
      <c r="S1567" s="22">
        <v>30</v>
      </c>
    </row>
    <row r="1568" spans="1:19" s="34" customFormat="1" ht="76.5">
      <c r="A1568" s="5">
        <v>1553</v>
      </c>
      <c r="B1568" s="15" t="s">
        <v>710</v>
      </c>
      <c r="C1568" s="31" t="s">
        <v>597</v>
      </c>
      <c r="D1568" s="31" t="s">
        <v>589</v>
      </c>
      <c r="E1568" s="31" t="s">
        <v>2360</v>
      </c>
      <c r="F1568" s="31" t="s">
        <v>590</v>
      </c>
      <c r="G1568" s="31" t="s">
        <v>2361</v>
      </c>
      <c r="H1568" s="31" t="s">
        <v>590</v>
      </c>
      <c r="I1568" s="89" t="s">
        <v>2362</v>
      </c>
      <c r="J1568" s="31" t="s">
        <v>2363</v>
      </c>
      <c r="K1568" s="57" t="s">
        <v>591</v>
      </c>
      <c r="L1568" s="11" t="s">
        <v>914</v>
      </c>
      <c r="M1568" s="22">
        <v>1</v>
      </c>
      <c r="N1568" s="46">
        <f t="shared" si="36"/>
        <v>1047793</v>
      </c>
      <c r="O1568" s="49">
        <f>1035203+12590</f>
        <v>1047793</v>
      </c>
      <c r="P1568" s="5" t="s">
        <v>501</v>
      </c>
      <c r="Q1568" s="5" t="s">
        <v>766</v>
      </c>
      <c r="R1568" s="11">
        <v>311000000</v>
      </c>
      <c r="S1568" s="22">
        <v>30</v>
      </c>
    </row>
    <row r="1569" spans="1:19" s="36" customFormat="1" ht="76.5">
      <c r="A1569" s="5">
        <v>1554</v>
      </c>
      <c r="B1569" s="15" t="s">
        <v>710</v>
      </c>
      <c r="C1569" s="31" t="s">
        <v>597</v>
      </c>
      <c r="D1569" s="31" t="s">
        <v>589</v>
      </c>
      <c r="E1569" s="31" t="s">
        <v>2360</v>
      </c>
      <c r="F1569" s="31" t="s">
        <v>590</v>
      </c>
      <c r="G1569" s="31" t="s">
        <v>2361</v>
      </c>
      <c r="H1569" s="31" t="s">
        <v>590</v>
      </c>
      <c r="I1569" s="89" t="s">
        <v>2362</v>
      </c>
      <c r="J1569" s="31" t="s">
        <v>2363</v>
      </c>
      <c r="K1569" s="57" t="s">
        <v>591</v>
      </c>
      <c r="L1569" s="11" t="s">
        <v>914</v>
      </c>
      <c r="M1569" s="22">
        <v>1</v>
      </c>
      <c r="N1569" s="46">
        <f t="shared" si="36"/>
        <v>1138134</v>
      </c>
      <c r="O1569" s="49">
        <f>1035203+102931</f>
        <v>1138134</v>
      </c>
      <c r="P1569" s="5" t="s">
        <v>501</v>
      </c>
      <c r="Q1569" s="5" t="s">
        <v>766</v>
      </c>
      <c r="R1569" s="11" t="s">
        <v>2024</v>
      </c>
      <c r="S1569" s="22">
        <v>30</v>
      </c>
    </row>
    <row r="1570" spans="1:19" s="13" customFormat="1" ht="76.5">
      <c r="A1570" s="5">
        <v>1555</v>
      </c>
      <c r="B1570" s="15" t="s">
        <v>710</v>
      </c>
      <c r="C1570" s="31" t="s">
        <v>597</v>
      </c>
      <c r="D1570" s="31" t="s">
        <v>589</v>
      </c>
      <c r="E1570" s="31" t="s">
        <v>2360</v>
      </c>
      <c r="F1570" s="31" t="s">
        <v>590</v>
      </c>
      <c r="G1570" s="31" t="s">
        <v>2361</v>
      </c>
      <c r="H1570" s="31" t="s">
        <v>590</v>
      </c>
      <c r="I1570" s="89" t="s">
        <v>2362</v>
      </c>
      <c r="J1570" s="31" t="s">
        <v>2363</v>
      </c>
      <c r="K1570" s="57" t="s">
        <v>591</v>
      </c>
      <c r="L1570" s="11" t="s">
        <v>914</v>
      </c>
      <c r="M1570" s="22">
        <v>1</v>
      </c>
      <c r="N1570" s="46">
        <f t="shared" si="36"/>
        <v>1047793</v>
      </c>
      <c r="O1570" s="49">
        <f>1035203+12590</f>
        <v>1047793</v>
      </c>
      <c r="P1570" s="5" t="s">
        <v>501</v>
      </c>
      <c r="Q1570" s="5" t="s">
        <v>766</v>
      </c>
      <c r="R1570" s="11">
        <v>351000000</v>
      </c>
      <c r="S1570" s="22">
        <v>30</v>
      </c>
    </row>
    <row r="1571" spans="1:19" s="13" customFormat="1" ht="76.5">
      <c r="A1571" s="5">
        <v>1556</v>
      </c>
      <c r="B1571" s="15" t="s">
        <v>710</v>
      </c>
      <c r="C1571" s="31" t="s">
        <v>597</v>
      </c>
      <c r="D1571" s="31" t="s">
        <v>589</v>
      </c>
      <c r="E1571" s="31" t="s">
        <v>2360</v>
      </c>
      <c r="F1571" s="31" t="s">
        <v>590</v>
      </c>
      <c r="G1571" s="31" t="s">
        <v>2361</v>
      </c>
      <c r="H1571" s="31" t="s">
        <v>590</v>
      </c>
      <c r="I1571" s="89" t="s">
        <v>2362</v>
      </c>
      <c r="J1571" s="31" t="s">
        <v>2363</v>
      </c>
      <c r="K1571" s="57" t="s">
        <v>591</v>
      </c>
      <c r="L1571" s="11" t="s">
        <v>914</v>
      </c>
      <c r="M1571" s="52">
        <v>1</v>
      </c>
      <c r="N1571" s="46">
        <f t="shared" si="36"/>
        <v>1047793</v>
      </c>
      <c r="O1571" s="49">
        <f>1035203+12590</f>
        <v>1047793</v>
      </c>
      <c r="P1571" s="5" t="s">
        <v>501</v>
      </c>
      <c r="Q1571" s="5" t="s">
        <v>766</v>
      </c>
      <c r="R1571" s="11">
        <v>431000000</v>
      </c>
      <c r="S1571" s="22">
        <v>30</v>
      </c>
    </row>
    <row r="1572" spans="1:19" s="13" customFormat="1" ht="76.5">
      <c r="A1572" s="5">
        <v>1557</v>
      </c>
      <c r="B1572" s="29" t="s">
        <v>710</v>
      </c>
      <c r="C1572" s="42" t="s">
        <v>597</v>
      </c>
      <c r="D1572" s="31" t="s">
        <v>589</v>
      </c>
      <c r="E1572" s="31" t="s">
        <v>2360</v>
      </c>
      <c r="F1572" s="31" t="s">
        <v>590</v>
      </c>
      <c r="G1572" s="31" t="s">
        <v>2361</v>
      </c>
      <c r="H1572" s="31" t="s">
        <v>590</v>
      </c>
      <c r="I1572" s="89" t="s">
        <v>2362</v>
      </c>
      <c r="J1572" s="31" t="s">
        <v>2363</v>
      </c>
      <c r="K1572" s="57" t="s">
        <v>591</v>
      </c>
      <c r="L1572" s="11" t="s">
        <v>914</v>
      </c>
      <c r="M1572" s="22">
        <v>1</v>
      </c>
      <c r="N1572" s="46">
        <f t="shared" si="36"/>
        <v>1138134</v>
      </c>
      <c r="O1572" s="49">
        <f>1035203+102931</f>
        <v>1138134</v>
      </c>
      <c r="P1572" s="5" t="s">
        <v>501</v>
      </c>
      <c r="Q1572" s="5" t="s">
        <v>766</v>
      </c>
      <c r="R1572" s="11" t="s">
        <v>715</v>
      </c>
      <c r="S1572" s="22">
        <v>30</v>
      </c>
    </row>
    <row r="1573" spans="1:19" ht="76.5">
      <c r="A1573" s="5">
        <v>1558</v>
      </c>
      <c r="B1573" s="15" t="s">
        <v>710</v>
      </c>
      <c r="C1573" s="31" t="s">
        <v>597</v>
      </c>
      <c r="D1573" s="31" t="s">
        <v>589</v>
      </c>
      <c r="E1573" s="31" t="s">
        <v>2360</v>
      </c>
      <c r="F1573" s="31" t="s">
        <v>590</v>
      </c>
      <c r="G1573" s="31" t="s">
        <v>2361</v>
      </c>
      <c r="H1573" s="31" t="s">
        <v>590</v>
      </c>
      <c r="I1573" s="89" t="s">
        <v>2362</v>
      </c>
      <c r="J1573" s="31" t="s">
        <v>2363</v>
      </c>
      <c r="K1573" s="57" t="s">
        <v>591</v>
      </c>
      <c r="L1573" s="11" t="s">
        <v>914</v>
      </c>
      <c r="M1573" s="22">
        <v>1</v>
      </c>
      <c r="N1573" s="46">
        <f t="shared" si="36"/>
        <v>1138134</v>
      </c>
      <c r="O1573" s="49">
        <f>1035203+102931</f>
        <v>1138134</v>
      </c>
      <c r="P1573" s="5" t="s">
        <v>501</v>
      </c>
      <c r="Q1573" s="5" t="s">
        <v>766</v>
      </c>
      <c r="R1573" s="11" t="s">
        <v>925</v>
      </c>
      <c r="S1573" s="22">
        <v>30</v>
      </c>
    </row>
    <row r="1574" spans="1:19" s="32" customFormat="1" ht="70.5" customHeight="1">
      <c r="A1574" s="5">
        <v>1559</v>
      </c>
      <c r="B1574" s="15" t="s">
        <v>710</v>
      </c>
      <c r="C1574" s="31" t="s">
        <v>597</v>
      </c>
      <c r="D1574" s="31" t="s">
        <v>589</v>
      </c>
      <c r="E1574" s="31" t="s">
        <v>2360</v>
      </c>
      <c r="F1574" s="31" t="s">
        <v>590</v>
      </c>
      <c r="G1574" s="31" t="s">
        <v>2361</v>
      </c>
      <c r="H1574" s="31" t="s">
        <v>590</v>
      </c>
      <c r="I1574" s="89" t="s">
        <v>2362</v>
      </c>
      <c r="J1574" s="31" t="s">
        <v>2363</v>
      </c>
      <c r="K1574" s="57" t="s">
        <v>591</v>
      </c>
      <c r="L1574" s="11" t="s">
        <v>914</v>
      </c>
      <c r="M1574" s="22">
        <v>1</v>
      </c>
      <c r="N1574" s="46">
        <f t="shared" si="36"/>
        <v>1047793</v>
      </c>
      <c r="O1574" s="49">
        <f>1035203+12590</f>
        <v>1047793</v>
      </c>
      <c r="P1574" s="5" t="s">
        <v>501</v>
      </c>
      <c r="Q1574" s="5" t="s">
        <v>766</v>
      </c>
      <c r="R1574" s="11">
        <v>551000000</v>
      </c>
      <c r="S1574" s="22">
        <v>30</v>
      </c>
    </row>
    <row r="1575" spans="1:19" s="13" customFormat="1" ht="76.5">
      <c r="A1575" s="5">
        <v>1560</v>
      </c>
      <c r="B1575" s="15" t="s">
        <v>941</v>
      </c>
      <c r="C1575" s="5" t="s">
        <v>597</v>
      </c>
      <c r="D1575" s="31" t="s">
        <v>589</v>
      </c>
      <c r="E1575" s="31" t="s">
        <v>2360</v>
      </c>
      <c r="F1575" s="31" t="s">
        <v>590</v>
      </c>
      <c r="G1575" s="31" t="s">
        <v>2361</v>
      </c>
      <c r="H1575" s="31" t="s">
        <v>590</v>
      </c>
      <c r="I1575" s="89" t="s">
        <v>2362</v>
      </c>
      <c r="J1575" s="31" t="s">
        <v>2363</v>
      </c>
      <c r="K1575" s="57" t="s">
        <v>591</v>
      </c>
      <c r="L1575" s="11" t="s">
        <v>914</v>
      </c>
      <c r="M1575" s="22">
        <v>1</v>
      </c>
      <c r="N1575" s="46">
        <f t="shared" si="36"/>
        <v>1138134</v>
      </c>
      <c r="O1575" s="49">
        <f>1035203+102931</f>
        <v>1138134</v>
      </c>
      <c r="P1575" s="5" t="s">
        <v>501</v>
      </c>
      <c r="Q1575" s="5" t="s">
        <v>766</v>
      </c>
      <c r="R1575" s="11">
        <v>591000000</v>
      </c>
      <c r="S1575" s="22">
        <v>30</v>
      </c>
    </row>
    <row r="1576" spans="1:19" s="13" customFormat="1" ht="76.5">
      <c r="A1576" s="5">
        <v>1561</v>
      </c>
      <c r="B1576" s="15" t="s">
        <v>710</v>
      </c>
      <c r="C1576" s="31" t="s">
        <v>597</v>
      </c>
      <c r="D1576" s="31" t="s">
        <v>589</v>
      </c>
      <c r="E1576" s="31" t="s">
        <v>2360</v>
      </c>
      <c r="F1576" s="31" t="s">
        <v>590</v>
      </c>
      <c r="G1576" s="31" t="s">
        <v>2361</v>
      </c>
      <c r="H1576" s="31" t="s">
        <v>590</v>
      </c>
      <c r="I1576" s="89" t="s">
        <v>2362</v>
      </c>
      <c r="J1576" s="31" t="s">
        <v>2363</v>
      </c>
      <c r="K1576" s="57" t="s">
        <v>591</v>
      </c>
      <c r="L1576" s="11" t="s">
        <v>914</v>
      </c>
      <c r="M1576" s="22">
        <v>1</v>
      </c>
      <c r="N1576" s="46">
        <f t="shared" si="36"/>
        <v>1047793</v>
      </c>
      <c r="O1576" s="49">
        <f>1035203+12590</f>
        <v>1047793</v>
      </c>
      <c r="P1576" s="5" t="s">
        <v>501</v>
      </c>
      <c r="Q1576" s="5" t="s">
        <v>766</v>
      </c>
      <c r="R1576" s="11" t="s">
        <v>2029</v>
      </c>
      <c r="S1576" s="5">
        <v>30</v>
      </c>
    </row>
    <row r="1577" spans="1:19" s="1" customFormat="1" ht="51">
      <c r="A1577" s="5">
        <v>1562</v>
      </c>
      <c r="B1577" s="15" t="s">
        <v>710</v>
      </c>
      <c r="C1577" s="31" t="s">
        <v>597</v>
      </c>
      <c r="D1577" s="31" t="s">
        <v>864</v>
      </c>
      <c r="E1577" s="57" t="s">
        <v>528</v>
      </c>
      <c r="F1577" s="57" t="s">
        <v>529</v>
      </c>
      <c r="G1577" s="57" t="s">
        <v>530</v>
      </c>
      <c r="H1577" s="57" t="s">
        <v>865</v>
      </c>
      <c r="I1577" s="57" t="s">
        <v>1999</v>
      </c>
      <c r="J1577" s="57" t="s">
        <v>329</v>
      </c>
      <c r="K1577" s="57" t="s">
        <v>591</v>
      </c>
      <c r="L1577" s="11" t="s">
        <v>914</v>
      </c>
      <c r="M1577" s="22">
        <v>1</v>
      </c>
      <c r="N1577" s="46">
        <v>248214</v>
      </c>
      <c r="O1577" s="49">
        <f>M1577*N1577</f>
        <v>248214</v>
      </c>
      <c r="P1577" s="8" t="s">
        <v>612</v>
      </c>
      <c r="Q1577" s="40" t="s">
        <v>1491</v>
      </c>
      <c r="R1577" s="11" t="s">
        <v>1175</v>
      </c>
      <c r="S1577" s="8">
        <v>30</v>
      </c>
    </row>
    <row r="1578" spans="1:19" ht="178.5">
      <c r="A1578" s="5">
        <v>1563</v>
      </c>
      <c r="B1578" s="15" t="s">
        <v>710</v>
      </c>
      <c r="C1578" s="31" t="s">
        <v>597</v>
      </c>
      <c r="D1578" s="31" t="s">
        <v>942</v>
      </c>
      <c r="E1578" s="57" t="s">
        <v>1155</v>
      </c>
      <c r="F1578" s="57" t="s">
        <v>943</v>
      </c>
      <c r="G1578" s="57" t="s">
        <v>1969</v>
      </c>
      <c r="H1578" s="57" t="s">
        <v>944</v>
      </c>
      <c r="I1578" s="57" t="s">
        <v>2000</v>
      </c>
      <c r="J1578" s="57" t="s">
        <v>330</v>
      </c>
      <c r="K1578" s="57" t="s">
        <v>591</v>
      </c>
      <c r="L1578" s="11" t="s">
        <v>914</v>
      </c>
      <c r="M1578" s="22">
        <v>1</v>
      </c>
      <c r="N1578" s="46">
        <f>O1578/M1578</f>
        <v>2400000</v>
      </c>
      <c r="O1578" s="49">
        <f>2480040-80040</f>
        <v>2400000</v>
      </c>
      <c r="P1578" s="5" t="s">
        <v>515</v>
      </c>
      <c r="Q1578" s="5" t="s">
        <v>1299</v>
      </c>
      <c r="R1578" s="11" t="s">
        <v>1175</v>
      </c>
      <c r="S1578" s="5">
        <v>30</v>
      </c>
    </row>
    <row r="1579" spans="1:19" s="1" customFormat="1" ht="51">
      <c r="A1579" s="5">
        <v>1564</v>
      </c>
      <c r="B1579" s="15" t="s">
        <v>710</v>
      </c>
      <c r="C1579" s="31" t="s">
        <v>597</v>
      </c>
      <c r="D1579" s="31" t="s">
        <v>507</v>
      </c>
      <c r="E1579" s="57" t="s">
        <v>1945</v>
      </c>
      <c r="F1579" s="57" t="s">
        <v>509</v>
      </c>
      <c r="G1579" s="57" t="s">
        <v>2001</v>
      </c>
      <c r="H1579" s="57" t="s">
        <v>510</v>
      </c>
      <c r="I1579" s="57" t="s">
        <v>2002</v>
      </c>
      <c r="J1579" s="57" t="s">
        <v>88</v>
      </c>
      <c r="K1579" s="57" t="s">
        <v>591</v>
      </c>
      <c r="L1579" s="11" t="s">
        <v>914</v>
      </c>
      <c r="M1579" s="22">
        <v>1</v>
      </c>
      <c r="N1579" s="46">
        <f>O1579/M1579</f>
        <v>16151000</v>
      </c>
      <c r="O1579" s="49">
        <f>18585714-1974000-460714</f>
        <v>16151000</v>
      </c>
      <c r="P1579" s="4" t="s">
        <v>391</v>
      </c>
      <c r="Q1579" s="5" t="s">
        <v>939</v>
      </c>
      <c r="R1579" s="11" t="s">
        <v>1175</v>
      </c>
      <c r="S1579" s="5">
        <v>30</v>
      </c>
    </row>
    <row r="1580" spans="1:19" s="1" customFormat="1" ht="76.5">
      <c r="A1580" s="5">
        <v>1565</v>
      </c>
      <c r="B1580" s="15" t="s">
        <v>710</v>
      </c>
      <c r="C1580" s="31" t="s">
        <v>597</v>
      </c>
      <c r="D1580" s="31" t="s">
        <v>1300</v>
      </c>
      <c r="E1580" s="57" t="s">
        <v>1930</v>
      </c>
      <c r="F1580" s="57" t="s">
        <v>1301</v>
      </c>
      <c r="G1580" s="57" t="s">
        <v>1931</v>
      </c>
      <c r="H1580" s="57" t="s">
        <v>1302</v>
      </c>
      <c r="I1580" s="57" t="s">
        <v>2003</v>
      </c>
      <c r="J1580" s="57" t="s">
        <v>89</v>
      </c>
      <c r="K1580" s="57" t="s">
        <v>591</v>
      </c>
      <c r="L1580" s="11" t="s">
        <v>914</v>
      </c>
      <c r="M1580" s="22">
        <v>1</v>
      </c>
      <c r="N1580" s="46">
        <f>O1580/M1580</f>
        <v>9866515</v>
      </c>
      <c r="O1580" s="49">
        <f>11160714-3383128+2088929</f>
        <v>9866515</v>
      </c>
      <c r="P1580" s="4" t="s">
        <v>588</v>
      </c>
      <c r="Q1580" s="5" t="s">
        <v>586</v>
      </c>
      <c r="R1580" s="11" t="s">
        <v>1175</v>
      </c>
      <c r="S1580" s="5">
        <v>30</v>
      </c>
    </row>
    <row r="1581" spans="1:19" ht="38.25">
      <c r="A1581" s="5">
        <v>1566</v>
      </c>
      <c r="B1581" s="15" t="s">
        <v>710</v>
      </c>
      <c r="C1581" s="31" t="s">
        <v>597</v>
      </c>
      <c r="D1581" s="31" t="s">
        <v>1465</v>
      </c>
      <c r="E1581" s="57" t="s">
        <v>2005</v>
      </c>
      <c r="F1581" s="57" t="s">
        <v>1466</v>
      </c>
      <c r="G1581" s="57" t="s">
        <v>2005</v>
      </c>
      <c r="H1581" s="57" t="s">
        <v>1466</v>
      </c>
      <c r="I1581" s="57" t="s">
        <v>2004</v>
      </c>
      <c r="J1581" s="57" t="s">
        <v>1467</v>
      </c>
      <c r="K1581" s="57" t="s">
        <v>591</v>
      </c>
      <c r="L1581" s="11" t="s">
        <v>914</v>
      </c>
      <c r="M1581" s="22">
        <v>1</v>
      </c>
      <c r="N1581" s="46">
        <f>O1581/M1581</f>
        <v>0</v>
      </c>
      <c r="O1581" s="49">
        <f>4088929-2000000-2088929</f>
        <v>0</v>
      </c>
      <c r="P1581" s="5" t="s">
        <v>502</v>
      </c>
      <c r="Q1581" s="15" t="s">
        <v>1306</v>
      </c>
      <c r="R1581" s="11" t="s">
        <v>1175</v>
      </c>
      <c r="S1581" s="22">
        <v>30</v>
      </c>
    </row>
    <row r="1582" spans="1:19" s="1" customFormat="1" ht="63.75">
      <c r="A1582" s="5">
        <v>1567</v>
      </c>
      <c r="B1582" s="15" t="s">
        <v>710</v>
      </c>
      <c r="C1582" s="31" t="s">
        <v>597</v>
      </c>
      <c r="D1582" s="31" t="s">
        <v>1303</v>
      </c>
      <c r="E1582" s="57" t="s">
        <v>2006</v>
      </c>
      <c r="F1582" s="57" t="s">
        <v>1304</v>
      </c>
      <c r="G1582" s="57" t="s">
        <v>2007</v>
      </c>
      <c r="H1582" s="57" t="s">
        <v>1305</v>
      </c>
      <c r="I1582" s="57" t="s">
        <v>2008</v>
      </c>
      <c r="J1582" s="57" t="s">
        <v>122</v>
      </c>
      <c r="K1582" s="57" t="s">
        <v>591</v>
      </c>
      <c r="L1582" s="11" t="s">
        <v>914</v>
      </c>
      <c r="M1582" s="22">
        <v>1</v>
      </c>
      <c r="N1582" s="46">
        <v>251068</v>
      </c>
      <c r="O1582" s="49">
        <f>M1582*N1582</f>
        <v>251068</v>
      </c>
      <c r="P1582" s="4" t="s">
        <v>391</v>
      </c>
      <c r="Q1582" s="5" t="s">
        <v>939</v>
      </c>
      <c r="R1582" s="11" t="s">
        <v>1175</v>
      </c>
      <c r="S1582" s="5">
        <v>50</v>
      </c>
    </row>
    <row r="1583" spans="1:19" s="1" customFormat="1" ht="51">
      <c r="A1583" s="5">
        <v>1568</v>
      </c>
      <c r="B1583" s="15" t="s">
        <v>710</v>
      </c>
      <c r="C1583" s="31" t="s">
        <v>597</v>
      </c>
      <c r="D1583" s="31" t="s">
        <v>1307</v>
      </c>
      <c r="E1583" s="57" t="s">
        <v>2009</v>
      </c>
      <c r="F1583" s="57" t="s">
        <v>1308</v>
      </c>
      <c r="G1583" s="57" t="s">
        <v>2010</v>
      </c>
      <c r="H1583" s="57" t="s">
        <v>1309</v>
      </c>
      <c r="I1583" s="57" t="s">
        <v>1926</v>
      </c>
      <c r="J1583" s="57" t="s">
        <v>90</v>
      </c>
      <c r="K1583" s="57" t="s">
        <v>591</v>
      </c>
      <c r="L1583" s="11" t="s">
        <v>914</v>
      </c>
      <c r="M1583" s="22">
        <v>1</v>
      </c>
      <c r="N1583" s="46">
        <f>O1583/M1583</f>
        <v>650000</v>
      </c>
      <c r="O1583" s="49">
        <f>477679-27679+200000</f>
        <v>650000</v>
      </c>
      <c r="P1583" s="5" t="s">
        <v>1310</v>
      </c>
      <c r="Q1583" s="5" t="s">
        <v>766</v>
      </c>
      <c r="R1583" s="11" t="s">
        <v>1175</v>
      </c>
      <c r="S1583" s="126">
        <v>0</v>
      </c>
    </row>
    <row r="1584" spans="1:19" ht="76.5">
      <c r="A1584" s="5">
        <v>1569</v>
      </c>
      <c r="B1584" s="15" t="s">
        <v>710</v>
      </c>
      <c r="C1584" s="31" t="s">
        <v>597</v>
      </c>
      <c r="D1584" s="31" t="s">
        <v>1311</v>
      </c>
      <c r="E1584" s="57" t="s">
        <v>1982</v>
      </c>
      <c r="F1584" s="57" t="s">
        <v>1312</v>
      </c>
      <c r="G1584" s="57" t="s">
        <v>1983</v>
      </c>
      <c r="H1584" s="57" t="s">
        <v>1313</v>
      </c>
      <c r="I1584" s="57" t="s">
        <v>2011</v>
      </c>
      <c r="J1584" s="57" t="s">
        <v>91</v>
      </c>
      <c r="K1584" s="57" t="s">
        <v>591</v>
      </c>
      <c r="L1584" s="11" t="s">
        <v>914</v>
      </c>
      <c r="M1584" s="22">
        <v>1</v>
      </c>
      <c r="N1584" s="46">
        <f>O1584/M1584</f>
        <v>0</v>
      </c>
      <c r="O1584" s="49">
        <f>636648-636648</f>
        <v>0</v>
      </c>
      <c r="P1584" s="5" t="s">
        <v>506</v>
      </c>
      <c r="Q1584" s="5" t="s">
        <v>586</v>
      </c>
      <c r="R1584" s="11" t="s">
        <v>1175</v>
      </c>
      <c r="S1584" s="5">
        <v>30</v>
      </c>
    </row>
    <row r="1585" spans="1:19" ht="76.5">
      <c r="A1585" s="5">
        <v>1570</v>
      </c>
      <c r="B1585" s="15" t="s">
        <v>710</v>
      </c>
      <c r="C1585" s="31" t="s">
        <v>597</v>
      </c>
      <c r="D1585" s="31" t="s">
        <v>1300</v>
      </c>
      <c r="E1585" s="57" t="s">
        <v>1930</v>
      </c>
      <c r="F1585" s="57" t="s">
        <v>1301</v>
      </c>
      <c r="G1585" s="57" t="s">
        <v>1931</v>
      </c>
      <c r="H1585" s="57" t="s">
        <v>1302</v>
      </c>
      <c r="I1585" s="57" t="s">
        <v>2012</v>
      </c>
      <c r="J1585" s="57" t="s">
        <v>331</v>
      </c>
      <c r="K1585" s="57" t="s">
        <v>591</v>
      </c>
      <c r="L1585" s="11" t="s">
        <v>914</v>
      </c>
      <c r="M1585" s="22">
        <v>1</v>
      </c>
      <c r="N1585" s="46">
        <v>2920086</v>
      </c>
      <c r="O1585" s="49">
        <f>M1585*N1585</f>
        <v>2920086</v>
      </c>
      <c r="P1585" s="5" t="s">
        <v>506</v>
      </c>
      <c r="Q1585" s="5" t="s">
        <v>1314</v>
      </c>
      <c r="R1585" s="11" t="s">
        <v>1175</v>
      </c>
      <c r="S1585" s="5">
        <v>30</v>
      </c>
    </row>
    <row r="1586" spans="1:19" ht="51">
      <c r="A1586" s="5">
        <v>1571</v>
      </c>
      <c r="B1586" s="15" t="s">
        <v>710</v>
      </c>
      <c r="C1586" s="31" t="s">
        <v>597</v>
      </c>
      <c r="D1586" s="31" t="s">
        <v>1315</v>
      </c>
      <c r="E1586" s="57" t="s">
        <v>2013</v>
      </c>
      <c r="F1586" s="57" t="s">
        <v>1316</v>
      </c>
      <c r="G1586" s="57" t="s">
        <v>2013</v>
      </c>
      <c r="H1586" s="57" t="s">
        <v>1317</v>
      </c>
      <c r="I1586" s="57" t="s">
        <v>2014</v>
      </c>
      <c r="J1586" s="57" t="s">
        <v>332</v>
      </c>
      <c r="K1586" s="57" t="s">
        <v>591</v>
      </c>
      <c r="L1586" s="11" t="s">
        <v>914</v>
      </c>
      <c r="M1586" s="22">
        <v>1</v>
      </c>
      <c r="N1586" s="46">
        <f t="shared" ref="N1586:N1605" si="37">O1586/M1586</f>
        <v>0</v>
      </c>
      <c r="O1586" s="49">
        <f>2678571-2678571</f>
        <v>0</v>
      </c>
      <c r="P1586" s="5" t="s">
        <v>515</v>
      </c>
      <c r="Q1586" s="5" t="s">
        <v>1318</v>
      </c>
      <c r="R1586" s="11" t="s">
        <v>1175</v>
      </c>
      <c r="S1586" s="5">
        <v>30</v>
      </c>
    </row>
    <row r="1587" spans="1:19" ht="76.5">
      <c r="A1587" s="5">
        <v>1572</v>
      </c>
      <c r="B1587" s="15" t="s">
        <v>710</v>
      </c>
      <c r="C1587" s="31" t="s">
        <v>597</v>
      </c>
      <c r="D1587" s="31" t="s">
        <v>1300</v>
      </c>
      <c r="E1587" s="57" t="s">
        <v>1930</v>
      </c>
      <c r="F1587" s="57" t="s">
        <v>1301</v>
      </c>
      <c r="G1587" s="57" t="s">
        <v>1931</v>
      </c>
      <c r="H1587" s="57" t="s">
        <v>1302</v>
      </c>
      <c r="I1587" s="57" t="s">
        <v>2012</v>
      </c>
      <c r="J1587" s="57" t="s">
        <v>333</v>
      </c>
      <c r="K1587" s="57" t="s">
        <v>591</v>
      </c>
      <c r="L1587" s="11" t="s">
        <v>914</v>
      </c>
      <c r="M1587" s="22">
        <v>1</v>
      </c>
      <c r="N1587" s="46">
        <f t="shared" si="37"/>
        <v>0</v>
      </c>
      <c r="O1587" s="49">
        <f>2678571-2678571</f>
        <v>0</v>
      </c>
      <c r="P1587" s="5" t="s">
        <v>699</v>
      </c>
      <c r="Q1587" s="5" t="s">
        <v>1314</v>
      </c>
      <c r="R1587" s="11" t="s">
        <v>1175</v>
      </c>
      <c r="S1587" s="5">
        <v>30</v>
      </c>
    </row>
    <row r="1588" spans="1:19" ht="63.75">
      <c r="A1588" s="5">
        <v>1573</v>
      </c>
      <c r="B1588" s="15" t="s">
        <v>710</v>
      </c>
      <c r="C1588" s="31" t="s">
        <v>597</v>
      </c>
      <c r="D1588" s="31" t="s">
        <v>1303</v>
      </c>
      <c r="E1588" s="57" t="s">
        <v>2006</v>
      </c>
      <c r="F1588" s="57" t="s">
        <v>1304</v>
      </c>
      <c r="G1588" s="57" t="s">
        <v>2015</v>
      </c>
      <c r="H1588" s="57" t="s">
        <v>1305</v>
      </c>
      <c r="I1588" s="57" t="s">
        <v>2008</v>
      </c>
      <c r="J1588" s="57" t="s">
        <v>334</v>
      </c>
      <c r="K1588" s="57" t="s">
        <v>591</v>
      </c>
      <c r="L1588" s="11" t="s">
        <v>914</v>
      </c>
      <c r="M1588" s="22">
        <v>1</v>
      </c>
      <c r="N1588" s="46">
        <f t="shared" si="37"/>
        <v>0</v>
      </c>
      <c r="O1588" s="49">
        <f>178571-178571</f>
        <v>0</v>
      </c>
      <c r="P1588" s="5" t="s">
        <v>391</v>
      </c>
      <c r="Q1588" s="5" t="s">
        <v>939</v>
      </c>
      <c r="R1588" s="11" t="s">
        <v>1175</v>
      </c>
      <c r="S1588" s="5">
        <v>50</v>
      </c>
    </row>
    <row r="1589" spans="1:19" ht="89.25">
      <c r="A1589" s="5">
        <v>1574</v>
      </c>
      <c r="B1589" s="15" t="s">
        <v>710</v>
      </c>
      <c r="C1589" s="31" t="s">
        <v>597</v>
      </c>
      <c r="D1589" s="31" t="s">
        <v>524</v>
      </c>
      <c r="E1589" s="57" t="s">
        <v>2016</v>
      </c>
      <c r="F1589" s="57" t="s">
        <v>525</v>
      </c>
      <c r="G1589" s="57" t="s">
        <v>2017</v>
      </c>
      <c r="H1589" s="57" t="s">
        <v>526</v>
      </c>
      <c r="I1589" s="57" t="s">
        <v>2000</v>
      </c>
      <c r="J1589" s="57" t="s">
        <v>335</v>
      </c>
      <c r="K1589" s="57" t="s">
        <v>591</v>
      </c>
      <c r="L1589" s="11" t="s">
        <v>914</v>
      </c>
      <c r="M1589" s="22">
        <v>1</v>
      </c>
      <c r="N1589" s="46">
        <f t="shared" si="37"/>
        <v>0</v>
      </c>
      <c r="O1589" s="49">
        <f>1785714-1785714</f>
        <v>0</v>
      </c>
      <c r="P1589" s="5" t="s">
        <v>515</v>
      </c>
      <c r="Q1589" s="5" t="s">
        <v>1299</v>
      </c>
      <c r="R1589" s="11" t="s">
        <v>1175</v>
      </c>
      <c r="S1589" s="5">
        <v>30</v>
      </c>
    </row>
    <row r="1590" spans="1:19" s="13" customFormat="1" ht="63.75">
      <c r="A1590" s="5">
        <v>1575</v>
      </c>
      <c r="B1590" s="29" t="s">
        <v>710</v>
      </c>
      <c r="C1590" s="35" t="s">
        <v>597</v>
      </c>
      <c r="D1590" s="31" t="s">
        <v>589</v>
      </c>
      <c r="E1590" s="57" t="s">
        <v>2045</v>
      </c>
      <c r="F1590" s="57" t="s">
        <v>709</v>
      </c>
      <c r="G1590" s="57" t="s">
        <v>2045</v>
      </c>
      <c r="H1590" s="57" t="s">
        <v>590</v>
      </c>
      <c r="I1590" s="57" t="s">
        <v>2046</v>
      </c>
      <c r="J1590" s="57" t="s">
        <v>87</v>
      </c>
      <c r="K1590" s="57" t="s">
        <v>591</v>
      </c>
      <c r="L1590" s="11" t="s">
        <v>914</v>
      </c>
      <c r="M1590" s="22">
        <v>1</v>
      </c>
      <c r="N1590" s="46">
        <f t="shared" si="37"/>
        <v>2143008</v>
      </c>
      <c r="O1590" s="49">
        <f>2144588-1580</f>
        <v>2143008</v>
      </c>
      <c r="P1590" s="5" t="s">
        <v>391</v>
      </c>
      <c r="Q1590" s="5" t="s">
        <v>766</v>
      </c>
      <c r="R1590" s="11" t="s">
        <v>2030</v>
      </c>
      <c r="S1590" s="22">
        <v>30</v>
      </c>
    </row>
    <row r="1591" spans="1:19" s="13" customFormat="1" ht="63.75">
      <c r="A1591" s="5">
        <v>1576</v>
      </c>
      <c r="B1591" s="15" t="s">
        <v>710</v>
      </c>
      <c r="C1591" s="31" t="s">
        <v>597</v>
      </c>
      <c r="D1591" s="31" t="s">
        <v>589</v>
      </c>
      <c r="E1591" s="57" t="s">
        <v>2045</v>
      </c>
      <c r="F1591" s="57" t="s">
        <v>709</v>
      </c>
      <c r="G1591" s="57" t="s">
        <v>2045</v>
      </c>
      <c r="H1591" s="57" t="s">
        <v>590</v>
      </c>
      <c r="I1591" s="57" t="s">
        <v>2046</v>
      </c>
      <c r="J1591" s="57" t="s">
        <v>87</v>
      </c>
      <c r="K1591" s="57" t="s">
        <v>591</v>
      </c>
      <c r="L1591" s="11" t="s">
        <v>914</v>
      </c>
      <c r="M1591" s="22">
        <v>1</v>
      </c>
      <c r="N1591" s="46">
        <f t="shared" si="37"/>
        <v>2630400</v>
      </c>
      <c r="O1591" s="49">
        <f>2654613-24213</f>
        <v>2630400</v>
      </c>
      <c r="P1591" s="5" t="s">
        <v>391</v>
      </c>
      <c r="Q1591" s="5" t="s">
        <v>766</v>
      </c>
      <c r="R1591" s="11" t="s">
        <v>1021</v>
      </c>
      <c r="S1591" s="22">
        <v>30</v>
      </c>
    </row>
    <row r="1592" spans="1:19" s="13" customFormat="1" ht="63.75">
      <c r="A1592" s="5">
        <v>1577</v>
      </c>
      <c r="B1592" s="15" t="s">
        <v>710</v>
      </c>
      <c r="C1592" s="31" t="s">
        <v>597</v>
      </c>
      <c r="D1592" s="31" t="s">
        <v>589</v>
      </c>
      <c r="E1592" s="57" t="s">
        <v>2045</v>
      </c>
      <c r="F1592" s="57" t="s">
        <v>709</v>
      </c>
      <c r="G1592" s="57" t="s">
        <v>2045</v>
      </c>
      <c r="H1592" s="57" t="s">
        <v>590</v>
      </c>
      <c r="I1592" s="57" t="s">
        <v>2046</v>
      </c>
      <c r="J1592" s="57" t="s">
        <v>87</v>
      </c>
      <c r="K1592" s="57" t="s">
        <v>591</v>
      </c>
      <c r="L1592" s="11" t="s">
        <v>914</v>
      </c>
      <c r="M1592" s="22">
        <v>1</v>
      </c>
      <c r="N1592" s="46">
        <f t="shared" si="37"/>
        <v>4530770</v>
      </c>
      <c r="O1592" s="49">
        <f>4540074-9304</f>
        <v>4530770</v>
      </c>
      <c r="P1592" s="5" t="s">
        <v>391</v>
      </c>
      <c r="Q1592" s="5" t="s">
        <v>766</v>
      </c>
      <c r="R1592" s="11" t="s">
        <v>789</v>
      </c>
      <c r="S1592" s="22">
        <v>30</v>
      </c>
    </row>
    <row r="1593" spans="1:19" s="13" customFormat="1" ht="63.75">
      <c r="A1593" s="5">
        <v>1578</v>
      </c>
      <c r="B1593" s="15" t="s">
        <v>710</v>
      </c>
      <c r="C1593" s="31" t="s">
        <v>597</v>
      </c>
      <c r="D1593" s="31" t="s">
        <v>589</v>
      </c>
      <c r="E1593" s="57" t="s">
        <v>2045</v>
      </c>
      <c r="F1593" s="57" t="s">
        <v>709</v>
      </c>
      <c r="G1593" s="57" t="s">
        <v>2045</v>
      </c>
      <c r="H1593" s="57" t="s">
        <v>590</v>
      </c>
      <c r="I1593" s="57" t="s">
        <v>2046</v>
      </c>
      <c r="J1593" s="57" t="s">
        <v>87</v>
      </c>
      <c r="K1593" s="57" t="s">
        <v>591</v>
      </c>
      <c r="L1593" s="11" t="s">
        <v>914</v>
      </c>
      <c r="M1593" s="22">
        <v>1</v>
      </c>
      <c r="N1593" s="46">
        <f t="shared" si="37"/>
        <v>3500000</v>
      </c>
      <c r="O1593" s="49">
        <f>3753571-253571</f>
        <v>3500000</v>
      </c>
      <c r="P1593" s="5" t="s">
        <v>391</v>
      </c>
      <c r="Q1593" s="5" t="s">
        <v>766</v>
      </c>
      <c r="R1593" s="11" t="s">
        <v>2022</v>
      </c>
      <c r="S1593" s="22">
        <v>30</v>
      </c>
    </row>
    <row r="1594" spans="1:19" s="13" customFormat="1" ht="63.75">
      <c r="A1594" s="5">
        <v>1579</v>
      </c>
      <c r="B1594" s="15" t="s">
        <v>710</v>
      </c>
      <c r="C1594" s="31" t="s">
        <v>597</v>
      </c>
      <c r="D1594" s="31" t="s">
        <v>589</v>
      </c>
      <c r="E1594" s="57" t="s">
        <v>2045</v>
      </c>
      <c r="F1594" s="57" t="s">
        <v>709</v>
      </c>
      <c r="G1594" s="57" t="s">
        <v>2045</v>
      </c>
      <c r="H1594" s="57" t="s">
        <v>590</v>
      </c>
      <c r="I1594" s="57" t="s">
        <v>2046</v>
      </c>
      <c r="J1594" s="57" t="s">
        <v>87</v>
      </c>
      <c r="K1594" s="57" t="s">
        <v>591</v>
      </c>
      <c r="L1594" s="11" t="s">
        <v>914</v>
      </c>
      <c r="M1594" s="22">
        <v>1</v>
      </c>
      <c r="N1594" s="46">
        <f t="shared" si="37"/>
        <v>3513060</v>
      </c>
      <c r="O1594" s="49">
        <f>4038286-525226</f>
        <v>3513060</v>
      </c>
      <c r="P1594" s="5" t="s">
        <v>391</v>
      </c>
      <c r="Q1594" s="5" t="s">
        <v>766</v>
      </c>
      <c r="R1594" s="11" t="s">
        <v>2027</v>
      </c>
      <c r="S1594" s="22">
        <v>30</v>
      </c>
    </row>
    <row r="1595" spans="1:19" s="13" customFormat="1" ht="63.75">
      <c r="A1595" s="5">
        <v>1580</v>
      </c>
      <c r="B1595" s="15" t="s">
        <v>710</v>
      </c>
      <c r="C1595" s="31" t="s">
        <v>597</v>
      </c>
      <c r="D1595" s="31" t="s">
        <v>589</v>
      </c>
      <c r="E1595" s="57" t="s">
        <v>2045</v>
      </c>
      <c r="F1595" s="57" t="s">
        <v>709</v>
      </c>
      <c r="G1595" s="57" t="s">
        <v>2045</v>
      </c>
      <c r="H1595" s="57" t="s">
        <v>590</v>
      </c>
      <c r="I1595" s="57" t="s">
        <v>2046</v>
      </c>
      <c r="J1595" s="57" t="s">
        <v>87</v>
      </c>
      <c r="K1595" s="57" t="s">
        <v>591</v>
      </c>
      <c r="L1595" s="11" t="s">
        <v>914</v>
      </c>
      <c r="M1595" s="22">
        <v>1</v>
      </c>
      <c r="N1595" s="46">
        <f t="shared" si="37"/>
        <v>1761690</v>
      </c>
      <c r="O1595" s="49">
        <f>1761690</f>
        <v>1761690</v>
      </c>
      <c r="P1595" s="5" t="s">
        <v>391</v>
      </c>
      <c r="Q1595" s="5" t="s">
        <v>766</v>
      </c>
      <c r="R1595" s="11" t="s">
        <v>2023</v>
      </c>
      <c r="S1595" s="22">
        <v>30</v>
      </c>
    </row>
    <row r="1596" spans="1:19" ht="63.75">
      <c r="A1596" s="5">
        <v>1581</v>
      </c>
      <c r="B1596" s="15" t="s">
        <v>710</v>
      </c>
      <c r="C1596" s="31" t="s">
        <v>597</v>
      </c>
      <c r="D1596" s="31" t="s">
        <v>589</v>
      </c>
      <c r="E1596" s="57" t="s">
        <v>2045</v>
      </c>
      <c r="F1596" s="57" t="s">
        <v>709</v>
      </c>
      <c r="G1596" s="57" t="s">
        <v>2045</v>
      </c>
      <c r="H1596" s="57" t="s">
        <v>590</v>
      </c>
      <c r="I1596" s="57" t="s">
        <v>2046</v>
      </c>
      <c r="J1596" s="57" t="s">
        <v>87</v>
      </c>
      <c r="K1596" s="57" t="s">
        <v>591</v>
      </c>
      <c r="L1596" s="11" t="s">
        <v>914</v>
      </c>
      <c r="M1596" s="22">
        <v>1</v>
      </c>
      <c r="N1596" s="46">
        <f t="shared" si="37"/>
        <v>3147321</v>
      </c>
      <c r="O1596" s="49">
        <f>3150911-3590</f>
        <v>3147321</v>
      </c>
      <c r="P1596" s="5" t="s">
        <v>391</v>
      </c>
      <c r="Q1596" s="5" t="s">
        <v>766</v>
      </c>
      <c r="R1596" s="11" t="s">
        <v>633</v>
      </c>
      <c r="S1596" s="22">
        <v>30</v>
      </c>
    </row>
    <row r="1597" spans="1:19" s="34" customFormat="1" ht="63.75">
      <c r="A1597" s="5">
        <v>1582</v>
      </c>
      <c r="B1597" s="15" t="s">
        <v>710</v>
      </c>
      <c r="C1597" s="31" t="s">
        <v>597</v>
      </c>
      <c r="D1597" s="31" t="s">
        <v>589</v>
      </c>
      <c r="E1597" s="57" t="s">
        <v>2045</v>
      </c>
      <c r="F1597" s="57" t="s">
        <v>709</v>
      </c>
      <c r="G1597" s="57" t="s">
        <v>2045</v>
      </c>
      <c r="H1597" s="57" t="s">
        <v>590</v>
      </c>
      <c r="I1597" s="57" t="s">
        <v>2046</v>
      </c>
      <c r="J1597" s="57" t="s">
        <v>87</v>
      </c>
      <c r="K1597" s="57" t="s">
        <v>591</v>
      </c>
      <c r="L1597" s="11" t="s">
        <v>914</v>
      </c>
      <c r="M1597" s="22">
        <v>1</v>
      </c>
      <c r="N1597" s="46">
        <f t="shared" si="37"/>
        <v>2035132</v>
      </c>
      <c r="O1597" s="49">
        <v>2035132</v>
      </c>
      <c r="P1597" s="5" t="s">
        <v>391</v>
      </c>
      <c r="Q1597" s="5" t="s">
        <v>766</v>
      </c>
      <c r="R1597" s="11">
        <v>311000000</v>
      </c>
      <c r="S1597" s="22">
        <v>30</v>
      </c>
    </row>
    <row r="1598" spans="1:19" s="36" customFormat="1" ht="63.75">
      <c r="A1598" s="5">
        <v>1583</v>
      </c>
      <c r="B1598" s="15" t="s">
        <v>710</v>
      </c>
      <c r="C1598" s="31" t="s">
        <v>597</v>
      </c>
      <c r="D1598" s="31" t="s">
        <v>589</v>
      </c>
      <c r="E1598" s="57" t="s">
        <v>2045</v>
      </c>
      <c r="F1598" s="57" t="s">
        <v>709</v>
      </c>
      <c r="G1598" s="57" t="s">
        <v>2045</v>
      </c>
      <c r="H1598" s="57" t="s">
        <v>590</v>
      </c>
      <c r="I1598" s="57" t="s">
        <v>2046</v>
      </c>
      <c r="J1598" s="57" t="s">
        <v>87</v>
      </c>
      <c r="K1598" s="57" t="s">
        <v>591</v>
      </c>
      <c r="L1598" s="11" t="s">
        <v>914</v>
      </c>
      <c r="M1598" s="22">
        <v>1</v>
      </c>
      <c r="N1598" s="46">
        <f t="shared" si="37"/>
        <v>2189864</v>
      </c>
      <c r="O1598" s="49">
        <v>2189864</v>
      </c>
      <c r="P1598" s="5" t="s">
        <v>391</v>
      </c>
      <c r="Q1598" s="5" t="s">
        <v>766</v>
      </c>
      <c r="R1598" s="11" t="s">
        <v>2024</v>
      </c>
      <c r="S1598" s="22">
        <v>30</v>
      </c>
    </row>
    <row r="1599" spans="1:19" s="13" customFormat="1" ht="63.75">
      <c r="A1599" s="5">
        <v>1584</v>
      </c>
      <c r="B1599" s="15" t="s">
        <v>710</v>
      </c>
      <c r="C1599" s="31" t="s">
        <v>597</v>
      </c>
      <c r="D1599" s="31" t="s">
        <v>589</v>
      </c>
      <c r="E1599" s="57" t="s">
        <v>2045</v>
      </c>
      <c r="F1599" s="57" t="s">
        <v>709</v>
      </c>
      <c r="G1599" s="57" t="s">
        <v>2045</v>
      </c>
      <c r="H1599" s="57" t="s">
        <v>590</v>
      </c>
      <c r="I1599" s="57" t="s">
        <v>2046</v>
      </c>
      <c r="J1599" s="57" t="s">
        <v>87</v>
      </c>
      <c r="K1599" s="57" t="s">
        <v>591</v>
      </c>
      <c r="L1599" s="11" t="s">
        <v>914</v>
      </c>
      <c r="M1599" s="22">
        <v>1</v>
      </c>
      <c r="N1599" s="46">
        <f t="shared" si="37"/>
        <v>3333000</v>
      </c>
      <c r="O1599" s="49">
        <f>3335714-2714</f>
        <v>3333000</v>
      </c>
      <c r="P1599" s="5" t="s">
        <v>391</v>
      </c>
      <c r="Q1599" s="5" t="s">
        <v>766</v>
      </c>
      <c r="R1599" s="11">
        <v>351000000</v>
      </c>
      <c r="S1599" s="22">
        <v>30</v>
      </c>
    </row>
    <row r="1600" spans="1:19" ht="63.75">
      <c r="A1600" s="5">
        <v>1585</v>
      </c>
      <c r="B1600" s="15" t="s">
        <v>710</v>
      </c>
      <c r="C1600" s="31" t="s">
        <v>597</v>
      </c>
      <c r="D1600" s="31" t="s">
        <v>589</v>
      </c>
      <c r="E1600" s="57" t="s">
        <v>2045</v>
      </c>
      <c r="F1600" s="57" t="s">
        <v>709</v>
      </c>
      <c r="G1600" s="57" t="s">
        <v>2045</v>
      </c>
      <c r="H1600" s="57" t="s">
        <v>590</v>
      </c>
      <c r="I1600" s="57" t="s">
        <v>2046</v>
      </c>
      <c r="J1600" s="57" t="s">
        <v>87</v>
      </c>
      <c r="K1600" s="57" t="s">
        <v>591</v>
      </c>
      <c r="L1600" s="11" t="s">
        <v>914</v>
      </c>
      <c r="M1600" s="22">
        <v>1</v>
      </c>
      <c r="N1600" s="46">
        <f t="shared" si="37"/>
        <v>1911951</v>
      </c>
      <c r="O1600" s="49">
        <v>1911951</v>
      </c>
      <c r="P1600" s="5" t="s">
        <v>391</v>
      </c>
      <c r="Q1600" s="5" t="s">
        <v>766</v>
      </c>
      <c r="R1600" s="11" t="s">
        <v>925</v>
      </c>
      <c r="S1600" s="22">
        <v>30</v>
      </c>
    </row>
    <row r="1601" spans="1:19" s="13" customFormat="1" ht="63.75">
      <c r="A1601" s="5">
        <v>1586</v>
      </c>
      <c r="B1601" s="15" t="s">
        <v>710</v>
      </c>
      <c r="C1601" s="31" t="s">
        <v>597</v>
      </c>
      <c r="D1601" s="31" t="s">
        <v>589</v>
      </c>
      <c r="E1601" s="57" t="s">
        <v>2045</v>
      </c>
      <c r="F1601" s="57" t="s">
        <v>709</v>
      </c>
      <c r="G1601" s="57" t="s">
        <v>2045</v>
      </c>
      <c r="H1601" s="57" t="s">
        <v>590</v>
      </c>
      <c r="I1601" s="57" t="s">
        <v>2046</v>
      </c>
      <c r="J1601" s="57" t="s">
        <v>87</v>
      </c>
      <c r="K1601" s="57" t="s">
        <v>591</v>
      </c>
      <c r="L1601" s="11" t="s">
        <v>914</v>
      </c>
      <c r="M1601" s="22">
        <v>1</v>
      </c>
      <c r="N1601" s="46">
        <f t="shared" si="37"/>
        <v>1602104</v>
      </c>
      <c r="O1601" s="49">
        <v>1602104</v>
      </c>
      <c r="P1601" s="5" t="s">
        <v>391</v>
      </c>
      <c r="Q1601" s="5" t="s">
        <v>766</v>
      </c>
      <c r="R1601" s="11">
        <v>431000000</v>
      </c>
      <c r="S1601" s="22">
        <v>30</v>
      </c>
    </row>
    <row r="1602" spans="1:19" s="13" customFormat="1" ht="63.75">
      <c r="A1602" s="5">
        <v>1587</v>
      </c>
      <c r="B1602" s="29" t="s">
        <v>710</v>
      </c>
      <c r="C1602" s="5" t="s">
        <v>597</v>
      </c>
      <c r="D1602" s="31" t="s">
        <v>589</v>
      </c>
      <c r="E1602" s="57" t="s">
        <v>2045</v>
      </c>
      <c r="F1602" s="57" t="s">
        <v>709</v>
      </c>
      <c r="G1602" s="57" t="s">
        <v>2045</v>
      </c>
      <c r="H1602" s="57" t="s">
        <v>590</v>
      </c>
      <c r="I1602" s="57" t="s">
        <v>2046</v>
      </c>
      <c r="J1602" s="57" t="s">
        <v>87</v>
      </c>
      <c r="K1602" s="57" t="s">
        <v>591</v>
      </c>
      <c r="L1602" s="11" t="s">
        <v>914</v>
      </c>
      <c r="M1602" s="52">
        <v>1</v>
      </c>
      <c r="N1602" s="46">
        <f t="shared" si="37"/>
        <v>2310480</v>
      </c>
      <c r="O1602" s="49">
        <v>2310480</v>
      </c>
      <c r="P1602" s="5" t="s">
        <v>391</v>
      </c>
      <c r="Q1602" s="5" t="s">
        <v>766</v>
      </c>
      <c r="R1602" s="11" t="s">
        <v>715</v>
      </c>
      <c r="S1602" s="22">
        <v>30</v>
      </c>
    </row>
    <row r="1603" spans="1:19" s="32" customFormat="1" ht="63.75">
      <c r="A1603" s="5">
        <v>1588</v>
      </c>
      <c r="B1603" s="15" t="s">
        <v>710</v>
      </c>
      <c r="C1603" s="31" t="s">
        <v>597</v>
      </c>
      <c r="D1603" s="31" t="s">
        <v>589</v>
      </c>
      <c r="E1603" s="57" t="s">
        <v>2045</v>
      </c>
      <c r="F1603" s="57" t="s">
        <v>709</v>
      </c>
      <c r="G1603" s="57" t="s">
        <v>2045</v>
      </c>
      <c r="H1603" s="57" t="s">
        <v>590</v>
      </c>
      <c r="I1603" s="57" t="s">
        <v>2046</v>
      </c>
      <c r="J1603" s="57" t="s">
        <v>87</v>
      </c>
      <c r="K1603" s="57" t="s">
        <v>591</v>
      </c>
      <c r="L1603" s="11" t="s">
        <v>914</v>
      </c>
      <c r="M1603" s="22">
        <v>1</v>
      </c>
      <c r="N1603" s="46">
        <f t="shared" si="37"/>
        <v>2179267</v>
      </c>
      <c r="O1603" s="49">
        <v>2179267</v>
      </c>
      <c r="P1603" s="5" t="s">
        <v>391</v>
      </c>
      <c r="Q1603" s="5" t="s">
        <v>766</v>
      </c>
      <c r="R1603" s="11">
        <v>551000000</v>
      </c>
      <c r="S1603" s="22">
        <v>30</v>
      </c>
    </row>
    <row r="1604" spans="1:19" s="13" customFormat="1" ht="63.75">
      <c r="A1604" s="5">
        <v>1589</v>
      </c>
      <c r="B1604" s="15" t="s">
        <v>941</v>
      </c>
      <c r="C1604" s="5" t="s">
        <v>597</v>
      </c>
      <c r="D1604" s="31" t="s">
        <v>589</v>
      </c>
      <c r="E1604" s="57" t="s">
        <v>2045</v>
      </c>
      <c r="F1604" s="57" t="s">
        <v>709</v>
      </c>
      <c r="G1604" s="57" t="s">
        <v>2045</v>
      </c>
      <c r="H1604" s="57" t="s">
        <v>590</v>
      </c>
      <c r="I1604" s="57" t="s">
        <v>2046</v>
      </c>
      <c r="J1604" s="57" t="s">
        <v>87</v>
      </c>
      <c r="K1604" s="57" t="s">
        <v>591</v>
      </c>
      <c r="L1604" s="11" t="s">
        <v>914</v>
      </c>
      <c r="M1604" s="22">
        <v>1</v>
      </c>
      <c r="N1604" s="46">
        <f t="shared" si="37"/>
        <v>1455200</v>
      </c>
      <c r="O1604" s="49">
        <f>1595227-140027</f>
        <v>1455200</v>
      </c>
      <c r="P1604" s="5" t="s">
        <v>391</v>
      </c>
      <c r="Q1604" s="5" t="s">
        <v>766</v>
      </c>
      <c r="R1604" s="11">
        <v>591000000</v>
      </c>
      <c r="S1604" s="22">
        <v>30</v>
      </c>
    </row>
    <row r="1605" spans="1:19" s="13" customFormat="1" ht="63.75">
      <c r="A1605" s="5">
        <v>1590</v>
      </c>
      <c r="B1605" s="15" t="s">
        <v>710</v>
      </c>
      <c r="C1605" s="31" t="s">
        <v>597</v>
      </c>
      <c r="D1605" s="31" t="s">
        <v>589</v>
      </c>
      <c r="E1605" s="57" t="s">
        <v>2045</v>
      </c>
      <c r="F1605" s="57" t="s">
        <v>709</v>
      </c>
      <c r="G1605" s="57" t="s">
        <v>2045</v>
      </c>
      <c r="H1605" s="57" t="s">
        <v>590</v>
      </c>
      <c r="I1605" s="57" t="s">
        <v>2046</v>
      </c>
      <c r="J1605" s="57" t="s">
        <v>87</v>
      </c>
      <c r="K1605" s="57" t="s">
        <v>591</v>
      </c>
      <c r="L1605" s="11" t="s">
        <v>914</v>
      </c>
      <c r="M1605" s="22">
        <v>1</v>
      </c>
      <c r="N1605" s="46">
        <f t="shared" si="37"/>
        <v>3982380</v>
      </c>
      <c r="O1605" s="49">
        <f>4153346-170966</f>
        <v>3982380</v>
      </c>
      <c r="P1605" s="5" t="s">
        <v>391</v>
      </c>
      <c r="Q1605" s="5" t="s">
        <v>766</v>
      </c>
      <c r="R1605" s="11" t="s">
        <v>2029</v>
      </c>
      <c r="S1605" s="22">
        <v>30</v>
      </c>
    </row>
    <row r="1606" spans="1:19" s="13" customFormat="1" ht="63.75">
      <c r="A1606" s="5">
        <v>1591</v>
      </c>
      <c r="B1606" s="29" t="s">
        <v>710</v>
      </c>
      <c r="C1606" s="35" t="s">
        <v>597</v>
      </c>
      <c r="D1606" s="31" t="s">
        <v>613</v>
      </c>
      <c r="E1606" s="57" t="s">
        <v>2019</v>
      </c>
      <c r="F1606" s="57" t="s">
        <v>614</v>
      </c>
      <c r="G1606" s="57" t="s">
        <v>2315</v>
      </c>
      <c r="H1606" s="57" t="s">
        <v>615</v>
      </c>
      <c r="I1606" s="57" t="s">
        <v>2316</v>
      </c>
      <c r="J1606" s="57" t="s">
        <v>336</v>
      </c>
      <c r="K1606" s="57" t="s">
        <v>591</v>
      </c>
      <c r="L1606" s="11" t="s">
        <v>914</v>
      </c>
      <c r="M1606" s="22">
        <v>1</v>
      </c>
      <c r="N1606" s="46">
        <f>O1606/M1606</f>
        <v>748530</v>
      </c>
      <c r="O1606" s="49">
        <f>760714-12184</f>
        <v>748530</v>
      </c>
      <c r="P1606" s="5" t="s">
        <v>391</v>
      </c>
      <c r="Q1606" s="5" t="s">
        <v>766</v>
      </c>
      <c r="R1606" s="11" t="s">
        <v>2030</v>
      </c>
      <c r="S1606" s="22">
        <v>30</v>
      </c>
    </row>
    <row r="1607" spans="1:19" s="13" customFormat="1" ht="63.75">
      <c r="A1607" s="5">
        <v>1592</v>
      </c>
      <c r="B1607" s="29" t="s">
        <v>710</v>
      </c>
      <c r="C1607" s="35" t="s">
        <v>597</v>
      </c>
      <c r="D1607" s="31" t="s">
        <v>613</v>
      </c>
      <c r="E1607" s="57" t="s">
        <v>2019</v>
      </c>
      <c r="F1607" s="57" t="s">
        <v>614</v>
      </c>
      <c r="G1607" s="57" t="s">
        <v>2315</v>
      </c>
      <c r="H1607" s="57" t="s">
        <v>615</v>
      </c>
      <c r="I1607" s="57" t="s">
        <v>2316</v>
      </c>
      <c r="J1607" s="57" t="s">
        <v>336</v>
      </c>
      <c r="K1607" s="57" t="s">
        <v>591</v>
      </c>
      <c r="L1607" s="11" t="s">
        <v>914</v>
      </c>
      <c r="M1607" s="22">
        <v>1</v>
      </c>
      <c r="N1607" s="46">
        <f t="shared" ref="N1607:N1618" si="38">O1607/M1607</f>
        <v>740400</v>
      </c>
      <c r="O1607" s="49">
        <f>760714-20314</f>
        <v>740400</v>
      </c>
      <c r="P1607" s="5" t="s">
        <v>391</v>
      </c>
      <c r="Q1607" s="5" t="s">
        <v>766</v>
      </c>
      <c r="R1607" s="11" t="s">
        <v>1021</v>
      </c>
      <c r="S1607" s="22">
        <v>30</v>
      </c>
    </row>
    <row r="1608" spans="1:19" s="13" customFormat="1" ht="63.75">
      <c r="A1608" s="5">
        <v>1593</v>
      </c>
      <c r="B1608" s="29" t="s">
        <v>710</v>
      </c>
      <c r="C1608" s="35" t="s">
        <v>597</v>
      </c>
      <c r="D1608" s="31" t="s">
        <v>613</v>
      </c>
      <c r="E1608" s="57" t="s">
        <v>2019</v>
      </c>
      <c r="F1608" s="57" t="s">
        <v>614</v>
      </c>
      <c r="G1608" s="57" t="s">
        <v>2315</v>
      </c>
      <c r="H1608" s="57" t="s">
        <v>615</v>
      </c>
      <c r="I1608" s="57" t="s">
        <v>2316</v>
      </c>
      <c r="J1608" s="57" t="s">
        <v>336</v>
      </c>
      <c r="K1608" s="57" t="s">
        <v>591</v>
      </c>
      <c r="L1608" s="11" t="s">
        <v>914</v>
      </c>
      <c r="M1608" s="22">
        <v>1</v>
      </c>
      <c r="N1608" s="46">
        <f t="shared" si="38"/>
        <v>1130000</v>
      </c>
      <c r="O1608" s="49">
        <f>1150000-20000</f>
        <v>1130000</v>
      </c>
      <c r="P1608" s="5" t="s">
        <v>391</v>
      </c>
      <c r="Q1608" s="5" t="s">
        <v>766</v>
      </c>
      <c r="R1608" s="11" t="s">
        <v>789</v>
      </c>
      <c r="S1608" s="22">
        <v>30</v>
      </c>
    </row>
    <row r="1609" spans="1:19" s="13" customFormat="1" ht="63.75">
      <c r="A1609" s="5">
        <v>1594</v>
      </c>
      <c r="B1609" s="29" t="s">
        <v>710</v>
      </c>
      <c r="C1609" s="35" t="s">
        <v>597</v>
      </c>
      <c r="D1609" s="31" t="s">
        <v>613</v>
      </c>
      <c r="E1609" s="57" t="s">
        <v>2019</v>
      </c>
      <c r="F1609" s="57" t="s">
        <v>614</v>
      </c>
      <c r="G1609" s="57" t="s">
        <v>2315</v>
      </c>
      <c r="H1609" s="57" t="s">
        <v>615</v>
      </c>
      <c r="I1609" s="57" t="s">
        <v>2316</v>
      </c>
      <c r="J1609" s="57" t="s">
        <v>336</v>
      </c>
      <c r="K1609" s="57" t="s">
        <v>591</v>
      </c>
      <c r="L1609" s="11" t="s">
        <v>914</v>
      </c>
      <c r="M1609" s="22">
        <v>1</v>
      </c>
      <c r="N1609" s="46">
        <f t="shared" si="38"/>
        <v>610714</v>
      </c>
      <c r="O1609" s="49">
        <v>610714</v>
      </c>
      <c r="P1609" s="5" t="s">
        <v>391</v>
      </c>
      <c r="Q1609" s="5" t="s">
        <v>766</v>
      </c>
      <c r="R1609" s="11" t="s">
        <v>2023</v>
      </c>
      <c r="S1609" s="22">
        <v>30</v>
      </c>
    </row>
    <row r="1610" spans="1:19" ht="63.75">
      <c r="A1610" s="5">
        <v>1595</v>
      </c>
      <c r="B1610" s="29" t="s">
        <v>710</v>
      </c>
      <c r="C1610" s="35" t="s">
        <v>597</v>
      </c>
      <c r="D1610" s="31" t="s">
        <v>613</v>
      </c>
      <c r="E1610" s="57" t="s">
        <v>2019</v>
      </c>
      <c r="F1610" s="57" t="s">
        <v>614</v>
      </c>
      <c r="G1610" s="57" t="s">
        <v>2315</v>
      </c>
      <c r="H1610" s="57" t="s">
        <v>615</v>
      </c>
      <c r="I1610" s="57" t="s">
        <v>2316</v>
      </c>
      <c r="J1610" s="57" t="s">
        <v>336</v>
      </c>
      <c r="K1610" s="57" t="s">
        <v>591</v>
      </c>
      <c r="L1610" s="11" t="s">
        <v>914</v>
      </c>
      <c r="M1610" s="22">
        <v>1</v>
      </c>
      <c r="N1610" s="46">
        <f t="shared" si="38"/>
        <v>1100000</v>
      </c>
      <c r="O1610" s="49">
        <f>1150000-50000</f>
        <v>1100000</v>
      </c>
      <c r="P1610" s="5" t="s">
        <v>391</v>
      </c>
      <c r="Q1610" s="5" t="s">
        <v>766</v>
      </c>
      <c r="R1610" s="11" t="s">
        <v>633</v>
      </c>
      <c r="S1610" s="22">
        <v>30</v>
      </c>
    </row>
    <row r="1611" spans="1:19" s="34" customFormat="1" ht="63.75">
      <c r="A1611" s="5">
        <v>1596</v>
      </c>
      <c r="B1611" s="29" t="s">
        <v>710</v>
      </c>
      <c r="C1611" s="35" t="s">
        <v>597</v>
      </c>
      <c r="D1611" s="31" t="s">
        <v>613</v>
      </c>
      <c r="E1611" s="57" t="s">
        <v>2019</v>
      </c>
      <c r="F1611" s="57" t="s">
        <v>614</v>
      </c>
      <c r="G1611" s="57" t="s">
        <v>2315</v>
      </c>
      <c r="H1611" s="57" t="s">
        <v>615</v>
      </c>
      <c r="I1611" s="57" t="s">
        <v>2316</v>
      </c>
      <c r="J1611" s="57" t="s">
        <v>336</v>
      </c>
      <c r="K1611" s="57" t="s">
        <v>591</v>
      </c>
      <c r="L1611" s="11" t="s">
        <v>914</v>
      </c>
      <c r="M1611" s="22">
        <v>1</v>
      </c>
      <c r="N1611" s="46">
        <f t="shared" si="38"/>
        <v>560714</v>
      </c>
      <c r="O1611" s="49">
        <v>560714</v>
      </c>
      <c r="P1611" s="5" t="s">
        <v>391</v>
      </c>
      <c r="Q1611" s="5" t="s">
        <v>766</v>
      </c>
      <c r="R1611" s="11">
        <v>311000000</v>
      </c>
      <c r="S1611" s="22">
        <v>30</v>
      </c>
    </row>
    <row r="1612" spans="1:19" s="13" customFormat="1" ht="63.75">
      <c r="A1612" s="5">
        <v>1597</v>
      </c>
      <c r="B1612" s="29" t="s">
        <v>710</v>
      </c>
      <c r="C1612" s="35" t="s">
        <v>597</v>
      </c>
      <c r="D1612" s="31" t="s">
        <v>613</v>
      </c>
      <c r="E1612" s="57" t="s">
        <v>2019</v>
      </c>
      <c r="F1612" s="57" t="s">
        <v>614</v>
      </c>
      <c r="G1612" s="57" t="s">
        <v>2315</v>
      </c>
      <c r="H1612" s="57" t="s">
        <v>615</v>
      </c>
      <c r="I1612" s="57" t="s">
        <v>2316</v>
      </c>
      <c r="J1612" s="57" t="s">
        <v>336</v>
      </c>
      <c r="K1612" s="57" t="s">
        <v>591</v>
      </c>
      <c r="L1612" s="11" t="s">
        <v>914</v>
      </c>
      <c r="M1612" s="22">
        <v>1</v>
      </c>
      <c r="N1612" s="46">
        <f t="shared" si="38"/>
        <v>614286</v>
      </c>
      <c r="O1612" s="49">
        <v>614286</v>
      </c>
      <c r="P1612" s="5" t="s">
        <v>391</v>
      </c>
      <c r="Q1612" s="5" t="s">
        <v>766</v>
      </c>
      <c r="R1612" s="11" t="s">
        <v>2024</v>
      </c>
      <c r="S1612" s="22">
        <v>30</v>
      </c>
    </row>
    <row r="1613" spans="1:19" s="13" customFormat="1" ht="63.75">
      <c r="A1613" s="5">
        <v>1598</v>
      </c>
      <c r="B1613" s="29" t="s">
        <v>710</v>
      </c>
      <c r="C1613" s="35" t="s">
        <v>597</v>
      </c>
      <c r="D1613" s="31" t="s">
        <v>613</v>
      </c>
      <c r="E1613" s="57" t="s">
        <v>2019</v>
      </c>
      <c r="F1613" s="57" t="s">
        <v>614</v>
      </c>
      <c r="G1613" s="57" t="s">
        <v>2315</v>
      </c>
      <c r="H1613" s="57" t="s">
        <v>615</v>
      </c>
      <c r="I1613" s="57" t="s">
        <v>2316</v>
      </c>
      <c r="J1613" s="57" t="s">
        <v>336</v>
      </c>
      <c r="K1613" s="57" t="s">
        <v>591</v>
      </c>
      <c r="L1613" s="11" t="s">
        <v>914</v>
      </c>
      <c r="M1613" s="22">
        <v>1</v>
      </c>
      <c r="N1613" s="46">
        <f t="shared" si="38"/>
        <v>1224000</v>
      </c>
      <c r="O1613" s="49">
        <f>1250000-26000</f>
        <v>1224000</v>
      </c>
      <c r="P1613" s="5" t="s">
        <v>391</v>
      </c>
      <c r="Q1613" s="5" t="s">
        <v>766</v>
      </c>
      <c r="R1613" s="11">
        <v>351000000</v>
      </c>
      <c r="S1613" s="22">
        <v>30</v>
      </c>
    </row>
    <row r="1614" spans="1:19" ht="63.75">
      <c r="A1614" s="5">
        <v>1599</v>
      </c>
      <c r="B1614" s="29" t="s">
        <v>710</v>
      </c>
      <c r="C1614" s="35" t="s">
        <v>597</v>
      </c>
      <c r="D1614" s="31" t="s">
        <v>613</v>
      </c>
      <c r="E1614" s="57" t="s">
        <v>2019</v>
      </c>
      <c r="F1614" s="57" t="s">
        <v>614</v>
      </c>
      <c r="G1614" s="57" t="s">
        <v>2315</v>
      </c>
      <c r="H1614" s="57" t="s">
        <v>615</v>
      </c>
      <c r="I1614" s="57" t="s">
        <v>2316</v>
      </c>
      <c r="J1614" s="57" t="s">
        <v>336</v>
      </c>
      <c r="K1614" s="57" t="s">
        <v>591</v>
      </c>
      <c r="L1614" s="11" t="s">
        <v>914</v>
      </c>
      <c r="M1614" s="22">
        <v>1</v>
      </c>
      <c r="N1614" s="46">
        <f t="shared" si="38"/>
        <v>650000</v>
      </c>
      <c r="O1614" s="49">
        <v>650000</v>
      </c>
      <c r="P1614" s="5" t="s">
        <v>391</v>
      </c>
      <c r="Q1614" s="5" t="s">
        <v>766</v>
      </c>
      <c r="R1614" s="11" t="s">
        <v>925</v>
      </c>
      <c r="S1614" s="22">
        <v>30</v>
      </c>
    </row>
    <row r="1615" spans="1:19" s="13" customFormat="1" ht="63.75">
      <c r="A1615" s="5">
        <v>1600</v>
      </c>
      <c r="B1615" s="29" t="s">
        <v>710</v>
      </c>
      <c r="C1615" s="35" t="s">
        <v>597</v>
      </c>
      <c r="D1615" s="31" t="s">
        <v>613</v>
      </c>
      <c r="E1615" s="57" t="s">
        <v>2019</v>
      </c>
      <c r="F1615" s="57" t="s">
        <v>614</v>
      </c>
      <c r="G1615" s="57" t="s">
        <v>2315</v>
      </c>
      <c r="H1615" s="57" t="s">
        <v>615</v>
      </c>
      <c r="I1615" s="57" t="s">
        <v>2316</v>
      </c>
      <c r="J1615" s="57" t="s">
        <v>336</v>
      </c>
      <c r="K1615" s="57" t="s">
        <v>591</v>
      </c>
      <c r="L1615" s="11" t="s">
        <v>914</v>
      </c>
      <c r="M1615" s="22">
        <v>1</v>
      </c>
      <c r="N1615" s="46">
        <f t="shared" si="38"/>
        <v>650000</v>
      </c>
      <c r="O1615" s="49">
        <v>650000</v>
      </c>
      <c r="P1615" s="5" t="s">
        <v>391</v>
      </c>
      <c r="Q1615" s="5" t="s">
        <v>766</v>
      </c>
      <c r="R1615" s="11" t="s">
        <v>2507</v>
      </c>
      <c r="S1615" s="22">
        <v>30</v>
      </c>
    </row>
    <row r="1616" spans="1:19" s="32" customFormat="1" ht="63.75">
      <c r="A1616" s="5">
        <v>1601</v>
      </c>
      <c r="B1616" s="29" t="s">
        <v>710</v>
      </c>
      <c r="C1616" s="35" t="s">
        <v>597</v>
      </c>
      <c r="D1616" s="31" t="s">
        <v>613</v>
      </c>
      <c r="E1616" s="57" t="s">
        <v>2019</v>
      </c>
      <c r="F1616" s="57" t="s">
        <v>614</v>
      </c>
      <c r="G1616" s="57" t="s">
        <v>2315</v>
      </c>
      <c r="H1616" s="57" t="s">
        <v>615</v>
      </c>
      <c r="I1616" s="57" t="s">
        <v>2316</v>
      </c>
      <c r="J1616" s="57" t="s">
        <v>336</v>
      </c>
      <c r="K1616" s="57" t="s">
        <v>591</v>
      </c>
      <c r="L1616" s="11" t="s">
        <v>914</v>
      </c>
      <c r="M1616" s="22">
        <v>1</v>
      </c>
      <c r="N1616" s="46">
        <f t="shared" si="38"/>
        <v>850000</v>
      </c>
      <c r="O1616" s="49">
        <v>850000</v>
      </c>
      <c r="P1616" s="5" t="s">
        <v>391</v>
      </c>
      <c r="Q1616" s="5" t="s">
        <v>766</v>
      </c>
      <c r="R1616" s="11">
        <v>551000000</v>
      </c>
      <c r="S1616" s="22">
        <v>30</v>
      </c>
    </row>
    <row r="1617" spans="1:19" s="13" customFormat="1" ht="63.75">
      <c r="A1617" s="5">
        <v>1602</v>
      </c>
      <c r="B1617" s="29" t="s">
        <v>710</v>
      </c>
      <c r="C1617" s="35" t="s">
        <v>597</v>
      </c>
      <c r="D1617" s="31" t="s">
        <v>613</v>
      </c>
      <c r="E1617" s="57" t="s">
        <v>2019</v>
      </c>
      <c r="F1617" s="57" t="s">
        <v>614</v>
      </c>
      <c r="G1617" s="57" t="s">
        <v>2315</v>
      </c>
      <c r="H1617" s="57" t="s">
        <v>615</v>
      </c>
      <c r="I1617" s="57" t="s">
        <v>2316</v>
      </c>
      <c r="J1617" s="57" t="s">
        <v>336</v>
      </c>
      <c r="K1617" s="57" t="s">
        <v>591</v>
      </c>
      <c r="L1617" s="11" t="s">
        <v>914</v>
      </c>
      <c r="M1617" s="22">
        <v>1</v>
      </c>
      <c r="N1617" s="46">
        <f t="shared" si="38"/>
        <v>700000</v>
      </c>
      <c r="O1617" s="49">
        <v>700000</v>
      </c>
      <c r="P1617" s="5" t="s">
        <v>612</v>
      </c>
      <c r="Q1617" s="5" t="s">
        <v>766</v>
      </c>
      <c r="R1617" s="11">
        <v>591000000</v>
      </c>
      <c r="S1617" s="22">
        <v>30</v>
      </c>
    </row>
    <row r="1618" spans="1:19" s="13" customFormat="1" ht="63.75">
      <c r="A1618" s="5">
        <v>1603</v>
      </c>
      <c r="B1618" s="29" t="s">
        <v>710</v>
      </c>
      <c r="C1618" s="35" t="s">
        <v>597</v>
      </c>
      <c r="D1618" s="31" t="s">
        <v>613</v>
      </c>
      <c r="E1618" s="57" t="s">
        <v>2019</v>
      </c>
      <c r="F1618" s="57" t="s">
        <v>614</v>
      </c>
      <c r="G1618" s="57" t="s">
        <v>2315</v>
      </c>
      <c r="H1618" s="57" t="s">
        <v>615</v>
      </c>
      <c r="I1618" s="57" t="s">
        <v>2316</v>
      </c>
      <c r="J1618" s="57" t="s">
        <v>336</v>
      </c>
      <c r="K1618" s="57" t="s">
        <v>591</v>
      </c>
      <c r="L1618" s="11" t="s">
        <v>914</v>
      </c>
      <c r="M1618" s="22">
        <v>1</v>
      </c>
      <c r="N1618" s="46">
        <f t="shared" si="38"/>
        <v>394216</v>
      </c>
      <c r="O1618" s="49">
        <f>1450000-1055784</f>
        <v>394216</v>
      </c>
      <c r="P1618" s="5" t="s">
        <v>391</v>
      </c>
      <c r="Q1618" s="5" t="s">
        <v>766</v>
      </c>
      <c r="R1618" s="11" t="s">
        <v>2029</v>
      </c>
      <c r="S1618" s="22">
        <v>30</v>
      </c>
    </row>
    <row r="1619" spans="1:19" s="13" customFormat="1" ht="51">
      <c r="A1619" s="5">
        <v>1604</v>
      </c>
      <c r="B1619" s="29" t="s">
        <v>710</v>
      </c>
      <c r="C1619" s="35" t="s">
        <v>597</v>
      </c>
      <c r="D1619" s="31" t="s">
        <v>592</v>
      </c>
      <c r="E1619" s="57" t="s">
        <v>2042</v>
      </c>
      <c r="F1619" s="57" t="s">
        <v>594</v>
      </c>
      <c r="G1619" s="57" t="s">
        <v>2043</v>
      </c>
      <c r="H1619" s="57" t="s">
        <v>2044</v>
      </c>
      <c r="I1619" s="57" t="s">
        <v>2043</v>
      </c>
      <c r="J1619" s="57" t="s">
        <v>118</v>
      </c>
      <c r="K1619" s="57" t="s">
        <v>591</v>
      </c>
      <c r="L1619" s="11" t="s">
        <v>914</v>
      </c>
      <c r="M1619" s="22">
        <v>1</v>
      </c>
      <c r="N1619" s="46">
        <v>411671</v>
      </c>
      <c r="O1619" s="49">
        <f t="shared" ref="O1619:O1626" si="39">M1619*N1619</f>
        <v>411671</v>
      </c>
      <c r="P1619" s="5" t="s">
        <v>391</v>
      </c>
      <c r="Q1619" s="5" t="s">
        <v>766</v>
      </c>
      <c r="R1619" s="11" t="s">
        <v>2030</v>
      </c>
      <c r="S1619" s="22">
        <v>100</v>
      </c>
    </row>
    <row r="1620" spans="1:19" s="13" customFormat="1" ht="51">
      <c r="A1620" s="5">
        <v>1605</v>
      </c>
      <c r="B1620" s="15" t="s">
        <v>710</v>
      </c>
      <c r="C1620" s="31" t="s">
        <v>597</v>
      </c>
      <c r="D1620" s="31" t="s">
        <v>592</v>
      </c>
      <c r="E1620" s="57" t="s">
        <v>2042</v>
      </c>
      <c r="F1620" s="57" t="s">
        <v>594</v>
      </c>
      <c r="G1620" s="57" t="s">
        <v>2043</v>
      </c>
      <c r="H1620" s="57" t="s">
        <v>2044</v>
      </c>
      <c r="I1620" s="57" t="s">
        <v>2043</v>
      </c>
      <c r="J1620" s="57" t="s">
        <v>118</v>
      </c>
      <c r="K1620" s="57" t="s">
        <v>591</v>
      </c>
      <c r="L1620" s="11" t="s">
        <v>914</v>
      </c>
      <c r="M1620" s="22">
        <v>1</v>
      </c>
      <c r="N1620" s="46">
        <v>434586</v>
      </c>
      <c r="O1620" s="49">
        <f t="shared" si="39"/>
        <v>434586</v>
      </c>
      <c r="P1620" s="5" t="s">
        <v>391</v>
      </c>
      <c r="Q1620" s="5" t="s">
        <v>766</v>
      </c>
      <c r="R1620" s="11" t="s">
        <v>1021</v>
      </c>
      <c r="S1620" s="22">
        <v>100</v>
      </c>
    </row>
    <row r="1621" spans="1:19" s="13" customFormat="1" ht="51">
      <c r="A1621" s="5">
        <v>1606</v>
      </c>
      <c r="B1621" s="15" t="s">
        <v>710</v>
      </c>
      <c r="C1621" s="31" t="s">
        <v>597</v>
      </c>
      <c r="D1621" s="31" t="s">
        <v>592</v>
      </c>
      <c r="E1621" s="57" t="s">
        <v>2042</v>
      </c>
      <c r="F1621" s="57" t="s">
        <v>594</v>
      </c>
      <c r="G1621" s="57" t="s">
        <v>2043</v>
      </c>
      <c r="H1621" s="57" t="s">
        <v>2044</v>
      </c>
      <c r="I1621" s="57" t="s">
        <v>2043</v>
      </c>
      <c r="J1621" s="57" t="s">
        <v>118</v>
      </c>
      <c r="K1621" s="57" t="s">
        <v>591</v>
      </c>
      <c r="L1621" s="11" t="s">
        <v>914</v>
      </c>
      <c r="M1621" s="22">
        <v>1</v>
      </c>
      <c r="N1621" s="46">
        <v>997857</v>
      </c>
      <c r="O1621" s="49">
        <f t="shared" si="39"/>
        <v>997857</v>
      </c>
      <c r="P1621" s="5" t="s">
        <v>391</v>
      </c>
      <c r="Q1621" s="5" t="s">
        <v>766</v>
      </c>
      <c r="R1621" s="11" t="s">
        <v>789</v>
      </c>
      <c r="S1621" s="22">
        <v>100</v>
      </c>
    </row>
    <row r="1622" spans="1:19" s="13" customFormat="1" ht="51">
      <c r="A1622" s="5">
        <v>1607</v>
      </c>
      <c r="B1622" s="15" t="s">
        <v>710</v>
      </c>
      <c r="C1622" s="31" t="s">
        <v>597</v>
      </c>
      <c r="D1622" s="31" t="s">
        <v>592</v>
      </c>
      <c r="E1622" s="57" t="s">
        <v>2042</v>
      </c>
      <c r="F1622" s="57" t="s">
        <v>594</v>
      </c>
      <c r="G1622" s="57" t="s">
        <v>2043</v>
      </c>
      <c r="H1622" s="57" t="s">
        <v>2044</v>
      </c>
      <c r="I1622" s="57" t="s">
        <v>2043</v>
      </c>
      <c r="J1622" s="57" t="s">
        <v>118</v>
      </c>
      <c r="K1622" s="57" t="s">
        <v>591</v>
      </c>
      <c r="L1622" s="11" t="s">
        <v>914</v>
      </c>
      <c r="M1622" s="22">
        <v>1</v>
      </c>
      <c r="N1622" s="46">
        <v>566531</v>
      </c>
      <c r="O1622" s="49">
        <f t="shared" si="39"/>
        <v>566531</v>
      </c>
      <c r="P1622" s="5" t="s">
        <v>391</v>
      </c>
      <c r="Q1622" s="5" t="s">
        <v>766</v>
      </c>
      <c r="R1622" s="11" t="s">
        <v>2022</v>
      </c>
      <c r="S1622" s="22">
        <v>100</v>
      </c>
    </row>
    <row r="1623" spans="1:19" s="13" customFormat="1" ht="51">
      <c r="A1623" s="5">
        <v>1608</v>
      </c>
      <c r="B1623" s="15" t="s">
        <v>710</v>
      </c>
      <c r="C1623" s="31" t="s">
        <v>597</v>
      </c>
      <c r="D1623" s="31" t="s">
        <v>592</v>
      </c>
      <c r="E1623" s="57" t="s">
        <v>2042</v>
      </c>
      <c r="F1623" s="57" t="s">
        <v>594</v>
      </c>
      <c r="G1623" s="57" t="s">
        <v>2043</v>
      </c>
      <c r="H1623" s="57" t="s">
        <v>2044</v>
      </c>
      <c r="I1623" s="57" t="s">
        <v>2043</v>
      </c>
      <c r="J1623" s="57" t="s">
        <v>118</v>
      </c>
      <c r="K1623" s="57" t="s">
        <v>591</v>
      </c>
      <c r="L1623" s="11" t="s">
        <v>914</v>
      </c>
      <c r="M1623" s="22">
        <v>1</v>
      </c>
      <c r="N1623" s="46">
        <v>540571</v>
      </c>
      <c r="O1623" s="49">
        <f t="shared" si="39"/>
        <v>540571</v>
      </c>
      <c r="P1623" s="5" t="s">
        <v>391</v>
      </c>
      <c r="Q1623" s="5" t="s">
        <v>766</v>
      </c>
      <c r="R1623" s="11" t="s">
        <v>2027</v>
      </c>
      <c r="S1623" s="22">
        <v>100</v>
      </c>
    </row>
    <row r="1624" spans="1:19" s="13" customFormat="1" ht="51">
      <c r="A1624" s="5">
        <v>1609</v>
      </c>
      <c r="B1624" s="15" t="s">
        <v>710</v>
      </c>
      <c r="C1624" s="31" t="s">
        <v>597</v>
      </c>
      <c r="D1624" s="31" t="s">
        <v>592</v>
      </c>
      <c r="E1624" s="57" t="s">
        <v>2042</v>
      </c>
      <c r="F1624" s="57" t="s">
        <v>594</v>
      </c>
      <c r="G1624" s="57" t="s">
        <v>2043</v>
      </c>
      <c r="H1624" s="57" t="s">
        <v>2044</v>
      </c>
      <c r="I1624" s="57" t="s">
        <v>2043</v>
      </c>
      <c r="J1624" s="57" t="s">
        <v>118</v>
      </c>
      <c r="K1624" s="57" t="s">
        <v>591</v>
      </c>
      <c r="L1624" s="11" t="s">
        <v>914</v>
      </c>
      <c r="M1624" s="22">
        <v>1</v>
      </c>
      <c r="N1624" s="46">
        <v>309286</v>
      </c>
      <c r="O1624" s="49">
        <f t="shared" si="39"/>
        <v>309286</v>
      </c>
      <c r="P1624" s="5" t="s">
        <v>391</v>
      </c>
      <c r="Q1624" s="5" t="s">
        <v>766</v>
      </c>
      <c r="R1624" s="11" t="s">
        <v>2023</v>
      </c>
      <c r="S1624" s="22">
        <v>100</v>
      </c>
    </row>
    <row r="1625" spans="1:19" ht="51">
      <c r="A1625" s="5">
        <v>1610</v>
      </c>
      <c r="B1625" s="15" t="s">
        <v>710</v>
      </c>
      <c r="C1625" s="31" t="s">
        <v>597</v>
      </c>
      <c r="D1625" s="31" t="s">
        <v>592</v>
      </c>
      <c r="E1625" s="57" t="s">
        <v>2042</v>
      </c>
      <c r="F1625" s="57" t="s">
        <v>594</v>
      </c>
      <c r="G1625" s="57" t="s">
        <v>2043</v>
      </c>
      <c r="H1625" s="57" t="s">
        <v>2044</v>
      </c>
      <c r="I1625" s="57" t="s">
        <v>2043</v>
      </c>
      <c r="J1625" s="57" t="s">
        <v>118</v>
      </c>
      <c r="K1625" s="57" t="s">
        <v>591</v>
      </c>
      <c r="L1625" s="11" t="s">
        <v>914</v>
      </c>
      <c r="M1625" s="22">
        <v>1</v>
      </c>
      <c r="N1625" s="46">
        <v>587724</v>
      </c>
      <c r="O1625" s="49">
        <f t="shared" si="39"/>
        <v>587724</v>
      </c>
      <c r="P1625" s="5" t="s">
        <v>391</v>
      </c>
      <c r="Q1625" s="5" t="s">
        <v>766</v>
      </c>
      <c r="R1625" s="11" t="s">
        <v>633</v>
      </c>
      <c r="S1625" s="22">
        <v>100</v>
      </c>
    </row>
    <row r="1626" spans="1:19" s="34" customFormat="1" ht="51">
      <c r="A1626" s="5">
        <v>1611</v>
      </c>
      <c r="B1626" s="15" t="s">
        <v>710</v>
      </c>
      <c r="C1626" s="31" t="s">
        <v>597</v>
      </c>
      <c r="D1626" s="31" t="s">
        <v>592</v>
      </c>
      <c r="E1626" s="57" t="s">
        <v>2042</v>
      </c>
      <c r="F1626" s="57" t="s">
        <v>594</v>
      </c>
      <c r="G1626" s="57" t="s">
        <v>2043</v>
      </c>
      <c r="H1626" s="57" t="s">
        <v>2044</v>
      </c>
      <c r="I1626" s="57" t="s">
        <v>2043</v>
      </c>
      <c r="J1626" s="57" t="s">
        <v>118</v>
      </c>
      <c r="K1626" s="57" t="s">
        <v>591</v>
      </c>
      <c r="L1626" s="11" t="s">
        <v>914</v>
      </c>
      <c r="M1626" s="22">
        <v>1</v>
      </c>
      <c r="N1626" s="46">
        <v>327536</v>
      </c>
      <c r="O1626" s="49">
        <f t="shared" si="39"/>
        <v>327536</v>
      </c>
      <c r="P1626" s="5" t="s">
        <v>391</v>
      </c>
      <c r="Q1626" s="5" t="s">
        <v>766</v>
      </c>
      <c r="R1626" s="11">
        <v>311000000</v>
      </c>
      <c r="S1626" s="22">
        <v>100</v>
      </c>
    </row>
    <row r="1627" spans="1:19" s="36" customFormat="1" ht="51">
      <c r="A1627" s="5">
        <v>1612</v>
      </c>
      <c r="B1627" s="15" t="s">
        <v>710</v>
      </c>
      <c r="C1627" s="31" t="s">
        <v>597</v>
      </c>
      <c r="D1627" s="31" t="s">
        <v>592</v>
      </c>
      <c r="E1627" s="57" t="s">
        <v>2042</v>
      </c>
      <c r="F1627" s="57" t="s">
        <v>594</v>
      </c>
      <c r="G1627" s="57" t="s">
        <v>2043</v>
      </c>
      <c r="H1627" s="57" t="s">
        <v>2044</v>
      </c>
      <c r="I1627" s="57" t="s">
        <v>2043</v>
      </c>
      <c r="J1627" s="57" t="s">
        <v>118</v>
      </c>
      <c r="K1627" s="57" t="s">
        <v>591</v>
      </c>
      <c r="L1627" s="11" t="s">
        <v>914</v>
      </c>
      <c r="M1627" s="22">
        <v>1</v>
      </c>
      <c r="N1627" s="46">
        <f>O1627/M1627</f>
        <v>428952</v>
      </c>
      <c r="O1627" s="49">
        <v>428952</v>
      </c>
      <c r="P1627" s="5" t="s">
        <v>391</v>
      </c>
      <c r="Q1627" s="5" t="s">
        <v>766</v>
      </c>
      <c r="R1627" s="11" t="s">
        <v>2024</v>
      </c>
      <c r="S1627" s="22">
        <v>100</v>
      </c>
    </row>
    <row r="1628" spans="1:19" s="13" customFormat="1" ht="51">
      <c r="A1628" s="5">
        <v>1613</v>
      </c>
      <c r="B1628" s="15" t="s">
        <v>710</v>
      </c>
      <c r="C1628" s="31" t="s">
        <v>597</v>
      </c>
      <c r="D1628" s="31" t="s">
        <v>592</v>
      </c>
      <c r="E1628" s="57" t="s">
        <v>2042</v>
      </c>
      <c r="F1628" s="57" t="s">
        <v>594</v>
      </c>
      <c r="G1628" s="57" t="s">
        <v>2043</v>
      </c>
      <c r="H1628" s="57" t="s">
        <v>2044</v>
      </c>
      <c r="I1628" s="57" t="s">
        <v>2043</v>
      </c>
      <c r="J1628" s="57" t="s">
        <v>118</v>
      </c>
      <c r="K1628" s="57" t="s">
        <v>591</v>
      </c>
      <c r="L1628" s="11" t="s">
        <v>914</v>
      </c>
      <c r="M1628" s="22">
        <v>1</v>
      </c>
      <c r="N1628" s="46">
        <f>O1628/M1628</f>
        <v>1150386</v>
      </c>
      <c r="O1628" s="49">
        <v>1150386</v>
      </c>
      <c r="P1628" s="5" t="s">
        <v>391</v>
      </c>
      <c r="Q1628" s="5" t="s">
        <v>766</v>
      </c>
      <c r="R1628" s="11">
        <v>351000000</v>
      </c>
      <c r="S1628" s="22">
        <v>100</v>
      </c>
    </row>
    <row r="1629" spans="1:19" ht="51">
      <c r="A1629" s="5">
        <v>1614</v>
      </c>
      <c r="B1629" s="15" t="s">
        <v>710</v>
      </c>
      <c r="C1629" s="31" t="s">
        <v>597</v>
      </c>
      <c r="D1629" s="31" t="s">
        <v>592</v>
      </c>
      <c r="E1629" s="57" t="s">
        <v>2042</v>
      </c>
      <c r="F1629" s="57" t="s">
        <v>594</v>
      </c>
      <c r="G1629" s="57" t="s">
        <v>2043</v>
      </c>
      <c r="H1629" s="57" t="s">
        <v>2044</v>
      </c>
      <c r="I1629" s="57" t="s">
        <v>2043</v>
      </c>
      <c r="J1629" s="57" t="s">
        <v>118</v>
      </c>
      <c r="K1629" s="57" t="s">
        <v>591</v>
      </c>
      <c r="L1629" s="11" t="s">
        <v>914</v>
      </c>
      <c r="M1629" s="22">
        <v>1</v>
      </c>
      <c r="N1629" s="46">
        <f>O1629/M1629</f>
        <v>408036</v>
      </c>
      <c r="O1629" s="49">
        <v>408036</v>
      </c>
      <c r="P1629" s="5" t="s">
        <v>391</v>
      </c>
      <c r="Q1629" s="5" t="s">
        <v>766</v>
      </c>
      <c r="R1629" s="11" t="s">
        <v>925</v>
      </c>
      <c r="S1629" s="22">
        <v>100</v>
      </c>
    </row>
    <row r="1630" spans="1:19" s="13" customFormat="1" ht="51">
      <c r="A1630" s="5">
        <v>1615</v>
      </c>
      <c r="B1630" s="15" t="s">
        <v>710</v>
      </c>
      <c r="C1630" s="31" t="s">
        <v>597</v>
      </c>
      <c r="D1630" s="31" t="s">
        <v>592</v>
      </c>
      <c r="E1630" s="57" t="s">
        <v>2042</v>
      </c>
      <c r="F1630" s="57" t="s">
        <v>594</v>
      </c>
      <c r="G1630" s="57" t="s">
        <v>2043</v>
      </c>
      <c r="H1630" s="57" t="s">
        <v>2044</v>
      </c>
      <c r="I1630" s="57" t="s">
        <v>2043</v>
      </c>
      <c r="J1630" s="57" t="s">
        <v>118</v>
      </c>
      <c r="K1630" s="57" t="s">
        <v>591</v>
      </c>
      <c r="L1630" s="11" t="s">
        <v>914</v>
      </c>
      <c r="M1630" s="22">
        <v>1</v>
      </c>
      <c r="N1630" s="46">
        <f>O1630/M1630</f>
        <v>429786</v>
      </c>
      <c r="O1630" s="49">
        <v>429786</v>
      </c>
      <c r="P1630" s="5" t="s">
        <v>391</v>
      </c>
      <c r="Q1630" s="5" t="s">
        <v>766</v>
      </c>
      <c r="R1630" s="11">
        <v>431000000</v>
      </c>
      <c r="S1630" s="22">
        <v>100</v>
      </c>
    </row>
    <row r="1631" spans="1:19" ht="51">
      <c r="A1631" s="5">
        <v>1616</v>
      </c>
      <c r="B1631" s="29" t="s">
        <v>710</v>
      </c>
      <c r="C1631" s="42" t="s">
        <v>597</v>
      </c>
      <c r="D1631" s="31" t="s">
        <v>592</v>
      </c>
      <c r="E1631" s="57" t="s">
        <v>2042</v>
      </c>
      <c r="F1631" s="57" t="s">
        <v>594</v>
      </c>
      <c r="G1631" s="57" t="s">
        <v>2043</v>
      </c>
      <c r="H1631" s="57" t="s">
        <v>2044</v>
      </c>
      <c r="I1631" s="57" t="s">
        <v>2043</v>
      </c>
      <c r="J1631" s="57" t="s">
        <v>118</v>
      </c>
      <c r="K1631" s="57" t="s">
        <v>591</v>
      </c>
      <c r="L1631" s="11" t="s">
        <v>914</v>
      </c>
      <c r="M1631" s="22">
        <v>1</v>
      </c>
      <c r="N1631" s="46">
        <v>389286</v>
      </c>
      <c r="O1631" s="49">
        <f>M1631*N1631</f>
        <v>389286</v>
      </c>
      <c r="P1631" s="5" t="s">
        <v>391</v>
      </c>
      <c r="Q1631" s="5" t="s">
        <v>766</v>
      </c>
      <c r="R1631" s="11" t="s">
        <v>715</v>
      </c>
      <c r="S1631" s="22">
        <v>100</v>
      </c>
    </row>
    <row r="1632" spans="1:19" s="32" customFormat="1" ht="57.75" customHeight="1">
      <c r="A1632" s="5">
        <v>1617</v>
      </c>
      <c r="B1632" s="15" t="s">
        <v>710</v>
      </c>
      <c r="C1632" s="31" t="s">
        <v>597</v>
      </c>
      <c r="D1632" s="31" t="s">
        <v>592</v>
      </c>
      <c r="E1632" s="57" t="s">
        <v>2042</v>
      </c>
      <c r="F1632" s="57" t="s">
        <v>594</v>
      </c>
      <c r="G1632" s="57" t="s">
        <v>2043</v>
      </c>
      <c r="H1632" s="57" t="s">
        <v>2044</v>
      </c>
      <c r="I1632" s="57" t="s">
        <v>2043</v>
      </c>
      <c r="J1632" s="57" t="s">
        <v>118</v>
      </c>
      <c r="K1632" s="57" t="s">
        <v>591</v>
      </c>
      <c r="L1632" s="11" t="s">
        <v>914</v>
      </c>
      <c r="M1632" s="22">
        <v>1</v>
      </c>
      <c r="N1632" s="46">
        <f t="shared" ref="N1632:N1650" si="40">O1632/M1632</f>
        <v>449286</v>
      </c>
      <c r="O1632" s="49">
        <v>449286</v>
      </c>
      <c r="P1632" s="5" t="s">
        <v>391</v>
      </c>
      <c r="Q1632" s="5" t="s">
        <v>766</v>
      </c>
      <c r="R1632" s="11">
        <v>551000000</v>
      </c>
      <c r="S1632" s="22">
        <v>100</v>
      </c>
    </row>
    <row r="1633" spans="1:19" s="13" customFormat="1" ht="51">
      <c r="A1633" s="5">
        <v>1618</v>
      </c>
      <c r="B1633" s="15" t="s">
        <v>941</v>
      </c>
      <c r="C1633" s="5" t="s">
        <v>597</v>
      </c>
      <c r="D1633" s="31" t="s">
        <v>592</v>
      </c>
      <c r="E1633" s="57" t="s">
        <v>2042</v>
      </c>
      <c r="F1633" s="57" t="s">
        <v>594</v>
      </c>
      <c r="G1633" s="57" t="s">
        <v>2043</v>
      </c>
      <c r="H1633" s="57" t="s">
        <v>2044</v>
      </c>
      <c r="I1633" s="57" t="s">
        <v>2043</v>
      </c>
      <c r="J1633" s="57" t="s">
        <v>118</v>
      </c>
      <c r="K1633" s="57" t="s">
        <v>591</v>
      </c>
      <c r="L1633" s="11" t="s">
        <v>914</v>
      </c>
      <c r="M1633" s="22">
        <v>1</v>
      </c>
      <c r="N1633" s="46">
        <f t="shared" si="40"/>
        <v>379822</v>
      </c>
      <c r="O1633" s="49">
        <v>379822</v>
      </c>
      <c r="P1633" s="5" t="s">
        <v>391</v>
      </c>
      <c r="Q1633" s="5" t="s">
        <v>766</v>
      </c>
      <c r="R1633" s="11">
        <v>591000000</v>
      </c>
      <c r="S1633" s="22">
        <v>100</v>
      </c>
    </row>
    <row r="1634" spans="1:19" s="13" customFormat="1" ht="51">
      <c r="A1634" s="5">
        <v>1619</v>
      </c>
      <c r="B1634" s="15" t="s">
        <v>710</v>
      </c>
      <c r="C1634" s="31" t="s">
        <v>597</v>
      </c>
      <c r="D1634" s="31" t="s">
        <v>592</v>
      </c>
      <c r="E1634" s="57" t="s">
        <v>2042</v>
      </c>
      <c r="F1634" s="57" t="s">
        <v>594</v>
      </c>
      <c r="G1634" s="57" t="s">
        <v>2043</v>
      </c>
      <c r="H1634" s="57" t="s">
        <v>2044</v>
      </c>
      <c r="I1634" s="57" t="s">
        <v>2043</v>
      </c>
      <c r="J1634" s="57" t="s">
        <v>118</v>
      </c>
      <c r="K1634" s="57" t="s">
        <v>591</v>
      </c>
      <c r="L1634" s="11" t="s">
        <v>914</v>
      </c>
      <c r="M1634" s="22">
        <v>1</v>
      </c>
      <c r="N1634" s="46">
        <f t="shared" si="40"/>
        <v>840104</v>
      </c>
      <c r="O1634" s="49">
        <v>840104</v>
      </c>
      <c r="P1634" s="5" t="s">
        <v>391</v>
      </c>
      <c r="Q1634" s="5" t="s">
        <v>766</v>
      </c>
      <c r="R1634" s="11" t="s">
        <v>2029</v>
      </c>
      <c r="S1634" s="22">
        <v>100</v>
      </c>
    </row>
    <row r="1635" spans="1:19" s="13" customFormat="1" ht="76.5">
      <c r="A1635" s="5">
        <v>1620</v>
      </c>
      <c r="B1635" s="29" t="s">
        <v>710</v>
      </c>
      <c r="C1635" s="35" t="s">
        <v>597</v>
      </c>
      <c r="D1635" s="31" t="s">
        <v>589</v>
      </c>
      <c r="E1635" s="57" t="s">
        <v>2045</v>
      </c>
      <c r="F1635" s="57" t="s">
        <v>709</v>
      </c>
      <c r="G1635" s="57" t="s">
        <v>2045</v>
      </c>
      <c r="H1635" s="57" t="s">
        <v>590</v>
      </c>
      <c r="I1635" s="57" t="s">
        <v>2047</v>
      </c>
      <c r="J1635" s="57" t="s">
        <v>337</v>
      </c>
      <c r="K1635" s="57" t="s">
        <v>591</v>
      </c>
      <c r="L1635" s="11" t="s">
        <v>914</v>
      </c>
      <c r="M1635" s="22">
        <v>1</v>
      </c>
      <c r="N1635" s="46">
        <f t="shared" si="40"/>
        <v>0</v>
      </c>
      <c r="O1635" s="49">
        <f>1787446-1787446</f>
        <v>0</v>
      </c>
      <c r="P1635" s="5" t="s">
        <v>501</v>
      </c>
      <c r="Q1635" s="5" t="s">
        <v>766</v>
      </c>
      <c r="R1635" s="11" t="s">
        <v>2030</v>
      </c>
      <c r="S1635" s="22">
        <v>30</v>
      </c>
    </row>
    <row r="1636" spans="1:19" s="13" customFormat="1" ht="76.5">
      <c r="A1636" s="5">
        <v>1621</v>
      </c>
      <c r="B1636" s="15" t="s">
        <v>710</v>
      </c>
      <c r="C1636" s="31" t="s">
        <v>597</v>
      </c>
      <c r="D1636" s="31" t="s">
        <v>589</v>
      </c>
      <c r="E1636" s="57" t="s">
        <v>2045</v>
      </c>
      <c r="F1636" s="57" t="s">
        <v>709</v>
      </c>
      <c r="G1636" s="57" t="s">
        <v>2045</v>
      </c>
      <c r="H1636" s="57" t="s">
        <v>590</v>
      </c>
      <c r="I1636" s="57" t="s">
        <v>2047</v>
      </c>
      <c r="J1636" s="57" t="s">
        <v>337</v>
      </c>
      <c r="K1636" s="57" t="s">
        <v>591</v>
      </c>
      <c r="L1636" s="11" t="s">
        <v>914</v>
      </c>
      <c r="M1636" s="22">
        <v>1</v>
      </c>
      <c r="N1636" s="46">
        <f t="shared" si="40"/>
        <v>0</v>
      </c>
      <c r="O1636" s="49">
        <f>1851042-1851042</f>
        <v>0</v>
      </c>
      <c r="P1636" s="5" t="s">
        <v>501</v>
      </c>
      <c r="Q1636" s="5" t="s">
        <v>766</v>
      </c>
      <c r="R1636" s="11" t="s">
        <v>1021</v>
      </c>
      <c r="S1636" s="22">
        <v>30</v>
      </c>
    </row>
    <row r="1637" spans="1:19" s="13" customFormat="1" ht="76.5">
      <c r="A1637" s="5">
        <v>1622</v>
      </c>
      <c r="B1637" s="15" t="s">
        <v>710</v>
      </c>
      <c r="C1637" s="31" t="s">
        <v>597</v>
      </c>
      <c r="D1637" s="31" t="s">
        <v>589</v>
      </c>
      <c r="E1637" s="57" t="s">
        <v>2045</v>
      </c>
      <c r="F1637" s="57" t="s">
        <v>709</v>
      </c>
      <c r="G1637" s="57" t="s">
        <v>2045</v>
      </c>
      <c r="H1637" s="57" t="s">
        <v>590</v>
      </c>
      <c r="I1637" s="57" t="s">
        <v>2047</v>
      </c>
      <c r="J1637" s="57" t="s">
        <v>337</v>
      </c>
      <c r="K1637" s="57" t="s">
        <v>591</v>
      </c>
      <c r="L1637" s="11" t="s">
        <v>914</v>
      </c>
      <c r="M1637" s="22">
        <v>1</v>
      </c>
      <c r="N1637" s="46">
        <f t="shared" si="40"/>
        <v>0</v>
      </c>
      <c r="O1637" s="49">
        <f>4075788-4075788</f>
        <v>0</v>
      </c>
      <c r="P1637" s="5" t="s">
        <v>501</v>
      </c>
      <c r="Q1637" s="5" t="s">
        <v>766</v>
      </c>
      <c r="R1637" s="11" t="s">
        <v>789</v>
      </c>
      <c r="S1637" s="5">
        <v>30</v>
      </c>
    </row>
    <row r="1638" spans="1:19" s="13" customFormat="1" ht="76.5">
      <c r="A1638" s="5">
        <v>1623</v>
      </c>
      <c r="B1638" s="15" t="s">
        <v>710</v>
      </c>
      <c r="C1638" s="31" t="s">
        <v>597</v>
      </c>
      <c r="D1638" s="31" t="s">
        <v>589</v>
      </c>
      <c r="E1638" s="57" t="s">
        <v>2045</v>
      </c>
      <c r="F1638" s="57" t="s">
        <v>709</v>
      </c>
      <c r="G1638" s="57" t="s">
        <v>2045</v>
      </c>
      <c r="H1638" s="57" t="s">
        <v>590</v>
      </c>
      <c r="I1638" s="57" t="s">
        <v>2047</v>
      </c>
      <c r="J1638" s="57" t="s">
        <v>337</v>
      </c>
      <c r="K1638" s="57" t="s">
        <v>591</v>
      </c>
      <c r="L1638" s="11" t="s">
        <v>914</v>
      </c>
      <c r="M1638" s="22">
        <v>1</v>
      </c>
      <c r="N1638" s="46">
        <f t="shared" si="40"/>
        <v>0</v>
      </c>
      <c r="O1638" s="49">
        <f>3396428-3396428</f>
        <v>0</v>
      </c>
      <c r="P1638" s="5" t="s">
        <v>501</v>
      </c>
      <c r="Q1638" s="5" t="s">
        <v>766</v>
      </c>
      <c r="R1638" s="11" t="s">
        <v>2022</v>
      </c>
      <c r="S1638" s="22">
        <v>30</v>
      </c>
    </row>
    <row r="1639" spans="1:19" s="13" customFormat="1" ht="76.5">
      <c r="A1639" s="5">
        <v>1624</v>
      </c>
      <c r="B1639" s="15" t="s">
        <v>710</v>
      </c>
      <c r="C1639" s="31" t="s">
        <v>597</v>
      </c>
      <c r="D1639" s="31" t="s">
        <v>589</v>
      </c>
      <c r="E1639" s="57" t="s">
        <v>2045</v>
      </c>
      <c r="F1639" s="57" t="s">
        <v>709</v>
      </c>
      <c r="G1639" s="57" t="s">
        <v>2045</v>
      </c>
      <c r="H1639" s="57" t="s">
        <v>590</v>
      </c>
      <c r="I1639" s="57" t="s">
        <v>2047</v>
      </c>
      <c r="J1639" s="57" t="s">
        <v>337</v>
      </c>
      <c r="K1639" s="57" t="s">
        <v>591</v>
      </c>
      <c r="L1639" s="11" t="s">
        <v>914</v>
      </c>
      <c r="M1639" s="22">
        <v>1</v>
      </c>
      <c r="N1639" s="46">
        <f t="shared" si="40"/>
        <v>0</v>
      </c>
      <c r="O1639" s="49">
        <f>3770428-3770428</f>
        <v>0</v>
      </c>
      <c r="P1639" s="5" t="s">
        <v>501</v>
      </c>
      <c r="Q1639" s="5" t="s">
        <v>766</v>
      </c>
      <c r="R1639" s="11" t="s">
        <v>2027</v>
      </c>
      <c r="S1639" s="22">
        <v>30</v>
      </c>
    </row>
    <row r="1640" spans="1:19" s="13" customFormat="1" ht="76.5">
      <c r="A1640" s="5">
        <v>1625</v>
      </c>
      <c r="B1640" s="15" t="s">
        <v>710</v>
      </c>
      <c r="C1640" s="31" t="s">
        <v>597</v>
      </c>
      <c r="D1640" s="31" t="s">
        <v>589</v>
      </c>
      <c r="E1640" s="57" t="s">
        <v>2045</v>
      </c>
      <c r="F1640" s="57" t="s">
        <v>709</v>
      </c>
      <c r="G1640" s="57" t="s">
        <v>2045</v>
      </c>
      <c r="H1640" s="57" t="s">
        <v>590</v>
      </c>
      <c r="I1640" s="57" t="s">
        <v>2047</v>
      </c>
      <c r="J1640" s="57" t="s">
        <v>337</v>
      </c>
      <c r="K1640" s="57" t="s">
        <v>591</v>
      </c>
      <c r="L1640" s="11" t="s">
        <v>914</v>
      </c>
      <c r="M1640" s="22">
        <v>1</v>
      </c>
      <c r="N1640" s="46">
        <f t="shared" si="40"/>
        <v>0</v>
      </c>
      <c r="O1640" s="49">
        <f>1458118-1458118</f>
        <v>0</v>
      </c>
      <c r="P1640" s="5" t="s">
        <v>501</v>
      </c>
      <c r="Q1640" s="5" t="s">
        <v>766</v>
      </c>
      <c r="R1640" s="11" t="s">
        <v>2023</v>
      </c>
      <c r="S1640" s="22">
        <v>30</v>
      </c>
    </row>
    <row r="1641" spans="1:19" ht="76.5">
      <c r="A1641" s="5">
        <v>1626</v>
      </c>
      <c r="B1641" s="15" t="s">
        <v>710</v>
      </c>
      <c r="C1641" s="31" t="s">
        <v>597</v>
      </c>
      <c r="D1641" s="31" t="s">
        <v>589</v>
      </c>
      <c r="E1641" s="57" t="s">
        <v>2045</v>
      </c>
      <c r="F1641" s="57" t="s">
        <v>709</v>
      </c>
      <c r="G1641" s="57" t="s">
        <v>2045</v>
      </c>
      <c r="H1641" s="57" t="s">
        <v>590</v>
      </c>
      <c r="I1641" s="57" t="s">
        <v>2047</v>
      </c>
      <c r="J1641" s="57" t="s">
        <v>337</v>
      </c>
      <c r="K1641" s="57" t="s">
        <v>591</v>
      </c>
      <c r="L1641" s="11" t="s">
        <v>914</v>
      </c>
      <c r="M1641" s="22">
        <v>1</v>
      </c>
      <c r="N1641" s="46">
        <f t="shared" si="40"/>
        <v>0</v>
      </c>
      <c r="O1641" s="49">
        <f>2793768-2793768</f>
        <v>0</v>
      </c>
      <c r="P1641" s="5" t="s">
        <v>501</v>
      </c>
      <c r="Q1641" s="5" t="s">
        <v>766</v>
      </c>
      <c r="R1641" s="11" t="s">
        <v>633</v>
      </c>
      <c r="S1641" s="22">
        <v>30</v>
      </c>
    </row>
    <row r="1642" spans="1:19" s="34" customFormat="1" ht="76.5">
      <c r="A1642" s="5">
        <v>1627</v>
      </c>
      <c r="B1642" s="15" t="s">
        <v>710</v>
      </c>
      <c r="C1642" s="31" t="s">
        <v>597</v>
      </c>
      <c r="D1642" s="31" t="s">
        <v>589</v>
      </c>
      <c r="E1642" s="57" t="s">
        <v>2045</v>
      </c>
      <c r="F1642" s="57" t="s">
        <v>709</v>
      </c>
      <c r="G1642" s="57" t="s">
        <v>2045</v>
      </c>
      <c r="H1642" s="57" t="s">
        <v>590</v>
      </c>
      <c r="I1642" s="57" t="s">
        <v>2047</v>
      </c>
      <c r="J1642" s="57" t="s">
        <v>337</v>
      </c>
      <c r="K1642" s="57" t="s">
        <v>591</v>
      </c>
      <c r="L1642" s="11" t="s">
        <v>914</v>
      </c>
      <c r="M1642" s="22">
        <v>1</v>
      </c>
      <c r="N1642" s="46">
        <f t="shared" si="40"/>
        <v>0</v>
      </c>
      <c r="O1642" s="49">
        <f>1856561-1856561</f>
        <v>0</v>
      </c>
      <c r="P1642" s="5" t="s">
        <v>501</v>
      </c>
      <c r="Q1642" s="5" t="s">
        <v>766</v>
      </c>
      <c r="R1642" s="11">
        <v>311000000</v>
      </c>
      <c r="S1642" s="22">
        <v>30</v>
      </c>
    </row>
    <row r="1643" spans="1:19" s="36" customFormat="1" ht="76.5">
      <c r="A1643" s="5">
        <v>1628</v>
      </c>
      <c r="B1643" s="15" t="s">
        <v>710</v>
      </c>
      <c r="C1643" s="31" t="s">
        <v>597</v>
      </c>
      <c r="D1643" s="31" t="s">
        <v>589</v>
      </c>
      <c r="E1643" s="57" t="s">
        <v>2045</v>
      </c>
      <c r="F1643" s="57" t="s">
        <v>709</v>
      </c>
      <c r="G1643" s="57" t="s">
        <v>2045</v>
      </c>
      <c r="H1643" s="57" t="s">
        <v>590</v>
      </c>
      <c r="I1643" s="57" t="s">
        <v>2047</v>
      </c>
      <c r="J1643" s="57" t="s">
        <v>337</v>
      </c>
      <c r="K1643" s="57" t="s">
        <v>591</v>
      </c>
      <c r="L1643" s="11" t="s">
        <v>914</v>
      </c>
      <c r="M1643" s="22">
        <v>1</v>
      </c>
      <c r="N1643" s="46">
        <f t="shared" si="40"/>
        <v>0</v>
      </c>
      <c r="O1643" s="49">
        <f>2055936-2055936</f>
        <v>0</v>
      </c>
      <c r="P1643" s="5" t="s">
        <v>501</v>
      </c>
      <c r="Q1643" s="5" t="s">
        <v>766</v>
      </c>
      <c r="R1643" s="11" t="s">
        <v>2024</v>
      </c>
      <c r="S1643" s="22">
        <v>30</v>
      </c>
    </row>
    <row r="1644" spans="1:19" s="13" customFormat="1" ht="76.5">
      <c r="A1644" s="5">
        <v>1629</v>
      </c>
      <c r="B1644" s="15" t="s">
        <v>710</v>
      </c>
      <c r="C1644" s="31" t="s">
        <v>597</v>
      </c>
      <c r="D1644" s="31" t="s">
        <v>589</v>
      </c>
      <c r="E1644" s="57" t="s">
        <v>2045</v>
      </c>
      <c r="F1644" s="57" t="s">
        <v>709</v>
      </c>
      <c r="G1644" s="57" t="s">
        <v>2045</v>
      </c>
      <c r="H1644" s="57" t="s">
        <v>590</v>
      </c>
      <c r="I1644" s="57" t="s">
        <v>2047</v>
      </c>
      <c r="J1644" s="57" t="s">
        <v>337</v>
      </c>
      <c r="K1644" s="57" t="s">
        <v>591</v>
      </c>
      <c r="L1644" s="11" t="s">
        <v>914</v>
      </c>
      <c r="M1644" s="22">
        <v>1</v>
      </c>
      <c r="N1644" s="46">
        <f t="shared" si="40"/>
        <v>0</v>
      </c>
      <c r="O1644" s="49">
        <f>2978571-2978571</f>
        <v>0</v>
      </c>
      <c r="P1644" s="5" t="s">
        <v>501</v>
      </c>
      <c r="Q1644" s="5" t="s">
        <v>766</v>
      </c>
      <c r="R1644" s="11">
        <v>351000000</v>
      </c>
      <c r="S1644" s="22">
        <v>30</v>
      </c>
    </row>
    <row r="1645" spans="1:19" ht="76.5">
      <c r="A1645" s="5">
        <v>1630</v>
      </c>
      <c r="B1645" s="15" t="s">
        <v>710</v>
      </c>
      <c r="C1645" s="31" t="s">
        <v>597</v>
      </c>
      <c r="D1645" s="31" t="s">
        <v>589</v>
      </c>
      <c r="E1645" s="57" t="s">
        <v>2045</v>
      </c>
      <c r="F1645" s="57" t="s">
        <v>709</v>
      </c>
      <c r="G1645" s="57" t="s">
        <v>2045</v>
      </c>
      <c r="H1645" s="57" t="s">
        <v>590</v>
      </c>
      <c r="I1645" s="57" t="s">
        <v>2047</v>
      </c>
      <c r="J1645" s="57" t="s">
        <v>337</v>
      </c>
      <c r="K1645" s="57" t="s">
        <v>591</v>
      </c>
      <c r="L1645" s="11" t="s">
        <v>914</v>
      </c>
      <c r="M1645" s="22">
        <v>1</v>
      </c>
      <c r="N1645" s="46">
        <f t="shared" si="40"/>
        <v>0</v>
      </c>
      <c r="O1645" s="49">
        <f>1644094-1644094</f>
        <v>0</v>
      </c>
      <c r="P1645" s="5" t="s">
        <v>501</v>
      </c>
      <c r="Q1645" s="5" t="s">
        <v>766</v>
      </c>
      <c r="R1645" s="11" t="s">
        <v>925</v>
      </c>
      <c r="S1645" s="22">
        <v>30</v>
      </c>
    </row>
    <row r="1646" spans="1:19" s="13" customFormat="1" ht="76.5">
      <c r="A1646" s="5">
        <v>1631</v>
      </c>
      <c r="B1646" s="15" t="s">
        <v>710</v>
      </c>
      <c r="C1646" s="31" t="s">
        <v>597</v>
      </c>
      <c r="D1646" s="31" t="s">
        <v>589</v>
      </c>
      <c r="E1646" s="57" t="s">
        <v>2045</v>
      </c>
      <c r="F1646" s="57" t="s">
        <v>709</v>
      </c>
      <c r="G1646" s="57" t="s">
        <v>2045</v>
      </c>
      <c r="H1646" s="57" t="s">
        <v>590</v>
      </c>
      <c r="I1646" s="57" t="s">
        <v>2047</v>
      </c>
      <c r="J1646" s="57" t="s">
        <v>337</v>
      </c>
      <c r="K1646" s="57" t="s">
        <v>591</v>
      </c>
      <c r="L1646" s="11" t="s">
        <v>914</v>
      </c>
      <c r="M1646" s="22">
        <v>1</v>
      </c>
      <c r="N1646" s="46">
        <f t="shared" si="40"/>
        <v>0</v>
      </c>
      <c r="O1646" s="49">
        <f>1182462-1182462</f>
        <v>0</v>
      </c>
      <c r="P1646" s="5" t="s">
        <v>501</v>
      </c>
      <c r="Q1646" s="5" t="s">
        <v>766</v>
      </c>
      <c r="R1646" s="11">
        <v>431000000</v>
      </c>
      <c r="S1646" s="22">
        <v>30</v>
      </c>
    </row>
    <row r="1647" spans="1:19" ht="76.5">
      <c r="A1647" s="5">
        <v>1632</v>
      </c>
      <c r="B1647" s="29" t="s">
        <v>710</v>
      </c>
      <c r="C1647" s="42" t="s">
        <v>597</v>
      </c>
      <c r="D1647" s="31" t="s">
        <v>589</v>
      </c>
      <c r="E1647" s="57" t="s">
        <v>2045</v>
      </c>
      <c r="F1647" s="57" t="s">
        <v>709</v>
      </c>
      <c r="G1647" s="57" t="s">
        <v>2045</v>
      </c>
      <c r="H1647" s="57" t="s">
        <v>590</v>
      </c>
      <c r="I1647" s="57" t="s">
        <v>2047</v>
      </c>
      <c r="J1647" s="57" t="s">
        <v>337</v>
      </c>
      <c r="K1647" s="57" t="s">
        <v>591</v>
      </c>
      <c r="L1647" s="11" t="s">
        <v>914</v>
      </c>
      <c r="M1647" s="22">
        <v>1</v>
      </c>
      <c r="N1647" s="46">
        <f t="shared" si="40"/>
        <v>0</v>
      </c>
      <c r="O1647" s="49">
        <f>1980123-1980123</f>
        <v>0</v>
      </c>
      <c r="P1647" s="5" t="s">
        <v>501</v>
      </c>
      <c r="Q1647" s="5" t="s">
        <v>766</v>
      </c>
      <c r="R1647" s="11" t="s">
        <v>715</v>
      </c>
      <c r="S1647" s="22">
        <v>30</v>
      </c>
    </row>
    <row r="1648" spans="1:19" s="32" customFormat="1" ht="76.5">
      <c r="A1648" s="5">
        <v>1633</v>
      </c>
      <c r="B1648" s="15" t="s">
        <v>710</v>
      </c>
      <c r="C1648" s="31" t="s">
        <v>597</v>
      </c>
      <c r="D1648" s="31" t="s">
        <v>589</v>
      </c>
      <c r="E1648" s="57" t="s">
        <v>2045</v>
      </c>
      <c r="F1648" s="57" t="s">
        <v>709</v>
      </c>
      <c r="G1648" s="57" t="s">
        <v>2045</v>
      </c>
      <c r="H1648" s="57" t="s">
        <v>590</v>
      </c>
      <c r="I1648" s="57" t="s">
        <v>2047</v>
      </c>
      <c r="J1648" s="57" t="s">
        <v>337</v>
      </c>
      <c r="K1648" s="57" t="s">
        <v>591</v>
      </c>
      <c r="L1648" s="11" t="s">
        <v>914</v>
      </c>
      <c r="M1648" s="22">
        <v>1</v>
      </c>
      <c r="N1648" s="46">
        <f t="shared" si="40"/>
        <v>0</v>
      </c>
      <c r="O1648" s="49">
        <f>1875696-1875696</f>
        <v>0</v>
      </c>
      <c r="P1648" s="5" t="s">
        <v>501</v>
      </c>
      <c r="Q1648" s="5" t="s">
        <v>766</v>
      </c>
      <c r="R1648" s="11">
        <v>551000000</v>
      </c>
      <c r="S1648" s="22">
        <v>30</v>
      </c>
    </row>
    <row r="1649" spans="1:19" s="13" customFormat="1" ht="76.5">
      <c r="A1649" s="5">
        <v>1634</v>
      </c>
      <c r="B1649" s="15" t="s">
        <v>941</v>
      </c>
      <c r="C1649" s="5" t="s">
        <v>597</v>
      </c>
      <c r="D1649" s="31" t="s">
        <v>589</v>
      </c>
      <c r="E1649" s="57" t="s">
        <v>2045</v>
      </c>
      <c r="F1649" s="57" t="s">
        <v>709</v>
      </c>
      <c r="G1649" s="57" t="s">
        <v>2045</v>
      </c>
      <c r="H1649" s="57" t="s">
        <v>590</v>
      </c>
      <c r="I1649" s="57" t="s">
        <v>2047</v>
      </c>
      <c r="J1649" s="57" t="s">
        <v>337</v>
      </c>
      <c r="K1649" s="57" t="s">
        <v>591</v>
      </c>
      <c r="L1649" s="11" t="s">
        <v>914</v>
      </c>
      <c r="M1649" s="22">
        <v>1</v>
      </c>
      <c r="N1649" s="46">
        <f t="shared" si="40"/>
        <v>0</v>
      </c>
      <c r="O1649" s="49">
        <f>1196916-1196916</f>
        <v>0</v>
      </c>
      <c r="P1649" s="5" t="s">
        <v>501</v>
      </c>
      <c r="Q1649" s="5" t="s">
        <v>766</v>
      </c>
      <c r="R1649" s="11">
        <v>591000000</v>
      </c>
      <c r="S1649" s="22">
        <v>30</v>
      </c>
    </row>
    <row r="1650" spans="1:19" s="13" customFormat="1" ht="76.5">
      <c r="A1650" s="5">
        <v>1635</v>
      </c>
      <c r="B1650" s="15" t="s">
        <v>710</v>
      </c>
      <c r="C1650" s="31" t="s">
        <v>597</v>
      </c>
      <c r="D1650" s="31" t="s">
        <v>589</v>
      </c>
      <c r="E1650" s="57" t="s">
        <v>2045</v>
      </c>
      <c r="F1650" s="57" t="s">
        <v>709</v>
      </c>
      <c r="G1650" s="57" t="s">
        <v>2045</v>
      </c>
      <c r="H1650" s="57" t="s">
        <v>590</v>
      </c>
      <c r="I1650" s="57" t="s">
        <v>2047</v>
      </c>
      <c r="J1650" s="57" t="s">
        <v>337</v>
      </c>
      <c r="K1650" s="57" t="s">
        <v>591</v>
      </c>
      <c r="L1650" s="11" t="s">
        <v>914</v>
      </c>
      <c r="M1650" s="22">
        <v>1</v>
      </c>
      <c r="N1650" s="46">
        <f t="shared" si="40"/>
        <v>0</v>
      </c>
      <c r="O1650" s="49">
        <f>3795812-3795812</f>
        <v>0</v>
      </c>
      <c r="P1650" s="5" t="s">
        <v>501</v>
      </c>
      <c r="Q1650" s="5" t="s">
        <v>766</v>
      </c>
      <c r="R1650" s="11" t="s">
        <v>2029</v>
      </c>
      <c r="S1650" s="5">
        <v>30</v>
      </c>
    </row>
    <row r="1651" spans="1:19" s="13" customFormat="1" ht="76.5">
      <c r="A1651" s="5">
        <v>1636</v>
      </c>
      <c r="B1651" s="29" t="s">
        <v>710</v>
      </c>
      <c r="C1651" s="35" t="s">
        <v>597</v>
      </c>
      <c r="D1651" s="31" t="s">
        <v>598</v>
      </c>
      <c r="E1651" s="57" t="s">
        <v>599</v>
      </c>
      <c r="F1651" s="57" t="s">
        <v>600</v>
      </c>
      <c r="G1651" s="57" t="s">
        <v>1020</v>
      </c>
      <c r="H1651" s="57" t="s">
        <v>602</v>
      </c>
      <c r="I1651" s="57" t="s">
        <v>1530</v>
      </c>
      <c r="J1651" s="57" t="s">
        <v>315</v>
      </c>
      <c r="K1651" s="57" t="s">
        <v>591</v>
      </c>
      <c r="L1651" s="11" t="s">
        <v>914</v>
      </c>
      <c r="M1651" s="22">
        <v>1</v>
      </c>
      <c r="N1651" s="46">
        <v>2340000</v>
      </c>
      <c r="O1651" s="49">
        <f t="shared" ref="O1651:O1714" si="41">M1651*N1651</f>
        <v>2340000</v>
      </c>
      <c r="P1651" s="5" t="s">
        <v>393</v>
      </c>
      <c r="Q1651" s="5" t="s">
        <v>766</v>
      </c>
      <c r="R1651" s="11" t="s">
        <v>2030</v>
      </c>
      <c r="S1651" s="22">
        <v>0</v>
      </c>
    </row>
    <row r="1652" spans="1:19" s="13" customFormat="1" ht="76.5">
      <c r="A1652" s="5">
        <v>1637</v>
      </c>
      <c r="B1652" s="15" t="s">
        <v>710</v>
      </c>
      <c r="C1652" s="31" t="s">
        <v>597</v>
      </c>
      <c r="D1652" s="31" t="s">
        <v>598</v>
      </c>
      <c r="E1652" s="57" t="s">
        <v>599</v>
      </c>
      <c r="F1652" s="57" t="s">
        <v>600</v>
      </c>
      <c r="G1652" s="57" t="s">
        <v>1020</v>
      </c>
      <c r="H1652" s="57" t="s">
        <v>602</v>
      </c>
      <c r="I1652" s="57" t="s">
        <v>1530</v>
      </c>
      <c r="J1652" s="57" t="s">
        <v>315</v>
      </c>
      <c r="K1652" s="57" t="s">
        <v>591</v>
      </c>
      <c r="L1652" s="11" t="s">
        <v>914</v>
      </c>
      <c r="M1652" s="22">
        <v>1</v>
      </c>
      <c r="N1652" s="46">
        <v>2340000</v>
      </c>
      <c r="O1652" s="49">
        <f t="shared" si="41"/>
        <v>2340000</v>
      </c>
      <c r="P1652" s="5" t="s">
        <v>393</v>
      </c>
      <c r="Q1652" s="5" t="s">
        <v>766</v>
      </c>
      <c r="R1652" s="11" t="s">
        <v>1021</v>
      </c>
      <c r="S1652" s="5">
        <v>0</v>
      </c>
    </row>
    <row r="1653" spans="1:19" s="13" customFormat="1" ht="76.5">
      <c r="A1653" s="5">
        <v>1638</v>
      </c>
      <c r="B1653" s="15" t="s">
        <v>710</v>
      </c>
      <c r="C1653" s="31" t="s">
        <v>597</v>
      </c>
      <c r="D1653" s="31" t="s">
        <v>598</v>
      </c>
      <c r="E1653" s="57" t="s">
        <v>599</v>
      </c>
      <c r="F1653" s="57" t="s">
        <v>600</v>
      </c>
      <c r="G1653" s="57" t="s">
        <v>1020</v>
      </c>
      <c r="H1653" s="57" t="s">
        <v>602</v>
      </c>
      <c r="I1653" s="57" t="s">
        <v>1530</v>
      </c>
      <c r="J1653" s="57" t="s">
        <v>315</v>
      </c>
      <c r="K1653" s="57" t="s">
        <v>591</v>
      </c>
      <c r="L1653" s="11" t="s">
        <v>914</v>
      </c>
      <c r="M1653" s="22">
        <v>1</v>
      </c>
      <c r="N1653" s="46">
        <v>2340000</v>
      </c>
      <c r="O1653" s="49">
        <f t="shared" si="41"/>
        <v>2340000</v>
      </c>
      <c r="P1653" s="5" t="s">
        <v>393</v>
      </c>
      <c r="Q1653" s="5" t="s">
        <v>766</v>
      </c>
      <c r="R1653" s="11" t="s">
        <v>789</v>
      </c>
      <c r="S1653" s="5">
        <v>0</v>
      </c>
    </row>
    <row r="1654" spans="1:19" s="13" customFormat="1" ht="76.5">
      <c r="A1654" s="5">
        <v>1639</v>
      </c>
      <c r="B1654" s="15" t="s">
        <v>710</v>
      </c>
      <c r="C1654" s="31" t="s">
        <v>597</v>
      </c>
      <c r="D1654" s="31" t="s">
        <v>598</v>
      </c>
      <c r="E1654" s="57" t="s">
        <v>599</v>
      </c>
      <c r="F1654" s="57" t="s">
        <v>600</v>
      </c>
      <c r="G1654" s="57" t="s">
        <v>1020</v>
      </c>
      <c r="H1654" s="57" t="s">
        <v>602</v>
      </c>
      <c r="I1654" s="57" t="s">
        <v>1530</v>
      </c>
      <c r="J1654" s="57" t="s">
        <v>315</v>
      </c>
      <c r="K1654" s="57" t="s">
        <v>591</v>
      </c>
      <c r="L1654" s="11" t="s">
        <v>914</v>
      </c>
      <c r="M1654" s="22">
        <v>1</v>
      </c>
      <c r="N1654" s="46">
        <v>2340000</v>
      </c>
      <c r="O1654" s="49">
        <f t="shared" si="41"/>
        <v>2340000</v>
      </c>
      <c r="P1654" s="5" t="s">
        <v>393</v>
      </c>
      <c r="Q1654" s="5" t="s">
        <v>766</v>
      </c>
      <c r="R1654" s="11" t="s">
        <v>2023</v>
      </c>
      <c r="S1654" s="22">
        <v>100</v>
      </c>
    </row>
    <row r="1655" spans="1:19" ht="76.5">
      <c r="A1655" s="5">
        <v>1640</v>
      </c>
      <c r="B1655" s="15" t="s">
        <v>710</v>
      </c>
      <c r="C1655" s="31" t="s">
        <v>597</v>
      </c>
      <c r="D1655" s="31" t="s">
        <v>598</v>
      </c>
      <c r="E1655" s="57" t="s">
        <v>599</v>
      </c>
      <c r="F1655" s="57" t="s">
        <v>600</v>
      </c>
      <c r="G1655" s="57" t="s">
        <v>1020</v>
      </c>
      <c r="H1655" s="57" t="s">
        <v>602</v>
      </c>
      <c r="I1655" s="57" t="s">
        <v>1530</v>
      </c>
      <c r="J1655" s="57" t="s">
        <v>315</v>
      </c>
      <c r="K1655" s="57" t="s">
        <v>591</v>
      </c>
      <c r="L1655" s="11" t="s">
        <v>914</v>
      </c>
      <c r="M1655" s="22">
        <v>1</v>
      </c>
      <c r="N1655" s="46">
        <v>2340000</v>
      </c>
      <c r="O1655" s="49">
        <f t="shared" si="41"/>
        <v>2340000</v>
      </c>
      <c r="P1655" s="5" t="s">
        <v>393</v>
      </c>
      <c r="Q1655" s="5" t="s">
        <v>766</v>
      </c>
      <c r="R1655" s="11" t="s">
        <v>633</v>
      </c>
      <c r="S1655" s="22">
        <v>0</v>
      </c>
    </row>
    <row r="1656" spans="1:19" s="34" customFormat="1" ht="76.5">
      <c r="A1656" s="5">
        <v>1641</v>
      </c>
      <c r="B1656" s="15" t="s">
        <v>710</v>
      </c>
      <c r="C1656" s="31" t="s">
        <v>597</v>
      </c>
      <c r="D1656" s="31" t="s">
        <v>598</v>
      </c>
      <c r="E1656" s="57" t="s">
        <v>599</v>
      </c>
      <c r="F1656" s="57" t="s">
        <v>600</v>
      </c>
      <c r="G1656" s="57" t="s">
        <v>1020</v>
      </c>
      <c r="H1656" s="57" t="s">
        <v>602</v>
      </c>
      <c r="I1656" s="57" t="s">
        <v>1530</v>
      </c>
      <c r="J1656" s="57" t="s">
        <v>315</v>
      </c>
      <c r="K1656" s="57" t="s">
        <v>591</v>
      </c>
      <c r="L1656" s="11" t="s">
        <v>914</v>
      </c>
      <c r="M1656" s="22">
        <v>1</v>
      </c>
      <c r="N1656" s="46">
        <v>2340000</v>
      </c>
      <c r="O1656" s="49">
        <f t="shared" si="41"/>
        <v>2340000</v>
      </c>
      <c r="P1656" s="5" t="s">
        <v>393</v>
      </c>
      <c r="Q1656" s="5" t="s">
        <v>766</v>
      </c>
      <c r="R1656" s="11">
        <v>311000000</v>
      </c>
      <c r="S1656" s="22">
        <v>0</v>
      </c>
    </row>
    <row r="1657" spans="1:19" s="36" customFormat="1" ht="76.5">
      <c r="A1657" s="5">
        <v>1642</v>
      </c>
      <c r="B1657" s="15" t="s">
        <v>710</v>
      </c>
      <c r="C1657" s="31" t="s">
        <v>597</v>
      </c>
      <c r="D1657" s="31" t="s">
        <v>598</v>
      </c>
      <c r="E1657" s="57" t="s">
        <v>599</v>
      </c>
      <c r="F1657" s="57" t="s">
        <v>600</v>
      </c>
      <c r="G1657" s="57" t="s">
        <v>1020</v>
      </c>
      <c r="H1657" s="57" t="s">
        <v>602</v>
      </c>
      <c r="I1657" s="57" t="s">
        <v>1530</v>
      </c>
      <c r="J1657" s="57" t="s">
        <v>315</v>
      </c>
      <c r="K1657" s="57" t="s">
        <v>591</v>
      </c>
      <c r="L1657" s="11" t="s">
        <v>914</v>
      </c>
      <c r="M1657" s="22">
        <v>1</v>
      </c>
      <c r="N1657" s="46">
        <v>2340000</v>
      </c>
      <c r="O1657" s="49">
        <f t="shared" si="41"/>
        <v>2340000</v>
      </c>
      <c r="P1657" s="5" t="s">
        <v>393</v>
      </c>
      <c r="Q1657" s="5" t="s">
        <v>766</v>
      </c>
      <c r="R1657" s="11" t="s">
        <v>2024</v>
      </c>
      <c r="S1657" s="22">
        <v>0</v>
      </c>
    </row>
    <row r="1658" spans="1:19" s="13" customFormat="1" ht="76.5">
      <c r="A1658" s="5">
        <v>1643</v>
      </c>
      <c r="B1658" s="15" t="s">
        <v>710</v>
      </c>
      <c r="C1658" s="31" t="s">
        <v>597</v>
      </c>
      <c r="D1658" s="31" t="s">
        <v>598</v>
      </c>
      <c r="E1658" s="57" t="s">
        <v>599</v>
      </c>
      <c r="F1658" s="57" t="s">
        <v>600</v>
      </c>
      <c r="G1658" s="57" t="s">
        <v>1020</v>
      </c>
      <c r="H1658" s="57" t="s">
        <v>602</v>
      </c>
      <c r="I1658" s="57" t="s">
        <v>1530</v>
      </c>
      <c r="J1658" s="57" t="s">
        <v>315</v>
      </c>
      <c r="K1658" s="57" t="s">
        <v>591</v>
      </c>
      <c r="L1658" s="11" t="s">
        <v>914</v>
      </c>
      <c r="M1658" s="22">
        <v>1</v>
      </c>
      <c r="N1658" s="46">
        <v>2340000</v>
      </c>
      <c r="O1658" s="49">
        <f t="shared" si="41"/>
        <v>2340000</v>
      </c>
      <c r="P1658" s="5" t="s">
        <v>393</v>
      </c>
      <c r="Q1658" s="5" t="s">
        <v>766</v>
      </c>
      <c r="R1658" s="11">
        <v>351000000</v>
      </c>
      <c r="S1658" s="22">
        <v>0</v>
      </c>
    </row>
    <row r="1659" spans="1:19" ht="76.5">
      <c r="A1659" s="5">
        <v>1644</v>
      </c>
      <c r="B1659" s="15" t="s">
        <v>710</v>
      </c>
      <c r="C1659" s="31" t="s">
        <v>597</v>
      </c>
      <c r="D1659" s="31" t="s">
        <v>598</v>
      </c>
      <c r="E1659" s="57" t="s">
        <v>599</v>
      </c>
      <c r="F1659" s="57" t="s">
        <v>600</v>
      </c>
      <c r="G1659" s="57" t="s">
        <v>1020</v>
      </c>
      <c r="H1659" s="57" t="s">
        <v>602</v>
      </c>
      <c r="I1659" s="57" t="s">
        <v>1530</v>
      </c>
      <c r="J1659" s="57" t="s">
        <v>315</v>
      </c>
      <c r="K1659" s="57" t="s">
        <v>591</v>
      </c>
      <c r="L1659" s="11" t="s">
        <v>914</v>
      </c>
      <c r="M1659" s="22">
        <v>1</v>
      </c>
      <c r="N1659" s="46">
        <v>2340000</v>
      </c>
      <c r="O1659" s="49">
        <f t="shared" si="41"/>
        <v>2340000</v>
      </c>
      <c r="P1659" s="5" t="s">
        <v>393</v>
      </c>
      <c r="Q1659" s="5" t="s">
        <v>766</v>
      </c>
      <c r="R1659" s="11" t="s">
        <v>925</v>
      </c>
      <c r="S1659" s="22">
        <v>0</v>
      </c>
    </row>
    <row r="1660" spans="1:19" s="13" customFormat="1" ht="76.5">
      <c r="A1660" s="5">
        <v>1645</v>
      </c>
      <c r="B1660" s="15" t="s">
        <v>710</v>
      </c>
      <c r="C1660" s="31" t="s">
        <v>597</v>
      </c>
      <c r="D1660" s="31" t="s">
        <v>598</v>
      </c>
      <c r="E1660" s="57" t="s">
        <v>599</v>
      </c>
      <c r="F1660" s="57" t="s">
        <v>600</v>
      </c>
      <c r="G1660" s="57" t="s">
        <v>1020</v>
      </c>
      <c r="H1660" s="57" t="s">
        <v>602</v>
      </c>
      <c r="I1660" s="57" t="s">
        <v>1530</v>
      </c>
      <c r="J1660" s="57" t="s">
        <v>315</v>
      </c>
      <c r="K1660" s="57" t="s">
        <v>591</v>
      </c>
      <c r="L1660" s="11" t="s">
        <v>914</v>
      </c>
      <c r="M1660" s="22">
        <v>1</v>
      </c>
      <c r="N1660" s="46">
        <v>2340000</v>
      </c>
      <c r="O1660" s="49">
        <f t="shared" si="41"/>
        <v>2340000</v>
      </c>
      <c r="P1660" s="5" t="s">
        <v>393</v>
      </c>
      <c r="Q1660" s="5" t="s">
        <v>766</v>
      </c>
      <c r="R1660" s="11">
        <v>431000000</v>
      </c>
      <c r="S1660" s="22">
        <v>0</v>
      </c>
    </row>
    <row r="1661" spans="1:19" ht="65.25" customHeight="1">
      <c r="A1661" s="5">
        <v>1646</v>
      </c>
      <c r="B1661" s="29" t="s">
        <v>710</v>
      </c>
      <c r="C1661" s="42" t="s">
        <v>597</v>
      </c>
      <c r="D1661" s="31" t="s">
        <v>598</v>
      </c>
      <c r="E1661" s="57" t="s">
        <v>599</v>
      </c>
      <c r="F1661" s="57" t="s">
        <v>600</v>
      </c>
      <c r="G1661" s="57" t="s">
        <v>1020</v>
      </c>
      <c r="H1661" s="57" t="s">
        <v>602</v>
      </c>
      <c r="I1661" s="57" t="s">
        <v>1530</v>
      </c>
      <c r="J1661" s="57" t="s">
        <v>315</v>
      </c>
      <c r="K1661" s="57" t="s">
        <v>591</v>
      </c>
      <c r="L1661" s="11" t="s">
        <v>914</v>
      </c>
      <c r="M1661" s="22">
        <v>1</v>
      </c>
      <c r="N1661" s="46">
        <v>2340000</v>
      </c>
      <c r="O1661" s="49">
        <f t="shared" si="41"/>
        <v>2340000</v>
      </c>
      <c r="P1661" s="5" t="s">
        <v>393</v>
      </c>
      <c r="Q1661" s="5" t="s">
        <v>766</v>
      </c>
      <c r="R1661" s="11" t="s">
        <v>715</v>
      </c>
      <c r="S1661" s="22">
        <v>0</v>
      </c>
    </row>
    <row r="1662" spans="1:19" s="32" customFormat="1" ht="78" customHeight="1">
      <c r="A1662" s="5">
        <v>1647</v>
      </c>
      <c r="B1662" s="15" t="s">
        <v>710</v>
      </c>
      <c r="C1662" s="31" t="s">
        <v>597</v>
      </c>
      <c r="D1662" s="31" t="s">
        <v>598</v>
      </c>
      <c r="E1662" s="57" t="s">
        <v>599</v>
      </c>
      <c r="F1662" s="57" t="s">
        <v>600</v>
      </c>
      <c r="G1662" s="57" t="s">
        <v>1020</v>
      </c>
      <c r="H1662" s="57" t="s">
        <v>602</v>
      </c>
      <c r="I1662" s="57" t="s">
        <v>1530</v>
      </c>
      <c r="J1662" s="57" t="s">
        <v>315</v>
      </c>
      <c r="K1662" s="57" t="s">
        <v>591</v>
      </c>
      <c r="L1662" s="11" t="s">
        <v>914</v>
      </c>
      <c r="M1662" s="22">
        <v>1</v>
      </c>
      <c r="N1662" s="46">
        <v>2340000</v>
      </c>
      <c r="O1662" s="49">
        <f t="shared" si="41"/>
        <v>2340000</v>
      </c>
      <c r="P1662" s="5" t="s">
        <v>393</v>
      </c>
      <c r="Q1662" s="5" t="s">
        <v>766</v>
      </c>
      <c r="R1662" s="11">
        <v>551000000</v>
      </c>
      <c r="S1662" s="43">
        <v>0</v>
      </c>
    </row>
    <row r="1663" spans="1:19" s="13" customFormat="1" ht="76.5">
      <c r="A1663" s="5">
        <v>1648</v>
      </c>
      <c r="B1663" s="15" t="s">
        <v>941</v>
      </c>
      <c r="C1663" s="5" t="s">
        <v>597</v>
      </c>
      <c r="D1663" s="31" t="s">
        <v>598</v>
      </c>
      <c r="E1663" s="57" t="s">
        <v>599</v>
      </c>
      <c r="F1663" s="57" t="s">
        <v>600</v>
      </c>
      <c r="G1663" s="57" t="s">
        <v>1020</v>
      </c>
      <c r="H1663" s="57" t="s">
        <v>602</v>
      </c>
      <c r="I1663" s="57" t="s">
        <v>1530</v>
      </c>
      <c r="J1663" s="57" t="s">
        <v>315</v>
      </c>
      <c r="K1663" s="57" t="s">
        <v>591</v>
      </c>
      <c r="L1663" s="11" t="s">
        <v>914</v>
      </c>
      <c r="M1663" s="22">
        <v>1</v>
      </c>
      <c r="N1663" s="46">
        <v>2340000</v>
      </c>
      <c r="O1663" s="49">
        <f t="shared" si="41"/>
        <v>2340000</v>
      </c>
      <c r="P1663" s="5" t="s">
        <v>393</v>
      </c>
      <c r="Q1663" s="5" t="s">
        <v>766</v>
      </c>
      <c r="R1663" s="11">
        <v>591000000</v>
      </c>
      <c r="S1663" s="22">
        <v>0</v>
      </c>
    </row>
    <row r="1664" spans="1:19" s="13" customFormat="1" ht="76.5">
      <c r="A1664" s="5">
        <v>1649</v>
      </c>
      <c r="B1664" s="15" t="s">
        <v>710</v>
      </c>
      <c r="C1664" s="31" t="s">
        <v>597</v>
      </c>
      <c r="D1664" s="31" t="s">
        <v>598</v>
      </c>
      <c r="E1664" s="57" t="s">
        <v>599</v>
      </c>
      <c r="F1664" s="57" t="s">
        <v>600</v>
      </c>
      <c r="G1664" s="57" t="s">
        <v>1020</v>
      </c>
      <c r="H1664" s="57" t="s">
        <v>602</v>
      </c>
      <c r="I1664" s="57" t="s">
        <v>1530</v>
      </c>
      <c r="J1664" s="57" t="s">
        <v>315</v>
      </c>
      <c r="K1664" s="57" t="s">
        <v>591</v>
      </c>
      <c r="L1664" s="11" t="s">
        <v>914</v>
      </c>
      <c r="M1664" s="22">
        <v>1</v>
      </c>
      <c r="N1664" s="46">
        <v>2340000</v>
      </c>
      <c r="O1664" s="49">
        <f t="shared" si="41"/>
        <v>2340000</v>
      </c>
      <c r="P1664" s="5" t="s">
        <v>393</v>
      </c>
      <c r="Q1664" s="5" t="s">
        <v>766</v>
      </c>
      <c r="R1664" s="11" t="s">
        <v>2029</v>
      </c>
      <c r="S1664" s="5">
        <v>0</v>
      </c>
    </row>
    <row r="1665" spans="1:19" s="13" customFormat="1" ht="60" customHeight="1">
      <c r="A1665" s="5">
        <v>1650</v>
      </c>
      <c r="B1665" s="29" t="s">
        <v>710</v>
      </c>
      <c r="C1665" s="35" t="s">
        <v>597</v>
      </c>
      <c r="D1665" s="31" t="s">
        <v>707</v>
      </c>
      <c r="E1665" s="57" t="s">
        <v>2056</v>
      </c>
      <c r="F1665" s="57" t="s">
        <v>708</v>
      </c>
      <c r="G1665" s="57" t="s">
        <v>2056</v>
      </c>
      <c r="H1665" s="57" t="s">
        <v>708</v>
      </c>
      <c r="I1665" s="57" t="s">
        <v>2057</v>
      </c>
      <c r="J1665" s="57" t="s">
        <v>96</v>
      </c>
      <c r="K1665" s="57" t="s">
        <v>591</v>
      </c>
      <c r="L1665" s="11" t="s">
        <v>914</v>
      </c>
      <c r="M1665" s="22">
        <v>1</v>
      </c>
      <c r="N1665" s="46">
        <f>O1665</f>
        <v>1440000</v>
      </c>
      <c r="O1665" s="49">
        <f>1050000+390000</f>
        <v>1440000</v>
      </c>
      <c r="P1665" s="5" t="s">
        <v>393</v>
      </c>
      <c r="Q1665" s="5" t="s">
        <v>766</v>
      </c>
      <c r="R1665" s="11" t="s">
        <v>2030</v>
      </c>
      <c r="S1665" s="22">
        <v>0</v>
      </c>
    </row>
    <row r="1666" spans="1:19" s="13" customFormat="1" ht="61.5" customHeight="1">
      <c r="A1666" s="5">
        <v>1651</v>
      </c>
      <c r="B1666" s="15" t="s">
        <v>710</v>
      </c>
      <c r="C1666" s="31" t="s">
        <v>597</v>
      </c>
      <c r="D1666" s="31" t="s">
        <v>707</v>
      </c>
      <c r="E1666" s="57" t="s">
        <v>2056</v>
      </c>
      <c r="F1666" s="57" t="s">
        <v>708</v>
      </c>
      <c r="G1666" s="57" t="s">
        <v>2056</v>
      </c>
      <c r="H1666" s="57" t="s">
        <v>708</v>
      </c>
      <c r="I1666" s="57" t="s">
        <v>2057</v>
      </c>
      <c r="J1666" s="57" t="s">
        <v>96</v>
      </c>
      <c r="K1666" s="57" t="s">
        <v>591</v>
      </c>
      <c r="L1666" s="11" t="s">
        <v>914</v>
      </c>
      <c r="M1666" s="22">
        <v>1</v>
      </c>
      <c r="N1666" s="46">
        <f t="shared" ref="N1666:N1678" si="42">O1666</f>
        <v>1440000</v>
      </c>
      <c r="O1666" s="49">
        <f t="shared" ref="O1666:O1678" si="43">1050000+390000</f>
        <v>1440000</v>
      </c>
      <c r="P1666" s="5" t="s">
        <v>393</v>
      </c>
      <c r="Q1666" s="5" t="s">
        <v>766</v>
      </c>
      <c r="R1666" s="11" t="s">
        <v>1021</v>
      </c>
      <c r="S1666" s="5">
        <v>0</v>
      </c>
    </row>
    <row r="1667" spans="1:19" s="13" customFormat="1" ht="55.5" customHeight="1">
      <c r="A1667" s="5">
        <v>1652</v>
      </c>
      <c r="B1667" s="15" t="s">
        <v>710</v>
      </c>
      <c r="C1667" s="31" t="s">
        <v>597</v>
      </c>
      <c r="D1667" s="31" t="s">
        <v>707</v>
      </c>
      <c r="E1667" s="57" t="s">
        <v>2056</v>
      </c>
      <c r="F1667" s="57" t="s">
        <v>708</v>
      </c>
      <c r="G1667" s="57" t="s">
        <v>2056</v>
      </c>
      <c r="H1667" s="57" t="s">
        <v>708</v>
      </c>
      <c r="I1667" s="57" t="s">
        <v>2057</v>
      </c>
      <c r="J1667" s="57" t="s">
        <v>96</v>
      </c>
      <c r="K1667" s="57" t="s">
        <v>591</v>
      </c>
      <c r="L1667" s="11" t="s">
        <v>914</v>
      </c>
      <c r="M1667" s="22">
        <v>1</v>
      </c>
      <c r="N1667" s="46">
        <f t="shared" si="42"/>
        <v>1440000</v>
      </c>
      <c r="O1667" s="49">
        <f t="shared" si="43"/>
        <v>1440000</v>
      </c>
      <c r="P1667" s="5" t="s">
        <v>393</v>
      </c>
      <c r="Q1667" s="5" t="s">
        <v>766</v>
      </c>
      <c r="R1667" s="11" t="s">
        <v>789</v>
      </c>
      <c r="S1667" s="5">
        <v>0</v>
      </c>
    </row>
    <row r="1668" spans="1:19" s="13" customFormat="1" ht="55.5" customHeight="1">
      <c r="A1668" s="5">
        <v>1653</v>
      </c>
      <c r="B1668" s="15" t="s">
        <v>710</v>
      </c>
      <c r="C1668" s="31" t="s">
        <v>597</v>
      </c>
      <c r="D1668" s="31" t="s">
        <v>707</v>
      </c>
      <c r="E1668" s="57" t="s">
        <v>2056</v>
      </c>
      <c r="F1668" s="57" t="s">
        <v>708</v>
      </c>
      <c r="G1668" s="57" t="s">
        <v>2056</v>
      </c>
      <c r="H1668" s="57" t="s">
        <v>708</v>
      </c>
      <c r="I1668" s="57" t="s">
        <v>2057</v>
      </c>
      <c r="J1668" s="57" t="s">
        <v>96</v>
      </c>
      <c r="K1668" s="57" t="s">
        <v>591</v>
      </c>
      <c r="L1668" s="11" t="s">
        <v>914</v>
      </c>
      <c r="M1668" s="22">
        <v>1</v>
      </c>
      <c r="N1668" s="46">
        <f t="shared" si="42"/>
        <v>1440000</v>
      </c>
      <c r="O1668" s="49">
        <f t="shared" si="43"/>
        <v>1440000</v>
      </c>
      <c r="P1668" s="5" t="s">
        <v>393</v>
      </c>
      <c r="Q1668" s="5" t="s">
        <v>766</v>
      </c>
      <c r="R1668" s="11" t="s">
        <v>2023</v>
      </c>
      <c r="S1668" s="22">
        <v>0</v>
      </c>
    </row>
    <row r="1669" spans="1:19" ht="57" customHeight="1">
      <c r="A1669" s="5">
        <v>1654</v>
      </c>
      <c r="B1669" s="15" t="s">
        <v>710</v>
      </c>
      <c r="C1669" s="31" t="s">
        <v>597</v>
      </c>
      <c r="D1669" s="31" t="s">
        <v>707</v>
      </c>
      <c r="E1669" s="57" t="s">
        <v>2056</v>
      </c>
      <c r="F1669" s="57" t="s">
        <v>708</v>
      </c>
      <c r="G1669" s="57" t="s">
        <v>2056</v>
      </c>
      <c r="H1669" s="57" t="s">
        <v>708</v>
      </c>
      <c r="I1669" s="57" t="s">
        <v>2057</v>
      </c>
      <c r="J1669" s="57" t="s">
        <v>96</v>
      </c>
      <c r="K1669" s="57" t="s">
        <v>591</v>
      </c>
      <c r="L1669" s="11" t="s">
        <v>914</v>
      </c>
      <c r="M1669" s="22">
        <v>1</v>
      </c>
      <c r="N1669" s="46">
        <f t="shared" si="42"/>
        <v>1320000</v>
      </c>
      <c r="O1669" s="49">
        <f>1050000+390000-120000</f>
        <v>1320000</v>
      </c>
      <c r="P1669" s="5" t="s">
        <v>391</v>
      </c>
      <c r="Q1669" s="5" t="s">
        <v>766</v>
      </c>
      <c r="R1669" s="11" t="s">
        <v>633</v>
      </c>
      <c r="S1669" s="22">
        <v>0</v>
      </c>
    </row>
    <row r="1670" spans="1:19" s="34" customFormat="1" ht="54" customHeight="1">
      <c r="A1670" s="5">
        <v>1655</v>
      </c>
      <c r="B1670" s="15" t="s">
        <v>710</v>
      </c>
      <c r="C1670" s="31" t="s">
        <v>597</v>
      </c>
      <c r="D1670" s="31" t="s">
        <v>707</v>
      </c>
      <c r="E1670" s="57" t="s">
        <v>2056</v>
      </c>
      <c r="F1670" s="57" t="s">
        <v>708</v>
      </c>
      <c r="G1670" s="57" t="s">
        <v>2056</v>
      </c>
      <c r="H1670" s="57" t="s">
        <v>708</v>
      </c>
      <c r="I1670" s="57" t="s">
        <v>2057</v>
      </c>
      <c r="J1670" s="57" t="s">
        <v>96</v>
      </c>
      <c r="K1670" s="57" t="s">
        <v>591</v>
      </c>
      <c r="L1670" s="11" t="s">
        <v>914</v>
      </c>
      <c r="M1670" s="22">
        <v>1</v>
      </c>
      <c r="N1670" s="46">
        <f t="shared" si="42"/>
        <v>1440000</v>
      </c>
      <c r="O1670" s="49">
        <f t="shared" si="43"/>
        <v>1440000</v>
      </c>
      <c r="P1670" s="5" t="s">
        <v>393</v>
      </c>
      <c r="Q1670" s="5" t="s">
        <v>766</v>
      </c>
      <c r="R1670" s="11">
        <v>311000000</v>
      </c>
      <c r="S1670" s="22">
        <v>0</v>
      </c>
    </row>
    <row r="1671" spans="1:19" s="36" customFormat="1" ht="55.5" customHeight="1">
      <c r="A1671" s="5">
        <v>1656</v>
      </c>
      <c r="B1671" s="15" t="s">
        <v>710</v>
      </c>
      <c r="C1671" s="31" t="s">
        <v>597</v>
      </c>
      <c r="D1671" s="31" t="s">
        <v>707</v>
      </c>
      <c r="E1671" s="57" t="s">
        <v>2056</v>
      </c>
      <c r="F1671" s="57" t="s">
        <v>708</v>
      </c>
      <c r="G1671" s="57" t="s">
        <v>2056</v>
      </c>
      <c r="H1671" s="57" t="s">
        <v>708</v>
      </c>
      <c r="I1671" s="57" t="s">
        <v>2057</v>
      </c>
      <c r="J1671" s="57" t="s">
        <v>96</v>
      </c>
      <c r="K1671" s="57" t="s">
        <v>591</v>
      </c>
      <c r="L1671" s="11" t="s">
        <v>914</v>
      </c>
      <c r="M1671" s="22">
        <v>1</v>
      </c>
      <c r="N1671" s="46">
        <f t="shared" si="42"/>
        <v>1440000</v>
      </c>
      <c r="O1671" s="49">
        <f t="shared" si="43"/>
        <v>1440000</v>
      </c>
      <c r="P1671" s="5" t="s">
        <v>393</v>
      </c>
      <c r="Q1671" s="5" t="s">
        <v>766</v>
      </c>
      <c r="R1671" s="11" t="s">
        <v>2024</v>
      </c>
      <c r="S1671" s="22">
        <v>0</v>
      </c>
    </row>
    <row r="1672" spans="1:19" s="13" customFormat="1" ht="57" customHeight="1">
      <c r="A1672" s="5">
        <v>1657</v>
      </c>
      <c r="B1672" s="15" t="s">
        <v>710</v>
      </c>
      <c r="C1672" s="31" t="s">
        <v>597</v>
      </c>
      <c r="D1672" s="31" t="s">
        <v>707</v>
      </c>
      <c r="E1672" s="57" t="s">
        <v>2056</v>
      </c>
      <c r="F1672" s="57" t="s">
        <v>708</v>
      </c>
      <c r="G1672" s="57" t="s">
        <v>2056</v>
      </c>
      <c r="H1672" s="57" t="s">
        <v>708</v>
      </c>
      <c r="I1672" s="57" t="s">
        <v>2057</v>
      </c>
      <c r="J1672" s="57" t="s">
        <v>96</v>
      </c>
      <c r="K1672" s="57" t="s">
        <v>591</v>
      </c>
      <c r="L1672" s="11" t="s">
        <v>914</v>
      </c>
      <c r="M1672" s="22">
        <v>1</v>
      </c>
      <c r="N1672" s="46">
        <f t="shared" si="42"/>
        <v>1440000</v>
      </c>
      <c r="O1672" s="49">
        <f t="shared" si="43"/>
        <v>1440000</v>
      </c>
      <c r="P1672" s="5" t="s">
        <v>393</v>
      </c>
      <c r="Q1672" s="5" t="s">
        <v>766</v>
      </c>
      <c r="R1672" s="11">
        <v>351000000</v>
      </c>
      <c r="S1672" s="22">
        <v>0</v>
      </c>
    </row>
    <row r="1673" spans="1:19" ht="57" customHeight="1">
      <c r="A1673" s="5">
        <v>1658</v>
      </c>
      <c r="B1673" s="15" t="s">
        <v>710</v>
      </c>
      <c r="C1673" s="31" t="s">
        <v>597</v>
      </c>
      <c r="D1673" s="31" t="s">
        <v>707</v>
      </c>
      <c r="E1673" s="57" t="s">
        <v>2056</v>
      </c>
      <c r="F1673" s="57" t="s">
        <v>708</v>
      </c>
      <c r="G1673" s="57" t="s">
        <v>2056</v>
      </c>
      <c r="H1673" s="57" t="s">
        <v>708</v>
      </c>
      <c r="I1673" s="57" t="s">
        <v>2057</v>
      </c>
      <c r="J1673" s="57" t="s">
        <v>96</v>
      </c>
      <c r="K1673" s="57" t="s">
        <v>591</v>
      </c>
      <c r="L1673" s="11" t="s">
        <v>914</v>
      </c>
      <c r="M1673" s="22">
        <v>1</v>
      </c>
      <c r="N1673" s="46">
        <f t="shared" si="42"/>
        <v>1440000</v>
      </c>
      <c r="O1673" s="49">
        <f t="shared" si="43"/>
        <v>1440000</v>
      </c>
      <c r="P1673" s="5" t="s">
        <v>393</v>
      </c>
      <c r="Q1673" s="5" t="s">
        <v>766</v>
      </c>
      <c r="R1673" s="11" t="s">
        <v>925</v>
      </c>
      <c r="S1673" s="22">
        <v>0</v>
      </c>
    </row>
    <row r="1674" spans="1:19" s="13" customFormat="1" ht="57" customHeight="1">
      <c r="A1674" s="5">
        <v>1659</v>
      </c>
      <c r="B1674" s="15" t="s">
        <v>710</v>
      </c>
      <c r="C1674" s="31" t="s">
        <v>597</v>
      </c>
      <c r="D1674" s="31" t="s">
        <v>587</v>
      </c>
      <c r="E1674" s="57" t="s">
        <v>2056</v>
      </c>
      <c r="F1674" s="57" t="s">
        <v>708</v>
      </c>
      <c r="G1674" s="57" t="s">
        <v>2056</v>
      </c>
      <c r="H1674" s="57" t="s">
        <v>708</v>
      </c>
      <c r="I1674" s="57" t="s">
        <v>2057</v>
      </c>
      <c r="J1674" s="57" t="s">
        <v>96</v>
      </c>
      <c r="K1674" s="57" t="s">
        <v>591</v>
      </c>
      <c r="L1674" s="11" t="s">
        <v>914</v>
      </c>
      <c r="M1674" s="22">
        <v>1</v>
      </c>
      <c r="N1674" s="46">
        <f t="shared" si="42"/>
        <v>1440000</v>
      </c>
      <c r="O1674" s="49">
        <f t="shared" si="43"/>
        <v>1440000</v>
      </c>
      <c r="P1674" s="5" t="s">
        <v>393</v>
      </c>
      <c r="Q1674" s="5" t="s">
        <v>766</v>
      </c>
      <c r="R1674" s="11">
        <v>431000000</v>
      </c>
      <c r="S1674" s="22">
        <v>0</v>
      </c>
    </row>
    <row r="1675" spans="1:19" ht="58.5" customHeight="1">
      <c r="A1675" s="5">
        <v>1660</v>
      </c>
      <c r="B1675" s="29" t="s">
        <v>710</v>
      </c>
      <c r="C1675" s="35" t="s">
        <v>597</v>
      </c>
      <c r="D1675" s="31" t="s">
        <v>707</v>
      </c>
      <c r="E1675" s="57" t="s">
        <v>2056</v>
      </c>
      <c r="F1675" s="57" t="s">
        <v>708</v>
      </c>
      <c r="G1675" s="57" t="s">
        <v>2056</v>
      </c>
      <c r="H1675" s="57" t="s">
        <v>708</v>
      </c>
      <c r="I1675" s="57" t="s">
        <v>2057</v>
      </c>
      <c r="J1675" s="57" t="s">
        <v>96</v>
      </c>
      <c r="K1675" s="57" t="s">
        <v>591</v>
      </c>
      <c r="L1675" s="11" t="s">
        <v>914</v>
      </c>
      <c r="M1675" s="22">
        <v>1</v>
      </c>
      <c r="N1675" s="46">
        <f t="shared" si="42"/>
        <v>1440000</v>
      </c>
      <c r="O1675" s="49">
        <f t="shared" si="43"/>
        <v>1440000</v>
      </c>
      <c r="P1675" s="5" t="s">
        <v>393</v>
      </c>
      <c r="Q1675" s="5" t="s">
        <v>766</v>
      </c>
      <c r="R1675" s="11" t="s">
        <v>715</v>
      </c>
      <c r="S1675" s="22">
        <v>0</v>
      </c>
    </row>
    <row r="1676" spans="1:19" s="32" customFormat="1" ht="53.25" customHeight="1">
      <c r="A1676" s="5">
        <v>1661</v>
      </c>
      <c r="B1676" s="15" t="s">
        <v>710</v>
      </c>
      <c r="C1676" s="31" t="s">
        <v>597</v>
      </c>
      <c r="D1676" s="31" t="s">
        <v>707</v>
      </c>
      <c r="E1676" s="57" t="s">
        <v>2056</v>
      </c>
      <c r="F1676" s="57" t="s">
        <v>708</v>
      </c>
      <c r="G1676" s="57" t="s">
        <v>2056</v>
      </c>
      <c r="H1676" s="57" t="s">
        <v>708</v>
      </c>
      <c r="I1676" s="57" t="s">
        <v>2057</v>
      </c>
      <c r="J1676" s="57" t="s">
        <v>96</v>
      </c>
      <c r="K1676" s="57" t="s">
        <v>591</v>
      </c>
      <c r="L1676" s="11" t="s">
        <v>914</v>
      </c>
      <c r="M1676" s="22">
        <v>1</v>
      </c>
      <c r="N1676" s="46">
        <f t="shared" si="42"/>
        <v>1440000</v>
      </c>
      <c r="O1676" s="49">
        <f t="shared" si="43"/>
        <v>1440000</v>
      </c>
      <c r="P1676" s="5" t="s">
        <v>393</v>
      </c>
      <c r="Q1676" s="5" t="s">
        <v>766</v>
      </c>
      <c r="R1676" s="11">
        <v>551000000</v>
      </c>
      <c r="S1676" s="22">
        <v>0</v>
      </c>
    </row>
    <row r="1677" spans="1:19" s="13" customFormat="1" ht="54" customHeight="1">
      <c r="A1677" s="5">
        <v>1662</v>
      </c>
      <c r="B1677" s="15" t="s">
        <v>941</v>
      </c>
      <c r="C1677" s="5" t="s">
        <v>597</v>
      </c>
      <c r="D1677" s="31" t="s">
        <v>707</v>
      </c>
      <c r="E1677" s="57" t="s">
        <v>2056</v>
      </c>
      <c r="F1677" s="57" t="s">
        <v>708</v>
      </c>
      <c r="G1677" s="57" t="s">
        <v>2056</v>
      </c>
      <c r="H1677" s="57" t="s">
        <v>708</v>
      </c>
      <c r="I1677" s="57" t="s">
        <v>2057</v>
      </c>
      <c r="J1677" s="57" t="s">
        <v>96</v>
      </c>
      <c r="K1677" s="57" t="s">
        <v>591</v>
      </c>
      <c r="L1677" s="11" t="s">
        <v>914</v>
      </c>
      <c r="M1677" s="22">
        <v>1</v>
      </c>
      <c r="N1677" s="46">
        <f t="shared" si="42"/>
        <v>1440000</v>
      </c>
      <c r="O1677" s="49">
        <f t="shared" si="43"/>
        <v>1440000</v>
      </c>
      <c r="P1677" s="5" t="s">
        <v>393</v>
      </c>
      <c r="Q1677" s="5" t="s">
        <v>766</v>
      </c>
      <c r="R1677" s="11">
        <v>591000000</v>
      </c>
      <c r="S1677" s="22">
        <v>0</v>
      </c>
    </row>
    <row r="1678" spans="1:19" s="13" customFormat="1" ht="58.5" customHeight="1">
      <c r="A1678" s="5">
        <v>1663</v>
      </c>
      <c r="B1678" s="15" t="s">
        <v>710</v>
      </c>
      <c r="C1678" s="31" t="s">
        <v>597</v>
      </c>
      <c r="D1678" s="31" t="s">
        <v>707</v>
      </c>
      <c r="E1678" s="57" t="s">
        <v>2056</v>
      </c>
      <c r="F1678" s="57" t="s">
        <v>708</v>
      </c>
      <c r="G1678" s="57" t="s">
        <v>2056</v>
      </c>
      <c r="H1678" s="57" t="s">
        <v>708</v>
      </c>
      <c r="I1678" s="57" t="s">
        <v>2057</v>
      </c>
      <c r="J1678" s="57" t="s">
        <v>96</v>
      </c>
      <c r="K1678" s="57" t="s">
        <v>591</v>
      </c>
      <c r="L1678" s="11" t="s">
        <v>914</v>
      </c>
      <c r="M1678" s="22">
        <v>1</v>
      </c>
      <c r="N1678" s="46">
        <f t="shared" si="42"/>
        <v>1440000</v>
      </c>
      <c r="O1678" s="49">
        <f t="shared" si="43"/>
        <v>1440000</v>
      </c>
      <c r="P1678" s="5" t="s">
        <v>393</v>
      </c>
      <c r="Q1678" s="5" t="s">
        <v>766</v>
      </c>
      <c r="R1678" s="11" t="s">
        <v>2029</v>
      </c>
      <c r="S1678" s="5">
        <v>0</v>
      </c>
    </row>
    <row r="1679" spans="1:19" s="13" customFormat="1" ht="76.5">
      <c r="A1679" s="5">
        <v>1664</v>
      </c>
      <c r="B1679" s="29" t="s">
        <v>710</v>
      </c>
      <c r="C1679" s="35" t="s">
        <v>597</v>
      </c>
      <c r="D1679" s="31" t="s">
        <v>485</v>
      </c>
      <c r="E1679" s="57" t="s">
        <v>2059</v>
      </c>
      <c r="F1679" s="57" t="s">
        <v>487</v>
      </c>
      <c r="G1679" s="57" t="s">
        <v>2060</v>
      </c>
      <c r="H1679" s="57" t="s">
        <v>488</v>
      </c>
      <c r="I1679" s="57" t="s">
        <v>2058</v>
      </c>
      <c r="J1679" s="57" t="s">
        <v>107</v>
      </c>
      <c r="K1679" s="57" t="s">
        <v>591</v>
      </c>
      <c r="L1679" s="11" t="s">
        <v>914</v>
      </c>
      <c r="M1679" s="22">
        <v>1</v>
      </c>
      <c r="N1679" s="46">
        <v>550836</v>
      </c>
      <c r="O1679" s="49">
        <f t="shared" si="41"/>
        <v>550836</v>
      </c>
      <c r="P1679" s="5" t="s">
        <v>393</v>
      </c>
      <c r="Q1679" s="5" t="s">
        <v>766</v>
      </c>
      <c r="R1679" s="11" t="s">
        <v>2030</v>
      </c>
      <c r="S1679" s="22">
        <v>0</v>
      </c>
    </row>
    <row r="1680" spans="1:19" s="13" customFormat="1" ht="76.5">
      <c r="A1680" s="5">
        <v>1665</v>
      </c>
      <c r="B1680" s="15" t="s">
        <v>710</v>
      </c>
      <c r="C1680" s="31" t="s">
        <v>597</v>
      </c>
      <c r="D1680" s="31" t="s">
        <v>485</v>
      </c>
      <c r="E1680" s="57" t="s">
        <v>2059</v>
      </c>
      <c r="F1680" s="57" t="s">
        <v>487</v>
      </c>
      <c r="G1680" s="57" t="s">
        <v>2060</v>
      </c>
      <c r="H1680" s="57" t="s">
        <v>488</v>
      </c>
      <c r="I1680" s="57" t="s">
        <v>2058</v>
      </c>
      <c r="J1680" s="57" t="s">
        <v>107</v>
      </c>
      <c r="K1680" s="57" t="s">
        <v>591</v>
      </c>
      <c r="L1680" s="11" t="s">
        <v>914</v>
      </c>
      <c r="M1680" s="22">
        <v>1</v>
      </c>
      <c r="N1680" s="46">
        <v>625000</v>
      </c>
      <c r="O1680" s="49">
        <f t="shared" si="41"/>
        <v>625000</v>
      </c>
      <c r="P1680" s="5" t="s">
        <v>393</v>
      </c>
      <c r="Q1680" s="5" t="s">
        <v>766</v>
      </c>
      <c r="R1680" s="11" t="s">
        <v>1021</v>
      </c>
      <c r="S1680" s="5">
        <v>0</v>
      </c>
    </row>
    <row r="1681" spans="1:19" s="13" customFormat="1" ht="76.5">
      <c r="A1681" s="5">
        <v>1666</v>
      </c>
      <c r="B1681" s="15" t="s">
        <v>710</v>
      </c>
      <c r="C1681" s="31" t="s">
        <v>597</v>
      </c>
      <c r="D1681" s="31" t="s">
        <v>485</v>
      </c>
      <c r="E1681" s="57" t="s">
        <v>2059</v>
      </c>
      <c r="F1681" s="57" t="s">
        <v>487</v>
      </c>
      <c r="G1681" s="57" t="s">
        <v>2060</v>
      </c>
      <c r="H1681" s="57" t="s">
        <v>488</v>
      </c>
      <c r="I1681" s="57" t="s">
        <v>2058</v>
      </c>
      <c r="J1681" s="57" t="s">
        <v>107</v>
      </c>
      <c r="K1681" s="57" t="s">
        <v>591</v>
      </c>
      <c r="L1681" s="11" t="s">
        <v>914</v>
      </c>
      <c r="M1681" s="22">
        <v>1</v>
      </c>
      <c r="N1681" s="46">
        <v>549762</v>
      </c>
      <c r="O1681" s="49">
        <f t="shared" si="41"/>
        <v>549762</v>
      </c>
      <c r="P1681" s="5" t="s">
        <v>612</v>
      </c>
      <c r="Q1681" s="5" t="s">
        <v>766</v>
      </c>
      <c r="R1681" s="11" t="s">
        <v>789</v>
      </c>
      <c r="S1681" s="5">
        <v>0</v>
      </c>
    </row>
    <row r="1682" spans="1:19" s="13" customFormat="1" ht="76.5">
      <c r="A1682" s="5">
        <v>1667</v>
      </c>
      <c r="B1682" s="15" t="s">
        <v>710</v>
      </c>
      <c r="C1682" s="31" t="s">
        <v>597</v>
      </c>
      <c r="D1682" s="31" t="s">
        <v>485</v>
      </c>
      <c r="E1682" s="57" t="s">
        <v>2059</v>
      </c>
      <c r="F1682" s="57" t="s">
        <v>487</v>
      </c>
      <c r="G1682" s="57" t="s">
        <v>2060</v>
      </c>
      <c r="H1682" s="57" t="s">
        <v>488</v>
      </c>
      <c r="I1682" s="57" t="s">
        <v>2058</v>
      </c>
      <c r="J1682" s="57" t="s">
        <v>107</v>
      </c>
      <c r="K1682" s="57" t="s">
        <v>591</v>
      </c>
      <c r="L1682" s="11" t="s">
        <v>914</v>
      </c>
      <c r="M1682" s="22">
        <v>1</v>
      </c>
      <c r="N1682" s="46">
        <v>580714</v>
      </c>
      <c r="O1682" s="49">
        <f t="shared" si="41"/>
        <v>580714</v>
      </c>
      <c r="P1682" s="5" t="s">
        <v>393</v>
      </c>
      <c r="Q1682" s="5" t="s">
        <v>766</v>
      </c>
      <c r="R1682" s="11" t="s">
        <v>2023</v>
      </c>
      <c r="S1682" s="22">
        <v>100</v>
      </c>
    </row>
    <row r="1683" spans="1:19" ht="76.5">
      <c r="A1683" s="5">
        <v>1668</v>
      </c>
      <c r="B1683" s="15" t="s">
        <v>710</v>
      </c>
      <c r="C1683" s="31" t="s">
        <v>597</v>
      </c>
      <c r="D1683" s="31" t="s">
        <v>485</v>
      </c>
      <c r="E1683" s="57" t="s">
        <v>2059</v>
      </c>
      <c r="F1683" s="57" t="s">
        <v>487</v>
      </c>
      <c r="G1683" s="57" t="s">
        <v>2060</v>
      </c>
      <c r="H1683" s="57" t="s">
        <v>488</v>
      </c>
      <c r="I1683" s="57" t="s">
        <v>2058</v>
      </c>
      <c r="J1683" s="57" t="s">
        <v>107</v>
      </c>
      <c r="K1683" s="57" t="s">
        <v>591</v>
      </c>
      <c r="L1683" s="11" t="s">
        <v>914</v>
      </c>
      <c r="M1683" s="22">
        <v>1</v>
      </c>
      <c r="N1683" s="46">
        <v>600000</v>
      </c>
      <c r="O1683" s="49">
        <f t="shared" si="41"/>
        <v>600000</v>
      </c>
      <c r="P1683" s="5" t="s">
        <v>612</v>
      </c>
      <c r="Q1683" s="5" t="s">
        <v>766</v>
      </c>
      <c r="R1683" s="11" t="s">
        <v>633</v>
      </c>
      <c r="S1683" s="22">
        <v>0</v>
      </c>
    </row>
    <row r="1684" spans="1:19" s="34" customFormat="1" ht="76.5">
      <c r="A1684" s="5">
        <v>1669</v>
      </c>
      <c r="B1684" s="15" t="s">
        <v>710</v>
      </c>
      <c r="C1684" s="31" t="s">
        <v>597</v>
      </c>
      <c r="D1684" s="31" t="s">
        <v>485</v>
      </c>
      <c r="E1684" s="57" t="s">
        <v>2059</v>
      </c>
      <c r="F1684" s="57" t="s">
        <v>487</v>
      </c>
      <c r="G1684" s="57" t="s">
        <v>2060</v>
      </c>
      <c r="H1684" s="57" t="s">
        <v>488</v>
      </c>
      <c r="I1684" s="57" t="s">
        <v>2058</v>
      </c>
      <c r="J1684" s="57" t="s">
        <v>107</v>
      </c>
      <c r="K1684" s="57" t="s">
        <v>591</v>
      </c>
      <c r="L1684" s="11" t="s">
        <v>914</v>
      </c>
      <c r="M1684" s="22">
        <v>1</v>
      </c>
      <c r="N1684" s="46">
        <v>535714</v>
      </c>
      <c r="O1684" s="49">
        <f t="shared" si="41"/>
        <v>535714</v>
      </c>
      <c r="P1684" s="5" t="s">
        <v>391</v>
      </c>
      <c r="Q1684" s="5" t="s">
        <v>766</v>
      </c>
      <c r="R1684" s="11">
        <v>311000000</v>
      </c>
      <c r="S1684" s="22">
        <v>0</v>
      </c>
    </row>
    <row r="1685" spans="1:19" s="36" customFormat="1" ht="76.5">
      <c r="A1685" s="5">
        <v>1670</v>
      </c>
      <c r="B1685" s="15" t="s">
        <v>710</v>
      </c>
      <c r="C1685" s="31" t="s">
        <v>597</v>
      </c>
      <c r="D1685" s="31" t="s">
        <v>485</v>
      </c>
      <c r="E1685" s="57" t="s">
        <v>2059</v>
      </c>
      <c r="F1685" s="57" t="s">
        <v>487</v>
      </c>
      <c r="G1685" s="57" t="s">
        <v>2060</v>
      </c>
      <c r="H1685" s="57" t="s">
        <v>488</v>
      </c>
      <c r="I1685" s="57" t="s">
        <v>2058</v>
      </c>
      <c r="J1685" s="57" t="s">
        <v>107</v>
      </c>
      <c r="K1685" s="57" t="s">
        <v>591</v>
      </c>
      <c r="L1685" s="11" t="s">
        <v>914</v>
      </c>
      <c r="M1685" s="22">
        <v>1</v>
      </c>
      <c r="N1685" s="46">
        <v>616554</v>
      </c>
      <c r="O1685" s="49">
        <f t="shared" si="41"/>
        <v>616554</v>
      </c>
      <c r="P1685" s="5" t="s">
        <v>393</v>
      </c>
      <c r="Q1685" s="5" t="s">
        <v>766</v>
      </c>
      <c r="R1685" s="11" t="s">
        <v>2024</v>
      </c>
      <c r="S1685" s="22">
        <v>0</v>
      </c>
    </row>
    <row r="1686" spans="1:19" s="13" customFormat="1" ht="76.5">
      <c r="A1686" s="5">
        <v>1671</v>
      </c>
      <c r="B1686" s="15" t="s">
        <v>710</v>
      </c>
      <c r="C1686" s="31" t="s">
        <v>597</v>
      </c>
      <c r="D1686" s="31" t="s">
        <v>485</v>
      </c>
      <c r="E1686" s="57" t="s">
        <v>2059</v>
      </c>
      <c r="F1686" s="57" t="s">
        <v>487</v>
      </c>
      <c r="G1686" s="57" t="s">
        <v>2060</v>
      </c>
      <c r="H1686" s="57" t="s">
        <v>488</v>
      </c>
      <c r="I1686" s="57" t="s">
        <v>2058</v>
      </c>
      <c r="J1686" s="57" t="s">
        <v>107</v>
      </c>
      <c r="K1686" s="57" t="s">
        <v>591</v>
      </c>
      <c r="L1686" s="11" t="s">
        <v>914</v>
      </c>
      <c r="M1686" s="22">
        <v>1</v>
      </c>
      <c r="N1686" s="46">
        <v>535714</v>
      </c>
      <c r="O1686" s="49">
        <f t="shared" si="41"/>
        <v>535714</v>
      </c>
      <c r="P1686" s="5" t="s">
        <v>393</v>
      </c>
      <c r="Q1686" s="5" t="s">
        <v>766</v>
      </c>
      <c r="R1686" s="11">
        <v>351000000</v>
      </c>
      <c r="S1686" s="22">
        <v>0</v>
      </c>
    </row>
    <row r="1687" spans="1:19" ht="76.5">
      <c r="A1687" s="5">
        <v>1672</v>
      </c>
      <c r="B1687" s="15" t="s">
        <v>710</v>
      </c>
      <c r="C1687" s="31" t="s">
        <v>597</v>
      </c>
      <c r="D1687" s="31" t="s">
        <v>485</v>
      </c>
      <c r="E1687" s="57" t="s">
        <v>2059</v>
      </c>
      <c r="F1687" s="57" t="s">
        <v>487</v>
      </c>
      <c r="G1687" s="57" t="s">
        <v>2060</v>
      </c>
      <c r="H1687" s="57" t="s">
        <v>488</v>
      </c>
      <c r="I1687" s="57" t="s">
        <v>2058</v>
      </c>
      <c r="J1687" s="57" t="s">
        <v>107</v>
      </c>
      <c r="K1687" s="57" t="s">
        <v>591</v>
      </c>
      <c r="L1687" s="11" t="s">
        <v>914</v>
      </c>
      <c r="M1687" s="22">
        <v>1</v>
      </c>
      <c r="N1687" s="46">
        <v>625000</v>
      </c>
      <c r="O1687" s="49">
        <f t="shared" si="41"/>
        <v>625000</v>
      </c>
      <c r="P1687" s="5" t="s">
        <v>515</v>
      </c>
      <c r="Q1687" s="5" t="s">
        <v>766</v>
      </c>
      <c r="R1687" s="11" t="s">
        <v>925</v>
      </c>
      <c r="S1687" s="22">
        <v>50</v>
      </c>
    </row>
    <row r="1688" spans="1:19" s="13" customFormat="1" ht="76.5">
      <c r="A1688" s="5">
        <v>1673</v>
      </c>
      <c r="B1688" s="15" t="s">
        <v>710</v>
      </c>
      <c r="C1688" s="31" t="s">
        <v>597</v>
      </c>
      <c r="D1688" s="31" t="s">
        <v>485</v>
      </c>
      <c r="E1688" s="57" t="s">
        <v>2059</v>
      </c>
      <c r="F1688" s="57" t="s">
        <v>487</v>
      </c>
      <c r="G1688" s="57" t="s">
        <v>2060</v>
      </c>
      <c r="H1688" s="57" t="s">
        <v>488</v>
      </c>
      <c r="I1688" s="57" t="s">
        <v>2058</v>
      </c>
      <c r="J1688" s="57" t="s">
        <v>107</v>
      </c>
      <c r="K1688" s="57" t="s">
        <v>591</v>
      </c>
      <c r="L1688" s="11" t="s">
        <v>914</v>
      </c>
      <c r="M1688" s="22">
        <v>1</v>
      </c>
      <c r="N1688" s="46">
        <v>625000</v>
      </c>
      <c r="O1688" s="49">
        <f t="shared" si="41"/>
        <v>625000</v>
      </c>
      <c r="P1688" s="5" t="s">
        <v>393</v>
      </c>
      <c r="Q1688" s="5" t="s">
        <v>766</v>
      </c>
      <c r="R1688" s="11">
        <v>431000000</v>
      </c>
      <c r="S1688" s="22">
        <v>0</v>
      </c>
    </row>
    <row r="1689" spans="1:19" ht="76.5">
      <c r="A1689" s="5">
        <v>1674</v>
      </c>
      <c r="B1689" s="29" t="s">
        <v>710</v>
      </c>
      <c r="C1689" s="35" t="s">
        <v>597</v>
      </c>
      <c r="D1689" s="31" t="s">
        <v>485</v>
      </c>
      <c r="E1689" s="57" t="s">
        <v>2059</v>
      </c>
      <c r="F1689" s="57" t="s">
        <v>487</v>
      </c>
      <c r="G1689" s="57" t="s">
        <v>2060</v>
      </c>
      <c r="H1689" s="57" t="s">
        <v>488</v>
      </c>
      <c r="I1689" s="57" t="s">
        <v>2058</v>
      </c>
      <c r="J1689" s="57" t="s">
        <v>107</v>
      </c>
      <c r="K1689" s="57" t="s">
        <v>591</v>
      </c>
      <c r="L1689" s="11" t="s">
        <v>914</v>
      </c>
      <c r="M1689" s="22">
        <v>1</v>
      </c>
      <c r="N1689" s="46">
        <v>535714</v>
      </c>
      <c r="O1689" s="49">
        <f t="shared" si="41"/>
        <v>535714</v>
      </c>
      <c r="P1689" s="5" t="s">
        <v>393</v>
      </c>
      <c r="Q1689" s="5" t="s">
        <v>766</v>
      </c>
      <c r="R1689" s="11" t="s">
        <v>715</v>
      </c>
      <c r="S1689" s="22">
        <v>0</v>
      </c>
    </row>
    <row r="1690" spans="1:19" s="32" customFormat="1" ht="76.5">
      <c r="A1690" s="5">
        <v>1675</v>
      </c>
      <c r="B1690" s="15" t="s">
        <v>710</v>
      </c>
      <c r="C1690" s="31" t="s">
        <v>597</v>
      </c>
      <c r="D1690" s="31" t="s">
        <v>485</v>
      </c>
      <c r="E1690" s="57" t="s">
        <v>2059</v>
      </c>
      <c r="F1690" s="57" t="s">
        <v>487</v>
      </c>
      <c r="G1690" s="57" t="s">
        <v>2060</v>
      </c>
      <c r="H1690" s="57" t="s">
        <v>488</v>
      </c>
      <c r="I1690" s="57" t="s">
        <v>2058</v>
      </c>
      <c r="J1690" s="57" t="s">
        <v>107</v>
      </c>
      <c r="K1690" s="57" t="s">
        <v>591</v>
      </c>
      <c r="L1690" s="11" t="s">
        <v>914</v>
      </c>
      <c r="M1690" s="22">
        <v>1</v>
      </c>
      <c r="N1690" s="46">
        <v>535714</v>
      </c>
      <c r="O1690" s="49">
        <f t="shared" si="41"/>
        <v>535714</v>
      </c>
      <c r="P1690" s="5" t="s">
        <v>393</v>
      </c>
      <c r="Q1690" s="5" t="s">
        <v>766</v>
      </c>
      <c r="R1690" s="11">
        <v>551000000</v>
      </c>
      <c r="S1690" s="22">
        <v>0</v>
      </c>
    </row>
    <row r="1691" spans="1:19" s="13" customFormat="1" ht="76.5">
      <c r="A1691" s="5">
        <v>1676</v>
      </c>
      <c r="B1691" s="15" t="s">
        <v>941</v>
      </c>
      <c r="C1691" s="5" t="s">
        <v>597</v>
      </c>
      <c r="D1691" s="31" t="s">
        <v>485</v>
      </c>
      <c r="E1691" s="57" t="s">
        <v>2059</v>
      </c>
      <c r="F1691" s="57" t="s">
        <v>487</v>
      </c>
      <c r="G1691" s="57" t="s">
        <v>2060</v>
      </c>
      <c r="H1691" s="57" t="s">
        <v>488</v>
      </c>
      <c r="I1691" s="57" t="s">
        <v>2058</v>
      </c>
      <c r="J1691" s="57" t="s">
        <v>107</v>
      </c>
      <c r="K1691" s="57" t="s">
        <v>591</v>
      </c>
      <c r="L1691" s="11" t="s">
        <v>914</v>
      </c>
      <c r="M1691" s="22">
        <v>1</v>
      </c>
      <c r="N1691" s="46">
        <v>513393</v>
      </c>
      <c r="O1691" s="49">
        <f t="shared" si="41"/>
        <v>513393</v>
      </c>
      <c r="P1691" s="5" t="s">
        <v>391</v>
      </c>
      <c r="Q1691" s="5" t="s">
        <v>766</v>
      </c>
      <c r="R1691" s="11">
        <v>591000000</v>
      </c>
      <c r="S1691" s="22">
        <v>100</v>
      </c>
    </row>
    <row r="1692" spans="1:19" s="13" customFormat="1" ht="76.5">
      <c r="A1692" s="5">
        <v>1677</v>
      </c>
      <c r="B1692" s="15" t="s">
        <v>710</v>
      </c>
      <c r="C1692" s="31" t="s">
        <v>597</v>
      </c>
      <c r="D1692" s="31" t="s">
        <v>485</v>
      </c>
      <c r="E1692" s="57" t="s">
        <v>2059</v>
      </c>
      <c r="F1692" s="57" t="s">
        <v>487</v>
      </c>
      <c r="G1692" s="57" t="s">
        <v>2060</v>
      </c>
      <c r="H1692" s="57" t="s">
        <v>488</v>
      </c>
      <c r="I1692" s="57" t="s">
        <v>2058</v>
      </c>
      <c r="J1692" s="57" t="s">
        <v>107</v>
      </c>
      <c r="K1692" s="57" t="s">
        <v>591</v>
      </c>
      <c r="L1692" s="11" t="s">
        <v>914</v>
      </c>
      <c r="M1692" s="22">
        <v>1</v>
      </c>
      <c r="N1692" s="46">
        <f>O1692/M1692</f>
        <v>224107</v>
      </c>
      <c r="O1692" s="49">
        <f>508929-84822-200000</f>
        <v>224107</v>
      </c>
      <c r="P1692" s="5" t="s">
        <v>515</v>
      </c>
      <c r="Q1692" s="5" t="s">
        <v>766</v>
      </c>
      <c r="R1692" s="11" t="s">
        <v>2029</v>
      </c>
      <c r="S1692" s="5">
        <v>0</v>
      </c>
    </row>
    <row r="1693" spans="1:19" s="13" customFormat="1" ht="51">
      <c r="A1693" s="5">
        <v>1678</v>
      </c>
      <c r="B1693" s="29" t="s">
        <v>710</v>
      </c>
      <c r="C1693" s="35" t="s">
        <v>597</v>
      </c>
      <c r="D1693" s="31" t="s">
        <v>489</v>
      </c>
      <c r="E1693" s="57" t="s">
        <v>2034</v>
      </c>
      <c r="F1693" s="57" t="s">
        <v>490</v>
      </c>
      <c r="G1693" s="57" t="s">
        <v>2034</v>
      </c>
      <c r="H1693" s="57" t="s">
        <v>491</v>
      </c>
      <c r="I1693" s="57" t="s">
        <v>2033</v>
      </c>
      <c r="J1693" s="57" t="s">
        <v>110</v>
      </c>
      <c r="K1693" s="57" t="s">
        <v>591</v>
      </c>
      <c r="L1693" s="11" t="s">
        <v>914</v>
      </c>
      <c r="M1693" s="22">
        <v>1</v>
      </c>
      <c r="N1693" s="46">
        <v>171429</v>
      </c>
      <c r="O1693" s="49">
        <f t="shared" si="41"/>
        <v>171429</v>
      </c>
      <c r="P1693" s="5" t="s">
        <v>393</v>
      </c>
      <c r="Q1693" s="5" t="s">
        <v>766</v>
      </c>
      <c r="R1693" s="11" t="s">
        <v>2030</v>
      </c>
      <c r="S1693" s="22">
        <v>0</v>
      </c>
    </row>
    <row r="1694" spans="1:19" s="13" customFormat="1" ht="51">
      <c r="A1694" s="5">
        <v>1679</v>
      </c>
      <c r="B1694" s="15" t="s">
        <v>710</v>
      </c>
      <c r="C1694" s="31" t="s">
        <v>597</v>
      </c>
      <c r="D1694" s="31" t="s">
        <v>1040</v>
      </c>
      <c r="E1694" s="57" t="s">
        <v>2034</v>
      </c>
      <c r="F1694" s="57" t="s">
        <v>490</v>
      </c>
      <c r="G1694" s="57" t="s">
        <v>2034</v>
      </c>
      <c r="H1694" s="57" t="s">
        <v>491</v>
      </c>
      <c r="I1694" s="57" t="s">
        <v>2033</v>
      </c>
      <c r="J1694" s="57" t="s">
        <v>110</v>
      </c>
      <c r="K1694" s="57" t="s">
        <v>591</v>
      </c>
      <c r="L1694" s="11" t="s">
        <v>914</v>
      </c>
      <c r="M1694" s="22">
        <v>1</v>
      </c>
      <c r="N1694" s="46">
        <v>171429</v>
      </c>
      <c r="O1694" s="49">
        <f t="shared" si="41"/>
        <v>171429</v>
      </c>
      <c r="P1694" s="5" t="s">
        <v>393</v>
      </c>
      <c r="Q1694" s="5" t="s">
        <v>766</v>
      </c>
      <c r="R1694" s="11" t="s">
        <v>1021</v>
      </c>
      <c r="S1694" s="5">
        <v>0</v>
      </c>
    </row>
    <row r="1695" spans="1:19" s="13" customFormat="1" ht="51">
      <c r="A1695" s="5">
        <v>1680</v>
      </c>
      <c r="B1695" s="15" t="s">
        <v>710</v>
      </c>
      <c r="C1695" s="31" t="s">
        <v>597</v>
      </c>
      <c r="D1695" s="31" t="s">
        <v>489</v>
      </c>
      <c r="E1695" s="57" t="s">
        <v>2034</v>
      </c>
      <c r="F1695" s="57" t="s">
        <v>490</v>
      </c>
      <c r="G1695" s="57" t="s">
        <v>2034</v>
      </c>
      <c r="H1695" s="57" t="s">
        <v>491</v>
      </c>
      <c r="I1695" s="57" t="s">
        <v>2033</v>
      </c>
      <c r="J1695" s="57" t="s">
        <v>110</v>
      </c>
      <c r="K1695" s="57" t="s">
        <v>591</v>
      </c>
      <c r="L1695" s="11" t="s">
        <v>914</v>
      </c>
      <c r="M1695" s="22">
        <v>1</v>
      </c>
      <c r="N1695" s="46">
        <v>171429</v>
      </c>
      <c r="O1695" s="49">
        <f t="shared" si="41"/>
        <v>171429</v>
      </c>
      <c r="P1695" s="5" t="s">
        <v>393</v>
      </c>
      <c r="Q1695" s="5" t="s">
        <v>766</v>
      </c>
      <c r="R1695" s="11" t="s">
        <v>789</v>
      </c>
      <c r="S1695" s="5">
        <v>0</v>
      </c>
    </row>
    <row r="1696" spans="1:19" s="13" customFormat="1" ht="51">
      <c r="A1696" s="5">
        <v>1681</v>
      </c>
      <c r="B1696" s="15" t="s">
        <v>710</v>
      </c>
      <c r="C1696" s="31" t="s">
        <v>597</v>
      </c>
      <c r="D1696" s="31" t="s">
        <v>489</v>
      </c>
      <c r="E1696" s="57" t="s">
        <v>2034</v>
      </c>
      <c r="F1696" s="57" t="s">
        <v>490</v>
      </c>
      <c r="G1696" s="57" t="s">
        <v>2034</v>
      </c>
      <c r="H1696" s="57" t="s">
        <v>491</v>
      </c>
      <c r="I1696" s="57" t="s">
        <v>2033</v>
      </c>
      <c r="J1696" s="57" t="s">
        <v>110</v>
      </c>
      <c r="K1696" s="57" t="s">
        <v>591</v>
      </c>
      <c r="L1696" s="11" t="s">
        <v>914</v>
      </c>
      <c r="M1696" s="22">
        <v>1</v>
      </c>
      <c r="N1696" s="46">
        <v>171429</v>
      </c>
      <c r="O1696" s="49">
        <f t="shared" si="41"/>
        <v>171429</v>
      </c>
      <c r="P1696" s="5" t="s">
        <v>393</v>
      </c>
      <c r="Q1696" s="5" t="s">
        <v>766</v>
      </c>
      <c r="R1696" s="11" t="s">
        <v>2023</v>
      </c>
      <c r="S1696" s="22">
        <v>100</v>
      </c>
    </row>
    <row r="1697" spans="1:19" ht="51">
      <c r="A1697" s="5">
        <v>1682</v>
      </c>
      <c r="B1697" s="15" t="s">
        <v>710</v>
      </c>
      <c r="C1697" s="31" t="s">
        <v>597</v>
      </c>
      <c r="D1697" s="31" t="s">
        <v>489</v>
      </c>
      <c r="E1697" s="57" t="s">
        <v>2034</v>
      </c>
      <c r="F1697" s="57" t="s">
        <v>490</v>
      </c>
      <c r="G1697" s="57" t="s">
        <v>2034</v>
      </c>
      <c r="H1697" s="57" t="s">
        <v>491</v>
      </c>
      <c r="I1697" s="57" t="s">
        <v>2033</v>
      </c>
      <c r="J1697" s="57" t="s">
        <v>110</v>
      </c>
      <c r="K1697" s="57" t="s">
        <v>591</v>
      </c>
      <c r="L1697" s="11" t="s">
        <v>914</v>
      </c>
      <c r="M1697" s="22">
        <v>1</v>
      </c>
      <c r="N1697" s="46">
        <v>171429</v>
      </c>
      <c r="O1697" s="49">
        <f t="shared" si="41"/>
        <v>171429</v>
      </c>
      <c r="P1697" s="5" t="s">
        <v>393</v>
      </c>
      <c r="Q1697" s="5" t="s">
        <v>766</v>
      </c>
      <c r="R1697" s="11" t="s">
        <v>633</v>
      </c>
      <c r="S1697" s="22">
        <v>0</v>
      </c>
    </row>
    <row r="1698" spans="1:19" s="34" customFormat="1" ht="51">
      <c r="A1698" s="5">
        <v>1683</v>
      </c>
      <c r="B1698" s="15" t="s">
        <v>710</v>
      </c>
      <c r="C1698" s="31" t="s">
        <v>597</v>
      </c>
      <c r="D1698" s="31" t="s">
        <v>489</v>
      </c>
      <c r="E1698" s="57" t="s">
        <v>2034</v>
      </c>
      <c r="F1698" s="57" t="s">
        <v>490</v>
      </c>
      <c r="G1698" s="57" t="s">
        <v>2034</v>
      </c>
      <c r="H1698" s="57" t="s">
        <v>491</v>
      </c>
      <c r="I1698" s="57" t="s">
        <v>2033</v>
      </c>
      <c r="J1698" s="57" t="s">
        <v>110</v>
      </c>
      <c r="K1698" s="57" t="s">
        <v>591</v>
      </c>
      <c r="L1698" s="11" t="s">
        <v>914</v>
      </c>
      <c r="M1698" s="22">
        <v>1</v>
      </c>
      <c r="N1698" s="46">
        <v>171429</v>
      </c>
      <c r="O1698" s="49">
        <f t="shared" si="41"/>
        <v>171429</v>
      </c>
      <c r="P1698" s="5" t="s">
        <v>393</v>
      </c>
      <c r="Q1698" s="5" t="s">
        <v>766</v>
      </c>
      <c r="R1698" s="11">
        <v>311000000</v>
      </c>
      <c r="S1698" s="22">
        <v>0</v>
      </c>
    </row>
    <row r="1699" spans="1:19" s="36" customFormat="1" ht="51">
      <c r="A1699" s="5">
        <v>1684</v>
      </c>
      <c r="B1699" s="15" t="s">
        <v>710</v>
      </c>
      <c r="C1699" s="31" t="s">
        <v>597</v>
      </c>
      <c r="D1699" s="31" t="s">
        <v>489</v>
      </c>
      <c r="E1699" s="57" t="s">
        <v>2034</v>
      </c>
      <c r="F1699" s="57" t="s">
        <v>490</v>
      </c>
      <c r="G1699" s="57" t="s">
        <v>2034</v>
      </c>
      <c r="H1699" s="57" t="s">
        <v>491</v>
      </c>
      <c r="I1699" s="57" t="s">
        <v>2033</v>
      </c>
      <c r="J1699" s="57" t="s">
        <v>110</v>
      </c>
      <c r="K1699" s="57" t="s">
        <v>591</v>
      </c>
      <c r="L1699" s="11" t="s">
        <v>914</v>
      </c>
      <c r="M1699" s="22">
        <v>1</v>
      </c>
      <c r="N1699" s="46">
        <v>171429</v>
      </c>
      <c r="O1699" s="49">
        <f t="shared" si="41"/>
        <v>171429</v>
      </c>
      <c r="P1699" s="5" t="s">
        <v>393</v>
      </c>
      <c r="Q1699" s="5" t="s">
        <v>766</v>
      </c>
      <c r="R1699" s="11" t="s">
        <v>2024</v>
      </c>
      <c r="S1699" s="22">
        <v>0</v>
      </c>
    </row>
    <row r="1700" spans="1:19" s="13" customFormat="1" ht="51">
      <c r="A1700" s="5">
        <v>1685</v>
      </c>
      <c r="B1700" s="15" t="s">
        <v>710</v>
      </c>
      <c r="C1700" s="31" t="s">
        <v>597</v>
      </c>
      <c r="D1700" s="31" t="s">
        <v>489</v>
      </c>
      <c r="E1700" s="57" t="s">
        <v>2034</v>
      </c>
      <c r="F1700" s="57" t="s">
        <v>490</v>
      </c>
      <c r="G1700" s="57" t="s">
        <v>2034</v>
      </c>
      <c r="H1700" s="57" t="s">
        <v>491</v>
      </c>
      <c r="I1700" s="57" t="s">
        <v>2033</v>
      </c>
      <c r="J1700" s="57" t="s">
        <v>110</v>
      </c>
      <c r="K1700" s="57" t="s">
        <v>591</v>
      </c>
      <c r="L1700" s="11" t="s">
        <v>914</v>
      </c>
      <c r="M1700" s="22">
        <v>1</v>
      </c>
      <c r="N1700" s="46">
        <v>171429</v>
      </c>
      <c r="O1700" s="49">
        <f t="shared" si="41"/>
        <v>171429</v>
      </c>
      <c r="P1700" s="5" t="s">
        <v>393</v>
      </c>
      <c r="Q1700" s="5" t="s">
        <v>766</v>
      </c>
      <c r="R1700" s="11">
        <v>351000000</v>
      </c>
      <c r="S1700" s="22">
        <v>0</v>
      </c>
    </row>
    <row r="1701" spans="1:19" ht="51">
      <c r="A1701" s="5">
        <v>1686</v>
      </c>
      <c r="B1701" s="15" t="s">
        <v>710</v>
      </c>
      <c r="C1701" s="31" t="s">
        <v>597</v>
      </c>
      <c r="D1701" s="31" t="s">
        <v>936</v>
      </c>
      <c r="E1701" s="57" t="s">
        <v>2034</v>
      </c>
      <c r="F1701" s="57" t="s">
        <v>490</v>
      </c>
      <c r="G1701" s="57" t="s">
        <v>2034</v>
      </c>
      <c r="H1701" s="57" t="s">
        <v>491</v>
      </c>
      <c r="I1701" s="57" t="s">
        <v>2033</v>
      </c>
      <c r="J1701" s="57" t="s">
        <v>110</v>
      </c>
      <c r="K1701" s="57" t="s">
        <v>591</v>
      </c>
      <c r="L1701" s="11" t="s">
        <v>914</v>
      </c>
      <c r="M1701" s="22">
        <v>1</v>
      </c>
      <c r="N1701" s="46">
        <v>171429</v>
      </c>
      <c r="O1701" s="49">
        <f t="shared" si="41"/>
        <v>171429</v>
      </c>
      <c r="P1701" s="5" t="s">
        <v>612</v>
      </c>
      <c r="Q1701" s="5" t="s">
        <v>766</v>
      </c>
      <c r="R1701" s="11" t="s">
        <v>925</v>
      </c>
      <c r="S1701" s="22">
        <v>0</v>
      </c>
    </row>
    <row r="1702" spans="1:19" s="13" customFormat="1" ht="51">
      <c r="A1702" s="5">
        <v>1687</v>
      </c>
      <c r="B1702" s="15" t="s">
        <v>710</v>
      </c>
      <c r="C1702" s="31" t="s">
        <v>597</v>
      </c>
      <c r="D1702" s="31" t="s">
        <v>489</v>
      </c>
      <c r="E1702" s="57" t="s">
        <v>2034</v>
      </c>
      <c r="F1702" s="57" t="s">
        <v>490</v>
      </c>
      <c r="G1702" s="57" t="s">
        <v>2034</v>
      </c>
      <c r="H1702" s="57" t="s">
        <v>491</v>
      </c>
      <c r="I1702" s="57" t="s">
        <v>2033</v>
      </c>
      <c r="J1702" s="57" t="s">
        <v>110</v>
      </c>
      <c r="K1702" s="57" t="s">
        <v>591</v>
      </c>
      <c r="L1702" s="11" t="s">
        <v>914</v>
      </c>
      <c r="M1702" s="22">
        <v>1</v>
      </c>
      <c r="N1702" s="46">
        <f>O1702/M1702</f>
        <v>128571.75</v>
      </c>
      <c r="O1702" s="49">
        <f>171429-42857.25</f>
        <v>128571.75</v>
      </c>
      <c r="P1702" s="5" t="s">
        <v>612</v>
      </c>
      <c r="Q1702" s="5" t="s">
        <v>766</v>
      </c>
      <c r="R1702" s="11">
        <v>431000000</v>
      </c>
      <c r="S1702" s="22">
        <v>0</v>
      </c>
    </row>
    <row r="1703" spans="1:19" ht="51">
      <c r="A1703" s="5">
        <v>1688</v>
      </c>
      <c r="B1703" s="29" t="s">
        <v>710</v>
      </c>
      <c r="C1703" s="35" t="s">
        <v>597</v>
      </c>
      <c r="D1703" s="31" t="s">
        <v>489</v>
      </c>
      <c r="E1703" s="57" t="s">
        <v>2034</v>
      </c>
      <c r="F1703" s="57" t="s">
        <v>490</v>
      </c>
      <c r="G1703" s="57" t="s">
        <v>2034</v>
      </c>
      <c r="H1703" s="57" t="s">
        <v>491</v>
      </c>
      <c r="I1703" s="57" t="s">
        <v>2033</v>
      </c>
      <c r="J1703" s="57" t="s">
        <v>110</v>
      </c>
      <c r="K1703" s="57" t="s">
        <v>591</v>
      </c>
      <c r="L1703" s="11" t="s">
        <v>914</v>
      </c>
      <c r="M1703" s="22">
        <v>1</v>
      </c>
      <c r="N1703" s="46">
        <v>171429</v>
      </c>
      <c r="O1703" s="49">
        <f t="shared" si="41"/>
        <v>171429</v>
      </c>
      <c r="P1703" s="5" t="s">
        <v>393</v>
      </c>
      <c r="Q1703" s="5" t="s">
        <v>766</v>
      </c>
      <c r="R1703" s="11" t="s">
        <v>715</v>
      </c>
      <c r="S1703" s="22">
        <v>100</v>
      </c>
    </row>
    <row r="1704" spans="1:19" s="32" customFormat="1" ht="57" customHeight="1">
      <c r="A1704" s="5">
        <v>1689</v>
      </c>
      <c r="B1704" s="15" t="s">
        <v>710</v>
      </c>
      <c r="C1704" s="31" t="s">
        <v>597</v>
      </c>
      <c r="D1704" s="31" t="s">
        <v>489</v>
      </c>
      <c r="E1704" s="57" t="s">
        <v>2034</v>
      </c>
      <c r="F1704" s="57" t="s">
        <v>490</v>
      </c>
      <c r="G1704" s="57" t="s">
        <v>2034</v>
      </c>
      <c r="H1704" s="57" t="s">
        <v>491</v>
      </c>
      <c r="I1704" s="57" t="s">
        <v>2033</v>
      </c>
      <c r="J1704" s="57" t="s">
        <v>110</v>
      </c>
      <c r="K1704" s="57" t="s">
        <v>591</v>
      </c>
      <c r="L1704" s="11" t="s">
        <v>914</v>
      </c>
      <c r="M1704" s="22">
        <v>1</v>
      </c>
      <c r="N1704" s="46">
        <v>171429</v>
      </c>
      <c r="O1704" s="49">
        <f t="shared" si="41"/>
        <v>171429</v>
      </c>
      <c r="P1704" s="5" t="s">
        <v>393</v>
      </c>
      <c r="Q1704" s="5" t="s">
        <v>766</v>
      </c>
      <c r="R1704" s="11">
        <v>551000000</v>
      </c>
      <c r="S1704" s="22">
        <v>0</v>
      </c>
    </row>
    <row r="1705" spans="1:19" s="13" customFormat="1" ht="51">
      <c r="A1705" s="5">
        <v>1690</v>
      </c>
      <c r="B1705" s="15" t="s">
        <v>941</v>
      </c>
      <c r="C1705" s="5" t="s">
        <v>597</v>
      </c>
      <c r="D1705" s="31" t="s">
        <v>489</v>
      </c>
      <c r="E1705" s="57" t="s">
        <v>2034</v>
      </c>
      <c r="F1705" s="57" t="s">
        <v>490</v>
      </c>
      <c r="G1705" s="57" t="s">
        <v>2034</v>
      </c>
      <c r="H1705" s="57" t="s">
        <v>491</v>
      </c>
      <c r="I1705" s="57" t="s">
        <v>2033</v>
      </c>
      <c r="J1705" s="57" t="s">
        <v>110</v>
      </c>
      <c r="K1705" s="57" t="s">
        <v>591</v>
      </c>
      <c r="L1705" s="11" t="s">
        <v>914</v>
      </c>
      <c r="M1705" s="22">
        <v>1</v>
      </c>
      <c r="N1705" s="46">
        <v>171429</v>
      </c>
      <c r="O1705" s="49">
        <f t="shared" si="41"/>
        <v>171429</v>
      </c>
      <c r="P1705" s="5" t="s">
        <v>393</v>
      </c>
      <c r="Q1705" s="5" t="s">
        <v>766</v>
      </c>
      <c r="R1705" s="11">
        <v>591000000</v>
      </c>
      <c r="S1705" s="22">
        <v>0</v>
      </c>
    </row>
    <row r="1706" spans="1:19" s="13" customFormat="1" ht="51">
      <c r="A1706" s="5">
        <v>1691</v>
      </c>
      <c r="B1706" s="15" t="s">
        <v>710</v>
      </c>
      <c r="C1706" s="31" t="s">
        <v>597</v>
      </c>
      <c r="D1706" s="31" t="s">
        <v>489</v>
      </c>
      <c r="E1706" s="57" t="s">
        <v>2034</v>
      </c>
      <c r="F1706" s="57" t="s">
        <v>490</v>
      </c>
      <c r="G1706" s="57" t="s">
        <v>2034</v>
      </c>
      <c r="H1706" s="57" t="s">
        <v>491</v>
      </c>
      <c r="I1706" s="57" t="s">
        <v>2033</v>
      </c>
      <c r="J1706" s="57" t="s">
        <v>110</v>
      </c>
      <c r="K1706" s="57" t="s">
        <v>591</v>
      </c>
      <c r="L1706" s="11" t="s">
        <v>914</v>
      </c>
      <c r="M1706" s="22">
        <v>1</v>
      </c>
      <c r="N1706" s="46">
        <f>O1706/M1706</f>
        <v>142857</v>
      </c>
      <c r="O1706" s="49">
        <f>171429-28572</f>
        <v>142857</v>
      </c>
      <c r="P1706" s="5" t="s">
        <v>515</v>
      </c>
      <c r="Q1706" s="5" t="s">
        <v>766</v>
      </c>
      <c r="R1706" s="11" t="s">
        <v>2029</v>
      </c>
      <c r="S1706" s="5">
        <v>0</v>
      </c>
    </row>
    <row r="1707" spans="1:19" s="13" customFormat="1" ht="51">
      <c r="A1707" s="5">
        <v>1692</v>
      </c>
      <c r="B1707" s="29" t="s">
        <v>710</v>
      </c>
      <c r="C1707" s="35" t="s">
        <v>597</v>
      </c>
      <c r="D1707" s="31" t="s">
        <v>492</v>
      </c>
      <c r="E1707" s="57" t="s">
        <v>2075</v>
      </c>
      <c r="F1707" s="57" t="s">
        <v>111</v>
      </c>
      <c r="G1707" s="57" t="s">
        <v>2075</v>
      </c>
      <c r="H1707" s="57" t="s">
        <v>111</v>
      </c>
      <c r="I1707" s="57" t="s">
        <v>2074</v>
      </c>
      <c r="J1707" s="57" t="s">
        <v>112</v>
      </c>
      <c r="K1707" s="57" t="s">
        <v>591</v>
      </c>
      <c r="L1707" s="11" t="s">
        <v>914</v>
      </c>
      <c r="M1707" s="22">
        <v>1</v>
      </c>
      <c r="N1707" s="46">
        <v>417339</v>
      </c>
      <c r="O1707" s="49">
        <f t="shared" si="41"/>
        <v>417339</v>
      </c>
      <c r="P1707" s="5" t="s">
        <v>393</v>
      </c>
      <c r="Q1707" s="5" t="s">
        <v>766</v>
      </c>
      <c r="R1707" s="11" t="s">
        <v>2030</v>
      </c>
      <c r="S1707" s="22">
        <v>0</v>
      </c>
    </row>
    <row r="1708" spans="1:19" s="13" customFormat="1" ht="51">
      <c r="A1708" s="5">
        <v>1693</v>
      </c>
      <c r="B1708" s="15" t="s">
        <v>710</v>
      </c>
      <c r="C1708" s="31" t="s">
        <v>597</v>
      </c>
      <c r="D1708" s="31" t="s">
        <v>492</v>
      </c>
      <c r="E1708" s="57" t="s">
        <v>2075</v>
      </c>
      <c r="F1708" s="57" t="s">
        <v>111</v>
      </c>
      <c r="G1708" s="57" t="s">
        <v>2075</v>
      </c>
      <c r="H1708" s="57" t="s">
        <v>111</v>
      </c>
      <c r="I1708" s="57" t="s">
        <v>2074</v>
      </c>
      <c r="J1708" s="57" t="s">
        <v>112</v>
      </c>
      <c r="K1708" s="57" t="s">
        <v>591</v>
      </c>
      <c r="L1708" s="11" t="s">
        <v>914</v>
      </c>
      <c r="M1708" s="22">
        <v>1</v>
      </c>
      <c r="N1708" s="46">
        <v>160714</v>
      </c>
      <c r="O1708" s="49">
        <f t="shared" si="41"/>
        <v>160714</v>
      </c>
      <c r="P1708" s="5" t="s">
        <v>393</v>
      </c>
      <c r="Q1708" s="5" t="s">
        <v>766</v>
      </c>
      <c r="R1708" s="11" t="s">
        <v>1021</v>
      </c>
      <c r="S1708" s="5">
        <v>0</v>
      </c>
    </row>
    <row r="1709" spans="1:19" s="13" customFormat="1" ht="51">
      <c r="A1709" s="5">
        <v>1694</v>
      </c>
      <c r="B1709" s="15" t="s">
        <v>710</v>
      </c>
      <c r="C1709" s="31" t="s">
        <v>597</v>
      </c>
      <c r="D1709" s="31" t="s">
        <v>492</v>
      </c>
      <c r="E1709" s="57" t="s">
        <v>2075</v>
      </c>
      <c r="F1709" s="57" t="s">
        <v>111</v>
      </c>
      <c r="G1709" s="57" t="s">
        <v>2075</v>
      </c>
      <c r="H1709" s="57" t="s">
        <v>111</v>
      </c>
      <c r="I1709" s="57" t="s">
        <v>2074</v>
      </c>
      <c r="J1709" s="57" t="s">
        <v>112</v>
      </c>
      <c r="K1709" s="57" t="s">
        <v>591</v>
      </c>
      <c r="L1709" s="11" t="s">
        <v>914</v>
      </c>
      <c r="M1709" s="22">
        <v>1</v>
      </c>
      <c r="N1709" s="46">
        <f>O1709/M1709</f>
        <v>134000</v>
      </c>
      <c r="O1709" s="49">
        <f>75713+58287</f>
        <v>134000</v>
      </c>
      <c r="P1709" s="5" t="s">
        <v>393</v>
      </c>
      <c r="Q1709" s="5" t="s">
        <v>766</v>
      </c>
      <c r="R1709" s="11" t="s">
        <v>789</v>
      </c>
      <c r="S1709" s="5">
        <v>0</v>
      </c>
    </row>
    <row r="1710" spans="1:19" ht="51">
      <c r="A1710" s="5">
        <v>1695</v>
      </c>
      <c r="B1710" s="15" t="s">
        <v>710</v>
      </c>
      <c r="C1710" s="31" t="s">
        <v>597</v>
      </c>
      <c r="D1710" s="31" t="s">
        <v>492</v>
      </c>
      <c r="E1710" s="57" t="s">
        <v>2075</v>
      </c>
      <c r="F1710" s="57" t="s">
        <v>111</v>
      </c>
      <c r="G1710" s="57" t="s">
        <v>2075</v>
      </c>
      <c r="H1710" s="57" t="s">
        <v>111</v>
      </c>
      <c r="I1710" s="57" t="s">
        <v>2074</v>
      </c>
      <c r="J1710" s="57" t="s">
        <v>112</v>
      </c>
      <c r="K1710" s="57" t="s">
        <v>591</v>
      </c>
      <c r="L1710" s="11" t="s">
        <v>914</v>
      </c>
      <c r="M1710" s="22">
        <v>1</v>
      </c>
      <c r="N1710" s="46">
        <v>107143</v>
      </c>
      <c r="O1710" s="49">
        <f t="shared" si="41"/>
        <v>107143</v>
      </c>
      <c r="P1710" s="5" t="s">
        <v>393</v>
      </c>
      <c r="Q1710" s="5" t="s">
        <v>766</v>
      </c>
      <c r="R1710" s="11" t="s">
        <v>633</v>
      </c>
      <c r="S1710" s="22">
        <v>0</v>
      </c>
    </row>
    <row r="1711" spans="1:19" s="34" customFormat="1" ht="51">
      <c r="A1711" s="5">
        <v>1696</v>
      </c>
      <c r="B1711" s="15" t="s">
        <v>710</v>
      </c>
      <c r="C1711" s="31" t="s">
        <v>597</v>
      </c>
      <c r="D1711" s="31" t="s">
        <v>492</v>
      </c>
      <c r="E1711" s="57" t="s">
        <v>2075</v>
      </c>
      <c r="F1711" s="57" t="s">
        <v>111</v>
      </c>
      <c r="G1711" s="57" t="s">
        <v>2075</v>
      </c>
      <c r="H1711" s="57" t="s">
        <v>111</v>
      </c>
      <c r="I1711" s="57" t="s">
        <v>2074</v>
      </c>
      <c r="J1711" s="57" t="s">
        <v>112</v>
      </c>
      <c r="K1711" s="57" t="s">
        <v>591</v>
      </c>
      <c r="L1711" s="11" t="s">
        <v>914</v>
      </c>
      <c r="M1711" s="22">
        <v>1</v>
      </c>
      <c r="N1711" s="46">
        <f>O1711</f>
        <v>0</v>
      </c>
      <c r="O1711" s="49">
        <f>130357-130357</f>
        <v>0</v>
      </c>
      <c r="P1711" s="5" t="s">
        <v>515</v>
      </c>
      <c r="Q1711" s="5" t="s">
        <v>766</v>
      </c>
      <c r="R1711" s="11">
        <v>311000000</v>
      </c>
      <c r="S1711" s="22">
        <v>0</v>
      </c>
    </row>
    <row r="1712" spans="1:19" s="36" customFormat="1" ht="51">
      <c r="A1712" s="5">
        <v>1697</v>
      </c>
      <c r="B1712" s="15" t="s">
        <v>710</v>
      </c>
      <c r="C1712" s="31" t="s">
        <v>597</v>
      </c>
      <c r="D1712" s="31" t="s">
        <v>492</v>
      </c>
      <c r="E1712" s="57" t="s">
        <v>2075</v>
      </c>
      <c r="F1712" s="57" t="s">
        <v>111</v>
      </c>
      <c r="G1712" s="57" t="s">
        <v>2075</v>
      </c>
      <c r="H1712" s="57" t="s">
        <v>111</v>
      </c>
      <c r="I1712" s="57" t="s">
        <v>2074</v>
      </c>
      <c r="J1712" s="57" t="s">
        <v>112</v>
      </c>
      <c r="K1712" s="57" t="s">
        <v>591</v>
      </c>
      <c r="L1712" s="11" t="s">
        <v>914</v>
      </c>
      <c r="M1712" s="22">
        <v>1</v>
      </c>
      <c r="N1712" s="46">
        <v>192857</v>
      </c>
      <c r="O1712" s="49">
        <f t="shared" si="41"/>
        <v>192857</v>
      </c>
      <c r="P1712" s="5" t="s">
        <v>393</v>
      </c>
      <c r="Q1712" s="5" t="s">
        <v>766</v>
      </c>
      <c r="R1712" s="11" t="s">
        <v>2024</v>
      </c>
      <c r="S1712" s="22">
        <v>0</v>
      </c>
    </row>
    <row r="1713" spans="1:19" s="13" customFormat="1" ht="51">
      <c r="A1713" s="5">
        <v>1698</v>
      </c>
      <c r="B1713" s="15" t="s">
        <v>710</v>
      </c>
      <c r="C1713" s="31" t="s">
        <v>597</v>
      </c>
      <c r="D1713" s="31" t="s">
        <v>492</v>
      </c>
      <c r="E1713" s="57" t="s">
        <v>2075</v>
      </c>
      <c r="F1713" s="57" t="s">
        <v>111</v>
      </c>
      <c r="G1713" s="57" t="s">
        <v>2075</v>
      </c>
      <c r="H1713" s="57" t="s">
        <v>111</v>
      </c>
      <c r="I1713" s="57" t="s">
        <v>2074</v>
      </c>
      <c r="J1713" s="57" t="s">
        <v>112</v>
      </c>
      <c r="K1713" s="57" t="s">
        <v>591</v>
      </c>
      <c r="L1713" s="11" t="s">
        <v>914</v>
      </c>
      <c r="M1713" s="22">
        <v>1</v>
      </c>
      <c r="N1713" s="46">
        <v>241071</v>
      </c>
      <c r="O1713" s="49">
        <f t="shared" si="41"/>
        <v>241071</v>
      </c>
      <c r="P1713" s="5" t="s">
        <v>393</v>
      </c>
      <c r="Q1713" s="5" t="s">
        <v>766</v>
      </c>
      <c r="R1713" s="11">
        <v>351000000</v>
      </c>
      <c r="S1713" s="22">
        <v>0</v>
      </c>
    </row>
    <row r="1714" spans="1:19" ht="51">
      <c r="A1714" s="5">
        <v>1699</v>
      </c>
      <c r="B1714" s="15" t="s">
        <v>710</v>
      </c>
      <c r="C1714" s="31" t="s">
        <v>597</v>
      </c>
      <c r="D1714" s="31" t="s">
        <v>492</v>
      </c>
      <c r="E1714" s="57" t="s">
        <v>2075</v>
      </c>
      <c r="F1714" s="57" t="s">
        <v>111</v>
      </c>
      <c r="G1714" s="57" t="s">
        <v>2075</v>
      </c>
      <c r="H1714" s="57" t="s">
        <v>111</v>
      </c>
      <c r="I1714" s="57" t="s">
        <v>2074</v>
      </c>
      <c r="J1714" s="57" t="s">
        <v>112</v>
      </c>
      <c r="K1714" s="57" t="s">
        <v>591</v>
      </c>
      <c r="L1714" s="11" t="s">
        <v>914</v>
      </c>
      <c r="M1714" s="22">
        <v>1</v>
      </c>
      <c r="N1714" s="46">
        <v>300000</v>
      </c>
      <c r="O1714" s="49">
        <f t="shared" si="41"/>
        <v>300000</v>
      </c>
      <c r="P1714" s="5" t="s">
        <v>393</v>
      </c>
      <c r="Q1714" s="5" t="s">
        <v>766</v>
      </c>
      <c r="R1714" s="11" t="s">
        <v>925</v>
      </c>
      <c r="S1714" s="22">
        <v>0</v>
      </c>
    </row>
    <row r="1715" spans="1:19" ht="51">
      <c r="A1715" s="5">
        <v>1700</v>
      </c>
      <c r="B1715" s="29" t="s">
        <v>710</v>
      </c>
      <c r="C1715" s="35" t="s">
        <v>597</v>
      </c>
      <c r="D1715" s="31" t="s">
        <v>492</v>
      </c>
      <c r="E1715" s="57" t="s">
        <v>2075</v>
      </c>
      <c r="F1715" s="57" t="s">
        <v>111</v>
      </c>
      <c r="G1715" s="57" t="s">
        <v>2075</v>
      </c>
      <c r="H1715" s="57" t="s">
        <v>111</v>
      </c>
      <c r="I1715" s="57" t="s">
        <v>2074</v>
      </c>
      <c r="J1715" s="57" t="s">
        <v>112</v>
      </c>
      <c r="K1715" s="57" t="s">
        <v>591</v>
      </c>
      <c r="L1715" s="11" t="s">
        <v>914</v>
      </c>
      <c r="M1715" s="22">
        <v>1</v>
      </c>
      <c r="N1715" s="46">
        <v>97768</v>
      </c>
      <c r="O1715" s="49">
        <f t="shared" ref="O1715:O1718" si="44">M1715*N1715</f>
        <v>97768</v>
      </c>
      <c r="P1715" s="5" t="s">
        <v>393</v>
      </c>
      <c r="Q1715" s="5" t="s">
        <v>766</v>
      </c>
      <c r="R1715" s="11" t="s">
        <v>715</v>
      </c>
      <c r="S1715" s="22">
        <v>100</v>
      </c>
    </row>
    <row r="1716" spans="1:19" s="32" customFormat="1" ht="54" customHeight="1">
      <c r="A1716" s="5">
        <v>1701</v>
      </c>
      <c r="B1716" s="15" t="s">
        <v>710</v>
      </c>
      <c r="C1716" s="31" t="s">
        <v>597</v>
      </c>
      <c r="D1716" s="31" t="s">
        <v>492</v>
      </c>
      <c r="E1716" s="57" t="s">
        <v>2075</v>
      </c>
      <c r="F1716" s="57" t="s">
        <v>111</v>
      </c>
      <c r="G1716" s="57" t="s">
        <v>2075</v>
      </c>
      <c r="H1716" s="57" t="s">
        <v>111</v>
      </c>
      <c r="I1716" s="57" t="s">
        <v>2074</v>
      </c>
      <c r="J1716" s="57" t="s">
        <v>112</v>
      </c>
      <c r="K1716" s="57" t="s">
        <v>591</v>
      </c>
      <c r="L1716" s="11" t="s">
        <v>914</v>
      </c>
      <c r="M1716" s="22">
        <v>1</v>
      </c>
      <c r="N1716" s="46">
        <v>257143</v>
      </c>
      <c r="O1716" s="49">
        <f t="shared" si="44"/>
        <v>257143</v>
      </c>
      <c r="P1716" s="5" t="s">
        <v>393</v>
      </c>
      <c r="Q1716" s="5" t="s">
        <v>766</v>
      </c>
      <c r="R1716" s="11">
        <v>551000000</v>
      </c>
      <c r="S1716" s="22">
        <v>0</v>
      </c>
    </row>
    <row r="1717" spans="1:19" s="13" customFormat="1" ht="51">
      <c r="A1717" s="5">
        <v>1702</v>
      </c>
      <c r="B1717" s="15" t="s">
        <v>941</v>
      </c>
      <c r="C1717" s="5" t="s">
        <v>597</v>
      </c>
      <c r="D1717" s="31" t="s">
        <v>492</v>
      </c>
      <c r="E1717" s="57" t="s">
        <v>2075</v>
      </c>
      <c r="F1717" s="57" t="s">
        <v>111</v>
      </c>
      <c r="G1717" s="57" t="s">
        <v>2075</v>
      </c>
      <c r="H1717" s="57" t="s">
        <v>111</v>
      </c>
      <c r="I1717" s="57" t="s">
        <v>2074</v>
      </c>
      <c r="J1717" s="57" t="s">
        <v>112</v>
      </c>
      <c r="K1717" s="57" t="s">
        <v>591</v>
      </c>
      <c r="L1717" s="11" t="s">
        <v>914</v>
      </c>
      <c r="M1717" s="22">
        <v>1</v>
      </c>
      <c r="N1717" s="46">
        <v>257143</v>
      </c>
      <c r="O1717" s="49">
        <f t="shared" si="44"/>
        <v>257143</v>
      </c>
      <c r="P1717" s="5" t="s">
        <v>393</v>
      </c>
      <c r="Q1717" s="5" t="s">
        <v>766</v>
      </c>
      <c r="R1717" s="11">
        <v>591000000</v>
      </c>
      <c r="S1717" s="22">
        <v>0</v>
      </c>
    </row>
    <row r="1718" spans="1:19" s="1" customFormat="1" ht="76.5">
      <c r="A1718" s="5">
        <v>1703</v>
      </c>
      <c r="B1718" s="56" t="s">
        <v>710</v>
      </c>
      <c r="C1718" s="4" t="s">
        <v>597</v>
      </c>
      <c r="D1718" s="31" t="s">
        <v>507</v>
      </c>
      <c r="E1718" s="57" t="s">
        <v>1945</v>
      </c>
      <c r="F1718" s="57" t="s">
        <v>509</v>
      </c>
      <c r="G1718" s="57" t="s">
        <v>2001</v>
      </c>
      <c r="H1718" s="57" t="s">
        <v>510</v>
      </c>
      <c r="I1718" s="57" t="s">
        <v>2018</v>
      </c>
      <c r="J1718" s="57" t="s">
        <v>328</v>
      </c>
      <c r="K1718" s="57" t="s">
        <v>591</v>
      </c>
      <c r="L1718" s="11" t="s">
        <v>914</v>
      </c>
      <c r="M1718" s="53">
        <v>1</v>
      </c>
      <c r="N1718" s="46">
        <v>799464</v>
      </c>
      <c r="O1718" s="49">
        <f t="shared" si="44"/>
        <v>799464</v>
      </c>
      <c r="P1718" s="5" t="s">
        <v>393</v>
      </c>
      <c r="Q1718" s="5" t="s">
        <v>1490</v>
      </c>
      <c r="R1718" s="11" t="s">
        <v>1175</v>
      </c>
      <c r="S1718" s="6">
        <v>0</v>
      </c>
    </row>
    <row r="1719" spans="1:19" s="13" customFormat="1" ht="76.5">
      <c r="A1719" s="5">
        <v>1704</v>
      </c>
      <c r="B1719" s="15" t="s">
        <v>710</v>
      </c>
      <c r="C1719" s="31" t="s">
        <v>597</v>
      </c>
      <c r="D1719" s="31" t="s">
        <v>598</v>
      </c>
      <c r="E1719" s="57" t="s">
        <v>599</v>
      </c>
      <c r="F1719" s="57" t="s">
        <v>600</v>
      </c>
      <c r="G1719" s="57" t="s">
        <v>1020</v>
      </c>
      <c r="H1719" s="57" t="s">
        <v>602</v>
      </c>
      <c r="I1719" s="57" t="s">
        <v>905</v>
      </c>
      <c r="J1719" s="57" t="s">
        <v>319</v>
      </c>
      <c r="K1719" s="57" t="s">
        <v>591</v>
      </c>
      <c r="L1719" s="11" t="s">
        <v>914</v>
      </c>
      <c r="M1719" s="22">
        <v>1</v>
      </c>
      <c r="N1719" s="46">
        <f>O1719/M1719</f>
        <v>1908000</v>
      </c>
      <c r="O1719" s="49">
        <f>1749000+159000</f>
        <v>1908000</v>
      </c>
      <c r="P1719" s="5" t="s">
        <v>393</v>
      </c>
      <c r="Q1719" s="5" t="s">
        <v>766</v>
      </c>
      <c r="R1719" s="11">
        <v>233620100</v>
      </c>
      <c r="S1719" s="22">
        <v>0</v>
      </c>
    </row>
    <row r="1720" spans="1:19" s="13" customFormat="1" ht="76.5">
      <c r="A1720" s="5">
        <v>1705</v>
      </c>
      <c r="B1720" s="15" t="s">
        <v>710</v>
      </c>
      <c r="C1720" s="31" t="s">
        <v>597</v>
      </c>
      <c r="D1720" s="31" t="s">
        <v>598</v>
      </c>
      <c r="E1720" s="57" t="s">
        <v>599</v>
      </c>
      <c r="F1720" s="57" t="s">
        <v>600</v>
      </c>
      <c r="G1720" s="57" t="s">
        <v>1020</v>
      </c>
      <c r="H1720" s="57" t="s">
        <v>602</v>
      </c>
      <c r="I1720" s="57" t="s">
        <v>2568</v>
      </c>
      <c r="J1720" s="57" t="s">
        <v>2567</v>
      </c>
      <c r="K1720" s="57" t="s">
        <v>591</v>
      </c>
      <c r="L1720" s="11" t="s">
        <v>914</v>
      </c>
      <c r="M1720" s="22">
        <v>1</v>
      </c>
      <c r="N1720" s="46">
        <f>O1720/M1720</f>
        <v>1908000</v>
      </c>
      <c r="O1720" s="49">
        <f>1749000+159000</f>
        <v>1908000</v>
      </c>
      <c r="P1720" s="5" t="s">
        <v>393</v>
      </c>
      <c r="Q1720" s="5" t="s">
        <v>766</v>
      </c>
      <c r="R1720" s="11">
        <v>233620100</v>
      </c>
      <c r="S1720" s="22">
        <v>0</v>
      </c>
    </row>
    <row r="1721" spans="1:19" ht="76.5">
      <c r="A1721" s="5">
        <v>1706</v>
      </c>
      <c r="B1721" s="15" t="s">
        <v>710</v>
      </c>
      <c r="C1721" s="31" t="s">
        <v>597</v>
      </c>
      <c r="D1721" s="31" t="s">
        <v>598</v>
      </c>
      <c r="E1721" s="57" t="s">
        <v>599</v>
      </c>
      <c r="F1721" s="57" t="s">
        <v>600</v>
      </c>
      <c r="G1721" s="57" t="s">
        <v>1020</v>
      </c>
      <c r="H1721" s="57" t="s">
        <v>602</v>
      </c>
      <c r="I1721" s="57" t="s">
        <v>905</v>
      </c>
      <c r="J1721" s="5" t="s">
        <v>319</v>
      </c>
      <c r="K1721" s="57" t="s">
        <v>591</v>
      </c>
      <c r="L1721" s="11" t="s">
        <v>914</v>
      </c>
      <c r="M1721" s="22">
        <v>1</v>
      </c>
      <c r="N1721" s="46">
        <f>O1721/M1721</f>
        <v>1484526</v>
      </c>
      <c r="O1721" s="49">
        <f>1749000-264474</f>
        <v>1484526</v>
      </c>
      <c r="P1721" s="5" t="s">
        <v>393</v>
      </c>
      <c r="Q1721" s="5" t="s">
        <v>766</v>
      </c>
      <c r="R1721" s="11">
        <v>632010000</v>
      </c>
      <c r="S1721" s="22">
        <v>0</v>
      </c>
    </row>
    <row r="1722" spans="1:19" ht="76.5">
      <c r="A1722" s="5">
        <v>1707</v>
      </c>
      <c r="B1722" s="15" t="s">
        <v>710</v>
      </c>
      <c r="C1722" s="31" t="s">
        <v>597</v>
      </c>
      <c r="D1722" s="31" t="s">
        <v>598</v>
      </c>
      <c r="E1722" s="57" t="s">
        <v>599</v>
      </c>
      <c r="F1722" s="57" t="s">
        <v>600</v>
      </c>
      <c r="G1722" s="57" t="s">
        <v>1020</v>
      </c>
      <c r="H1722" s="57" t="s">
        <v>602</v>
      </c>
      <c r="I1722" s="57" t="s">
        <v>2568</v>
      </c>
      <c r="J1722" s="5" t="s">
        <v>2567</v>
      </c>
      <c r="K1722" s="57" t="s">
        <v>591</v>
      </c>
      <c r="L1722" s="11" t="s">
        <v>914</v>
      </c>
      <c r="M1722" s="22">
        <v>1</v>
      </c>
      <c r="N1722" s="46">
        <f t="shared" ref="N1722:N1772" si="45">O1722/M1722</f>
        <v>1492895</v>
      </c>
      <c r="O1722" s="49">
        <f>1749000-256105</f>
        <v>1492895</v>
      </c>
      <c r="P1722" s="5" t="s">
        <v>393</v>
      </c>
      <c r="Q1722" s="5" t="s">
        <v>766</v>
      </c>
      <c r="R1722" s="11">
        <v>632010000</v>
      </c>
      <c r="S1722" s="22">
        <v>0</v>
      </c>
    </row>
    <row r="1723" spans="1:19" ht="76.5">
      <c r="A1723" s="5">
        <v>1708</v>
      </c>
      <c r="B1723" s="15" t="s">
        <v>710</v>
      </c>
      <c r="C1723" s="31" t="s">
        <v>597</v>
      </c>
      <c r="D1723" s="31" t="s">
        <v>598</v>
      </c>
      <c r="E1723" s="57" t="s">
        <v>599</v>
      </c>
      <c r="F1723" s="57" t="s">
        <v>600</v>
      </c>
      <c r="G1723" s="57" t="s">
        <v>1020</v>
      </c>
      <c r="H1723" s="57" t="s">
        <v>602</v>
      </c>
      <c r="I1723" s="57" t="s">
        <v>905</v>
      </c>
      <c r="J1723" s="5" t="s">
        <v>319</v>
      </c>
      <c r="K1723" s="57" t="s">
        <v>591</v>
      </c>
      <c r="L1723" s="11" t="s">
        <v>914</v>
      </c>
      <c r="M1723" s="22">
        <v>1</v>
      </c>
      <c r="N1723" s="46">
        <f t="shared" si="45"/>
        <v>1476158</v>
      </c>
      <c r="O1723" s="49">
        <f>1749000-272842</f>
        <v>1476158</v>
      </c>
      <c r="P1723" s="5" t="s">
        <v>393</v>
      </c>
      <c r="Q1723" s="5" t="s">
        <v>766</v>
      </c>
      <c r="R1723" s="11">
        <v>634821100</v>
      </c>
      <c r="S1723" s="22">
        <v>0</v>
      </c>
    </row>
    <row r="1724" spans="1:19" ht="76.5">
      <c r="A1724" s="5">
        <v>1709</v>
      </c>
      <c r="B1724" s="15" t="s">
        <v>710</v>
      </c>
      <c r="C1724" s="31" t="s">
        <v>597</v>
      </c>
      <c r="D1724" s="31" t="s">
        <v>598</v>
      </c>
      <c r="E1724" s="57" t="s">
        <v>599</v>
      </c>
      <c r="F1724" s="57" t="s">
        <v>600</v>
      </c>
      <c r="G1724" s="57" t="s">
        <v>1020</v>
      </c>
      <c r="H1724" s="57" t="s">
        <v>602</v>
      </c>
      <c r="I1724" s="57" t="s">
        <v>2568</v>
      </c>
      <c r="J1724" s="5" t="s">
        <v>2567</v>
      </c>
      <c r="K1724" s="57" t="s">
        <v>591</v>
      </c>
      <c r="L1724" s="11" t="s">
        <v>914</v>
      </c>
      <c r="M1724" s="22">
        <v>1</v>
      </c>
      <c r="N1724" s="46">
        <f t="shared" si="45"/>
        <v>1476158</v>
      </c>
      <c r="O1724" s="49">
        <f>1749000-272842</f>
        <v>1476158</v>
      </c>
      <c r="P1724" s="5" t="s">
        <v>393</v>
      </c>
      <c r="Q1724" s="5" t="s">
        <v>766</v>
      </c>
      <c r="R1724" s="11">
        <v>634821100</v>
      </c>
      <c r="S1724" s="22">
        <v>0</v>
      </c>
    </row>
    <row r="1725" spans="1:19" s="34" customFormat="1" ht="76.5">
      <c r="A1725" s="5">
        <v>1710</v>
      </c>
      <c r="B1725" s="15" t="s">
        <v>710</v>
      </c>
      <c r="C1725" s="31" t="s">
        <v>597</v>
      </c>
      <c r="D1725" s="31" t="s">
        <v>598</v>
      </c>
      <c r="E1725" s="57" t="s">
        <v>599</v>
      </c>
      <c r="F1725" s="57" t="s">
        <v>600</v>
      </c>
      <c r="G1725" s="57" t="s">
        <v>1020</v>
      </c>
      <c r="H1725" s="57" t="s">
        <v>602</v>
      </c>
      <c r="I1725" s="57" t="s">
        <v>905</v>
      </c>
      <c r="J1725" s="5" t="s">
        <v>319</v>
      </c>
      <c r="K1725" s="57" t="s">
        <v>591</v>
      </c>
      <c r="L1725" s="11" t="s">
        <v>914</v>
      </c>
      <c r="M1725" s="22">
        <v>1</v>
      </c>
      <c r="N1725" s="46">
        <f t="shared" si="45"/>
        <v>1518000</v>
      </c>
      <c r="O1725" s="49">
        <f>1749000-231000</f>
        <v>1518000</v>
      </c>
      <c r="P1725" s="5" t="s">
        <v>393</v>
      </c>
      <c r="Q1725" s="5" t="s">
        <v>766</v>
      </c>
      <c r="R1725" s="11">
        <v>316220100</v>
      </c>
      <c r="S1725" s="22">
        <v>0</v>
      </c>
    </row>
    <row r="1726" spans="1:19" s="34" customFormat="1" ht="76.5">
      <c r="A1726" s="5">
        <v>1711</v>
      </c>
      <c r="B1726" s="15" t="s">
        <v>710</v>
      </c>
      <c r="C1726" s="31" t="s">
        <v>597</v>
      </c>
      <c r="D1726" s="31" t="s">
        <v>598</v>
      </c>
      <c r="E1726" s="57" t="s">
        <v>599</v>
      </c>
      <c r="F1726" s="57" t="s">
        <v>600</v>
      </c>
      <c r="G1726" s="57" t="s">
        <v>1020</v>
      </c>
      <c r="H1726" s="57" t="s">
        <v>602</v>
      </c>
      <c r="I1726" s="57" t="s">
        <v>2568</v>
      </c>
      <c r="J1726" s="5" t="s">
        <v>2567</v>
      </c>
      <c r="K1726" s="57" t="s">
        <v>591</v>
      </c>
      <c r="L1726" s="11" t="s">
        <v>914</v>
      </c>
      <c r="M1726" s="22">
        <v>1</v>
      </c>
      <c r="N1726" s="46">
        <f t="shared" si="45"/>
        <v>1518000</v>
      </c>
      <c r="O1726" s="49">
        <f>1749000-231000</f>
        <v>1518000</v>
      </c>
      <c r="P1726" s="5" t="s">
        <v>393</v>
      </c>
      <c r="Q1726" s="5" t="s">
        <v>766</v>
      </c>
      <c r="R1726" s="11">
        <v>316220100</v>
      </c>
      <c r="S1726" s="22">
        <v>0</v>
      </c>
    </row>
    <row r="1727" spans="1:19" s="34" customFormat="1" ht="76.5">
      <c r="A1727" s="5">
        <v>1712</v>
      </c>
      <c r="B1727" s="15" t="s">
        <v>710</v>
      </c>
      <c r="C1727" s="31" t="s">
        <v>597</v>
      </c>
      <c r="D1727" s="31" t="s">
        <v>598</v>
      </c>
      <c r="E1727" s="57" t="s">
        <v>599</v>
      </c>
      <c r="F1727" s="57" t="s">
        <v>600</v>
      </c>
      <c r="G1727" s="57" t="s">
        <v>1020</v>
      </c>
      <c r="H1727" s="57" t="s">
        <v>602</v>
      </c>
      <c r="I1727" s="57" t="s">
        <v>905</v>
      </c>
      <c r="J1727" s="5" t="s">
        <v>319</v>
      </c>
      <c r="K1727" s="57" t="s">
        <v>591</v>
      </c>
      <c r="L1727" s="11" t="s">
        <v>914</v>
      </c>
      <c r="M1727" s="22">
        <v>1</v>
      </c>
      <c r="N1727" s="46">
        <f t="shared" si="45"/>
        <v>1518000</v>
      </c>
      <c r="O1727" s="49">
        <f>1749000-231000</f>
        <v>1518000</v>
      </c>
      <c r="P1727" s="5" t="s">
        <v>393</v>
      </c>
      <c r="Q1727" s="5" t="s">
        <v>766</v>
      </c>
      <c r="R1727" s="11">
        <v>316020100</v>
      </c>
      <c r="S1727" s="22">
        <v>0</v>
      </c>
    </row>
    <row r="1728" spans="1:19" s="34" customFormat="1" ht="76.5">
      <c r="A1728" s="5">
        <v>1713</v>
      </c>
      <c r="B1728" s="15" t="s">
        <v>710</v>
      </c>
      <c r="C1728" s="31" t="s">
        <v>597</v>
      </c>
      <c r="D1728" s="31" t="s">
        <v>598</v>
      </c>
      <c r="E1728" s="57" t="s">
        <v>599</v>
      </c>
      <c r="F1728" s="57" t="s">
        <v>600</v>
      </c>
      <c r="G1728" s="57" t="s">
        <v>1020</v>
      </c>
      <c r="H1728" s="57" t="s">
        <v>602</v>
      </c>
      <c r="I1728" s="57" t="s">
        <v>2568</v>
      </c>
      <c r="J1728" s="5" t="s">
        <v>2567</v>
      </c>
      <c r="K1728" s="57" t="s">
        <v>591</v>
      </c>
      <c r="L1728" s="11" t="s">
        <v>914</v>
      </c>
      <c r="M1728" s="22">
        <v>1</v>
      </c>
      <c r="N1728" s="46">
        <f t="shared" si="45"/>
        <v>1518000</v>
      </c>
      <c r="O1728" s="49">
        <f>1749000-231000</f>
        <v>1518000</v>
      </c>
      <c r="P1728" s="5" t="s">
        <v>393</v>
      </c>
      <c r="Q1728" s="5" t="s">
        <v>766</v>
      </c>
      <c r="R1728" s="11">
        <v>316020100</v>
      </c>
      <c r="S1728" s="22">
        <v>0</v>
      </c>
    </row>
    <row r="1729" spans="1:19" s="13" customFormat="1" ht="76.5">
      <c r="A1729" s="5">
        <v>1714</v>
      </c>
      <c r="B1729" s="15" t="s">
        <v>710</v>
      </c>
      <c r="C1729" s="31" t="s">
        <v>597</v>
      </c>
      <c r="D1729" s="31" t="s">
        <v>598</v>
      </c>
      <c r="E1729" s="57" t="s">
        <v>599</v>
      </c>
      <c r="F1729" s="57" t="s">
        <v>600</v>
      </c>
      <c r="G1729" s="57" t="s">
        <v>1020</v>
      </c>
      <c r="H1729" s="57" t="s">
        <v>602</v>
      </c>
      <c r="I1729" s="57" t="s">
        <v>905</v>
      </c>
      <c r="J1729" s="5" t="s">
        <v>319</v>
      </c>
      <c r="K1729" s="57" t="s">
        <v>591</v>
      </c>
      <c r="L1729" s="11" t="s">
        <v>914</v>
      </c>
      <c r="M1729" s="22">
        <v>1</v>
      </c>
      <c r="N1729" s="46">
        <f t="shared" si="45"/>
        <v>1832158</v>
      </c>
      <c r="O1729" s="49">
        <f>1749000+83158</f>
        <v>1832158</v>
      </c>
      <c r="P1729" s="5" t="s">
        <v>393</v>
      </c>
      <c r="Q1729" s="5" t="s">
        <v>766</v>
      </c>
      <c r="R1729" s="11">
        <v>351610000</v>
      </c>
      <c r="S1729" s="22">
        <v>0</v>
      </c>
    </row>
    <row r="1730" spans="1:19" s="13" customFormat="1" ht="76.5">
      <c r="A1730" s="5">
        <v>1715</v>
      </c>
      <c r="B1730" s="15" t="s">
        <v>710</v>
      </c>
      <c r="C1730" s="31" t="s">
        <v>597</v>
      </c>
      <c r="D1730" s="31" t="s">
        <v>598</v>
      </c>
      <c r="E1730" s="57" t="s">
        <v>599</v>
      </c>
      <c r="F1730" s="57" t="s">
        <v>600</v>
      </c>
      <c r="G1730" s="57" t="s">
        <v>1020</v>
      </c>
      <c r="H1730" s="57" t="s">
        <v>602</v>
      </c>
      <c r="I1730" s="57" t="s">
        <v>2568</v>
      </c>
      <c r="J1730" s="5" t="s">
        <v>2567</v>
      </c>
      <c r="K1730" s="57" t="s">
        <v>591</v>
      </c>
      <c r="L1730" s="11" t="s">
        <v>914</v>
      </c>
      <c r="M1730" s="22">
        <v>1</v>
      </c>
      <c r="N1730" s="46">
        <f t="shared" si="45"/>
        <v>1832158</v>
      </c>
      <c r="O1730" s="49">
        <f>1749000+83158</f>
        <v>1832158</v>
      </c>
      <c r="P1730" s="5" t="s">
        <v>393</v>
      </c>
      <c r="Q1730" s="5" t="s">
        <v>766</v>
      </c>
      <c r="R1730" s="11">
        <v>351610000</v>
      </c>
      <c r="S1730" s="22">
        <v>0</v>
      </c>
    </row>
    <row r="1731" spans="1:19" s="13" customFormat="1" ht="76.5">
      <c r="A1731" s="5">
        <v>1716</v>
      </c>
      <c r="B1731" s="15" t="s">
        <v>710</v>
      </c>
      <c r="C1731" s="31" t="s">
        <v>597</v>
      </c>
      <c r="D1731" s="31" t="s">
        <v>598</v>
      </c>
      <c r="E1731" s="57" t="s">
        <v>599</v>
      </c>
      <c r="F1731" s="57" t="s">
        <v>600</v>
      </c>
      <c r="G1731" s="57" t="s">
        <v>1020</v>
      </c>
      <c r="H1731" s="57" t="s">
        <v>602</v>
      </c>
      <c r="I1731" s="57" t="s">
        <v>905</v>
      </c>
      <c r="J1731" s="5" t="s">
        <v>319</v>
      </c>
      <c r="K1731" s="57" t="s">
        <v>591</v>
      </c>
      <c r="L1731" s="11" t="s">
        <v>914</v>
      </c>
      <c r="M1731" s="22">
        <v>1</v>
      </c>
      <c r="N1731" s="46">
        <f t="shared" si="45"/>
        <v>1807210</v>
      </c>
      <c r="O1731" s="49">
        <f>1749000+58210</f>
        <v>1807210</v>
      </c>
      <c r="P1731" s="5" t="s">
        <v>393</v>
      </c>
      <c r="Q1731" s="5" t="s">
        <v>766</v>
      </c>
      <c r="R1731" s="11">
        <v>351810000</v>
      </c>
      <c r="S1731" s="22">
        <v>0</v>
      </c>
    </row>
    <row r="1732" spans="1:19" s="13" customFormat="1" ht="76.5">
      <c r="A1732" s="5">
        <v>1717</v>
      </c>
      <c r="B1732" s="15" t="s">
        <v>710</v>
      </c>
      <c r="C1732" s="31" t="s">
        <v>597</v>
      </c>
      <c r="D1732" s="31" t="s">
        <v>598</v>
      </c>
      <c r="E1732" s="57" t="s">
        <v>599</v>
      </c>
      <c r="F1732" s="57" t="s">
        <v>600</v>
      </c>
      <c r="G1732" s="57" t="s">
        <v>1020</v>
      </c>
      <c r="H1732" s="57" t="s">
        <v>602</v>
      </c>
      <c r="I1732" s="57" t="s">
        <v>2568</v>
      </c>
      <c r="J1732" s="5" t="s">
        <v>2567</v>
      </c>
      <c r="K1732" s="57" t="s">
        <v>591</v>
      </c>
      <c r="L1732" s="11" t="s">
        <v>914</v>
      </c>
      <c r="M1732" s="22">
        <v>1</v>
      </c>
      <c r="N1732" s="46">
        <f t="shared" si="45"/>
        <v>1832158</v>
      </c>
      <c r="O1732" s="49">
        <f>1749000+83158</f>
        <v>1832158</v>
      </c>
      <c r="P1732" s="5" t="s">
        <v>393</v>
      </c>
      <c r="Q1732" s="5" t="s">
        <v>766</v>
      </c>
      <c r="R1732" s="11">
        <v>351810000</v>
      </c>
      <c r="S1732" s="22">
        <v>0</v>
      </c>
    </row>
    <row r="1733" spans="1:19" s="13" customFormat="1" ht="76.5">
      <c r="A1733" s="5">
        <v>1718</v>
      </c>
      <c r="B1733" s="15" t="s">
        <v>710</v>
      </c>
      <c r="C1733" s="31" t="s">
        <v>597</v>
      </c>
      <c r="D1733" s="31" t="s">
        <v>598</v>
      </c>
      <c r="E1733" s="57" t="s">
        <v>599</v>
      </c>
      <c r="F1733" s="57" t="s">
        <v>600</v>
      </c>
      <c r="G1733" s="57" t="s">
        <v>1020</v>
      </c>
      <c r="H1733" s="57" t="s">
        <v>602</v>
      </c>
      <c r="I1733" s="57" t="s">
        <v>905</v>
      </c>
      <c r="J1733" s="5" t="s">
        <v>319</v>
      </c>
      <c r="K1733" s="57" t="s">
        <v>591</v>
      </c>
      <c r="L1733" s="11" t="s">
        <v>914</v>
      </c>
      <c r="M1733" s="22">
        <v>1</v>
      </c>
      <c r="N1733" s="46">
        <f t="shared" si="45"/>
        <v>1442158</v>
      </c>
      <c r="O1733" s="49">
        <f>1749000-306842</f>
        <v>1442158</v>
      </c>
      <c r="P1733" s="5" t="s">
        <v>393</v>
      </c>
      <c r="Q1733" s="5" t="s">
        <v>766</v>
      </c>
      <c r="R1733" s="15">
        <v>352010000</v>
      </c>
      <c r="S1733" s="22">
        <v>0</v>
      </c>
    </row>
    <row r="1734" spans="1:19" s="13" customFormat="1" ht="76.5">
      <c r="A1734" s="5">
        <v>1719</v>
      </c>
      <c r="B1734" s="15" t="s">
        <v>710</v>
      </c>
      <c r="C1734" s="31" t="s">
        <v>597</v>
      </c>
      <c r="D1734" s="31" t="s">
        <v>598</v>
      </c>
      <c r="E1734" s="57" t="s">
        <v>599</v>
      </c>
      <c r="F1734" s="57" t="s">
        <v>600</v>
      </c>
      <c r="G1734" s="57" t="s">
        <v>1020</v>
      </c>
      <c r="H1734" s="57" t="s">
        <v>602</v>
      </c>
      <c r="I1734" s="57" t="s">
        <v>2568</v>
      </c>
      <c r="J1734" s="5" t="s">
        <v>2567</v>
      </c>
      <c r="K1734" s="57" t="s">
        <v>591</v>
      </c>
      <c r="L1734" s="11" t="s">
        <v>914</v>
      </c>
      <c r="M1734" s="22">
        <v>1</v>
      </c>
      <c r="N1734" s="46">
        <f t="shared" si="45"/>
        <v>1442158</v>
      </c>
      <c r="O1734" s="49">
        <f>1749000-306842</f>
        <v>1442158</v>
      </c>
      <c r="P1734" s="5" t="s">
        <v>393</v>
      </c>
      <c r="Q1734" s="5" t="s">
        <v>766</v>
      </c>
      <c r="R1734" s="15">
        <v>352010000</v>
      </c>
      <c r="S1734" s="22">
        <v>0</v>
      </c>
    </row>
    <row r="1735" spans="1:19" s="13" customFormat="1" ht="76.5">
      <c r="A1735" s="5">
        <v>1720</v>
      </c>
      <c r="B1735" s="15" t="s">
        <v>710</v>
      </c>
      <c r="C1735" s="31" t="s">
        <v>597</v>
      </c>
      <c r="D1735" s="31" t="s">
        <v>598</v>
      </c>
      <c r="E1735" s="57" t="s">
        <v>599</v>
      </c>
      <c r="F1735" s="57" t="s">
        <v>600</v>
      </c>
      <c r="G1735" s="57" t="s">
        <v>1020</v>
      </c>
      <c r="H1735" s="57" t="s">
        <v>602</v>
      </c>
      <c r="I1735" s="57" t="s">
        <v>905</v>
      </c>
      <c r="J1735" s="5" t="s">
        <v>319</v>
      </c>
      <c r="K1735" s="57" t="s">
        <v>591</v>
      </c>
      <c r="L1735" s="11" t="s">
        <v>914</v>
      </c>
      <c r="M1735" s="22">
        <v>1</v>
      </c>
      <c r="N1735" s="46">
        <f t="shared" si="45"/>
        <v>1807210</v>
      </c>
      <c r="O1735" s="49">
        <f>1749000+58210</f>
        <v>1807210</v>
      </c>
      <c r="P1735" s="5" t="s">
        <v>393</v>
      </c>
      <c r="Q1735" s="5" t="s">
        <v>766</v>
      </c>
      <c r="R1735" s="15">
        <v>352210000</v>
      </c>
      <c r="S1735" s="22">
        <v>0</v>
      </c>
    </row>
    <row r="1736" spans="1:19" s="13" customFormat="1" ht="76.5">
      <c r="A1736" s="5">
        <v>1721</v>
      </c>
      <c r="B1736" s="15" t="s">
        <v>710</v>
      </c>
      <c r="C1736" s="31" t="s">
        <v>597</v>
      </c>
      <c r="D1736" s="31" t="s">
        <v>598</v>
      </c>
      <c r="E1736" s="57" t="s">
        <v>599</v>
      </c>
      <c r="F1736" s="57" t="s">
        <v>600</v>
      </c>
      <c r="G1736" s="57" t="s">
        <v>1020</v>
      </c>
      <c r="H1736" s="57" t="s">
        <v>602</v>
      </c>
      <c r="I1736" s="57" t="s">
        <v>2568</v>
      </c>
      <c r="J1736" s="5" t="s">
        <v>2567</v>
      </c>
      <c r="K1736" s="57" t="s">
        <v>591</v>
      </c>
      <c r="L1736" s="11" t="s">
        <v>914</v>
      </c>
      <c r="M1736" s="22">
        <v>1</v>
      </c>
      <c r="N1736" s="46">
        <f t="shared" si="45"/>
        <v>1807210</v>
      </c>
      <c r="O1736" s="49">
        <f>1749000+58210</f>
        <v>1807210</v>
      </c>
      <c r="P1736" s="5" t="s">
        <v>393</v>
      </c>
      <c r="Q1736" s="5" t="s">
        <v>766</v>
      </c>
      <c r="R1736" s="15">
        <v>352210000</v>
      </c>
      <c r="S1736" s="22">
        <v>0</v>
      </c>
    </row>
    <row r="1737" spans="1:19" ht="76.5">
      <c r="A1737" s="5">
        <v>1722</v>
      </c>
      <c r="B1737" s="15" t="s">
        <v>710</v>
      </c>
      <c r="C1737" s="31" t="s">
        <v>597</v>
      </c>
      <c r="D1737" s="31" t="s">
        <v>598</v>
      </c>
      <c r="E1737" s="57" t="s">
        <v>599</v>
      </c>
      <c r="F1737" s="57" t="s">
        <v>600</v>
      </c>
      <c r="G1737" s="57" t="s">
        <v>1020</v>
      </c>
      <c r="H1737" s="57" t="s">
        <v>602</v>
      </c>
      <c r="I1737" s="57" t="s">
        <v>905</v>
      </c>
      <c r="J1737" s="5" t="s">
        <v>319</v>
      </c>
      <c r="K1737" s="57" t="s">
        <v>591</v>
      </c>
      <c r="L1737" s="11" t="s">
        <v>914</v>
      </c>
      <c r="M1737" s="22">
        <v>1</v>
      </c>
      <c r="N1737" s="46">
        <f t="shared" si="45"/>
        <v>1492895</v>
      </c>
      <c r="O1737" s="49">
        <f>1749000-256105</f>
        <v>1492895</v>
      </c>
      <c r="P1737" s="5" t="s">
        <v>393</v>
      </c>
      <c r="Q1737" s="5" t="s">
        <v>766</v>
      </c>
      <c r="R1737" s="74">
        <v>391610000</v>
      </c>
      <c r="S1737" s="22">
        <v>0</v>
      </c>
    </row>
    <row r="1738" spans="1:19" ht="76.5">
      <c r="A1738" s="5">
        <v>1723</v>
      </c>
      <c r="B1738" s="15" t="s">
        <v>710</v>
      </c>
      <c r="C1738" s="31" t="s">
        <v>597</v>
      </c>
      <c r="D1738" s="31" t="s">
        <v>598</v>
      </c>
      <c r="E1738" s="57" t="s">
        <v>599</v>
      </c>
      <c r="F1738" s="57" t="s">
        <v>600</v>
      </c>
      <c r="G1738" s="57" t="s">
        <v>1020</v>
      </c>
      <c r="H1738" s="57" t="s">
        <v>602</v>
      </c>
      <c r="I1738" s="57" t="s">
        <v>2568</v>
      </c>
      <c r="J1738" s="5" t="s">
        <v>2567</v>
      </c>
      <c r="K1738" s="57" t="s">
        <v>591</v>
      </c>
      <c r="L1738" s="11" t="s">
        <v>914</v>
      </c>
      <c r="M1738" s="22">
        <v>1</v>
      </c>
      <c r="N1738" s="46">
        <f t="shared" si="45"/>
        <v>1492895</v>
      </c>
      <c r="O1738" s="49">
        <f>1749000-256105</f>
        <v>1492895</v>
      </c>
      <c r="P1738" s="5" t="s">
        <v>393</v>
      </c>
      <c r="Q1738" s="5" t="s">
        <v>766</v>
      </c>
      <c r="R1738" s="74">
        <v>391610000</v>
      </c>
      <c r="S1738" s="22">
        <v>0</v>
      </c>
    </row>
    <row r="1739" spans="1:19" ht="76.5">
      <c r="A1739" s="5">
        <v>1724</v>
      </c>
      <c r="B1739" s="15" t="s">
        <v>710</v>
      </c>
      <c r="C1739" s="31" t="s">
        <v>597</v>
      </c>
      <c r="D1739" s="31" t="s">
        <v>598</v>
      </c>
      <c r="E1739" s="57" t="s">
        <v>599</v>
      </c>
      <c r="F1739" s="57" t="s">
        <v>600</v>
      </c>
      <c r="G1739" s="57" t="s">
        <v>1020</v>
      </c>
      <c r="H1739" s="57" t="s">
        <v>602</v>
      </c>
      <c r="I1739" s="57" t="s">
        <v>905</v>
      </c>
      <c r="J1739" s="5" t="s">
        <v>319</v>
      </c>
      <c r="K1739" s="57" t="s">
        <v>591</v>
      </c>
      <c r="L1739" s="11" t="s">
        <v>914</v>
      </c>
      <c r="M1739" s="22">
        <v>1</v>
      </c>
      <c r="N1739" s="46">
        <f t="shared" si="45"/>
        <v>1492895</v>
      </c>
      <c r="O1739" s="49">
        <f>1749000-256105</f>
        <v>1492895</v>
      </c>
      <c r="P1739" s="5" t="s">
        <v>393</v>
      </c>
      <c r="Q1739" s="5" t="s">
        <v>766</v>
      </c>
      <c r="R1739" s="11">
        <v>394420100</v>
      </c>
      <c r="S1739" s="22">
        <v>0</v>
      </c>
    </row>
    <row r="1740" spans="1:19" ht="76.5">
      <c r="A1740" s="5">
        <v>1725</v>
      </c>
      <c r="B1740" s="15" t="s">
        <v>710</v>
      </c>
      <c r="C1740" s="31" t="s">
        <v>597</v>
      </c>
      <c r="D1740" s="31" t="s">
        <v>598</v>
      </c>
      <c r="E1740" s="57" t="s">
        <v>599</v>
      </c>
      <c r="F1740" s="57" t="s">
        <v>600</v>
      </c>
      <c r="G1740" s="57" t="s">
        <v>1020</v>
      </c>
      <c r="H1740" s="57" t="s">
        <v>602</v>
      </c>
      <c r="I1740" s="57" t="s">
        <v>2568</v>
      </c>
      <c r="J1740" s="5" t="s">
        <v>2567</v>
      </c>
      <c r="K1740" s="57" t="s">
        <v>591</v>
      </c>
      <c r="L1740" s="11" t="s">
        <v>914</v>
      </c>
      <c r="M1740" s="22">
        <v>1</v>
      </c>
      <c r="N1740" s="46">
        <f t="shared" si="45"/>
        <v>1492895</v>
      </c>
      <c r="O1740" s="49">
        <f>1749000-256105</f>
        <v>1492895</v>
      </c>
      <c r="P1740" s="5" t="s">
        <v>393</v>
      </c>
      <c r="Q1740" s="5" t="s">
        <v>766</v>
      </c>
      <c r="R1740" s="11">
        <v>394420100</v>
      </c>
      <c r="S1740" s="22">
        <v>0</v>
      </c>
    </row>
    <row r="1741" spans="1:19" s="13" customFormat="1" ht="76.5">
      <c r="A1741" s="5">
        <v>1726</v>
      </c>
      <c r="B1741" s="15" t="s">
        <v>710</v>
      </c>
      <c r="C1741" s="31" t="s">
        <v>597</v>
      </c>
      <c r="D1741" s="31" t="s">
        <v>598</v>
      </c>
      <c r="E1741" s="57" t="s">
        <v>599</v>
      </c>
      <c r="F1741" s="57" t="s">
        <v>600</v>
      </c>
      <c r="G1741" s="57" t="s">
        <v>1020</v>
      </c>
      <c r="H1741" s="57" t="s">
        <v>602</v>
      </c>
      <c r="I1741" s="57" t="s">
        <v>905</v>
      </c>
      <c r="J1741" s="5" t="s">
        <v>319</v>
      </c>
      <c r="K1741" s="57" t="s">
        <v>591</v>
      </c>
      <c r="L1741" s="11" t="s">
        <v>914</v>
      </c>
      <c r="M1741" s="22">
        <v>1</v>
      </c>
      <c r="N1741" s="46">
        <f t="shared" si="45"/>
        <v>1757000</v>
      </c>
      <c r="O1741" s="49">
        <f>1749000+8000</f>
        <v>1757000</v>
      </c>
      <c r="P1741" s="5" t="s">
        <v>393</v>
      </c>
      <c r="Q1741" s="5" t="s">
        <v>766</v>
      </c>
      <c r="R1741" s="11">
        <v>512010000</v>
      </c>
      <c r="S1741" s="5">
        <v>0</v>
      </c>
    </row>
    <row r="1742" spans="1:19" s="13" customFormat="1" ht="76.5">
      <c r="A1742" s="5">
        <v>1727</v>
      </c>
      <c r="B1742" s="15" t="s">
        <v>710</v>
      </c>
      <c r="C1742" s="31" t="s">
        <v>597</v>
      </c>
      <c r="D1742" s="31" t="s">
        <v>598</v>
      </c>
      <c r="E1742" s="57" t="s">
        <v>599</v>
      </c>
      <c r="F1742" s="57" t="s">
        <v>600</v>
      </c>
      <c r="G1742" s="57" t="s">
        <v>1020</v>
      </c>
      <c r="H1742" s="57" t="s">
        <v>602</v>
      </c>
      <c r="I1742" s="57" t="s">
        <v>2568</v>
      </c>
      <c r="J1742" s="5" t="s">
        <v>2567</v>
      </c>
      <c r="K1742" s="57" t="s">
        <v>591</v>
      </c>
      <c r="L1742" s="11" t="s">
        <v>914</v>
      </c>
      <c r="M1742" s="22">
        <v>1</v>
      </c>
      <c r="N1742" s="46">
        <f t="shared" si="45"/>
        <v>1757000</v>
      </c>
      <c r="O1742" s="49">
        <f>1749000+8000</f>
        <v>1757000</v>
      </c>
      <c r="P1742" s="5" t="s">
        <v>393</v>
      </c>
      <c r="Q1742" s="5" t="s">
        <v>766</v>
      </c>
      <c r="R1742" s="11">
        <v>512010000</v>
      </c>
      <c r="S1742" s="5">
        <v>0</v>
      </c>
    </row>
    <row r="1743" spans="1:19" s="13" customFormat="1" ht="76.5">
      <c r="A1743" s="5">
        <v>1728</v>
      </c>
      <c r="B1743" s="29" t="s">
        <v>710</v>
      </c>
      <c r="C1743" s="35" t="s">
        <v>597</v>
      </c>
      <c r="D1743" s="31" t="s">
        <v>598</v>
      </c>
      <c r="E1743" s="57" t="s">
        <v>599</v>
      </c>
      <c r="F1743" s="57" t="s">
        <v>600</v>
      </c>
      <c r="G1743" s="57" t="s">
        <v>1020</v>
      </c>
      <c r="H1743" s="57" t="s">
        <v>602</v>
      </c>
      <c r="I1743" s="57" t="s">
        <v>905</v>
      </c>
      <c r="J1743" s="5" t="s">
        <v>319</v>
      </c>
      <c r="K1743" s="57" t="s">
        <v>591</v>
      </c>
      <c r="L1743" s="11" t="s">
        <v>914</v>
      </c>
      <c r="M1743" s="22">
        <v>1</v>
      </c>
      <c r="N1743" s="46">
        <f t="shared" si="45"/>
        <v>1749000</v>
      </c>
      <c r="O1743" s="49">
        <v>1749000</v>
      </c>
      <c r="P1743" s="5" t="s">
        <v>393</v>
      </c>
      <c r="Q1743" s="5" t="s">
        <v>766</v>
      </c>
      <c r="R1743" s="11">
        <v>111810000</v>
      </c>
      <c r="S1743" s="22">
        <v>0</v>
      </c>
    </row>
    <row r="1744" spans="1:19" s="13" customFormat="1" ht="76.5">
      <c r="A1744" s="5">
        <v>1729</v>
      </c>
      <c r="B1744" s="29" t="s">
        <v>710</v>
      </c>
      <c r="C1744" s="35" t="s">
        <v>597</v>
      </c>
      <c r="D1744" s="31" t="s">
        <v>598</v>
      </c>
      <c r="E1744" s="57" t="s">
        <v>599</v>
      </c>
      <c r="F1744" s="57" t="s">
        <v>600</v>
      </c>
      <c r="G1744" s="57" t="s">
        <v>1020</v>
      </c>
      <c r="H1744" s="57" t="s">
        <v>602</v>
      </c>
      <c r="I1744" s="57" t="s">
        <v>2568</v>
      </c>
      <c r="J1744" s="5" t="s">
        <v>2567</v>
      </c>
      <c r="K1744" s="57" t="s">
        <v>591</v>
      </c>
      <c r="L1744" s="11" t="s">
        <v>914</v>
      </c>
      <c r="M1744" s="22">
        <v>1</v>
      </c>
      <c r="N1744" s="46">
        <f t="shared" si="45"/>
        <v>1749000</v>
      </c>
      <c r="O1744" s="49">
        <v>1749000</v>
      </c>
      <c r="P1744" s="5" t="s">
        <v>393</v>
      </c>
      <c r="Q1744" s="5" t="s">
        <v>766</v>
      </c>
      <c r="R1744" s="11">
        <v>111810000</v>
      </c>
      <c r="S1744" s="22">
        <v>0</v>
      </c>
    </row>
    <row r="1745" spans="1:19" s="13" customFormat="1" ht="76.5">
      <c r="A1745" s="5">
        <v>1730</v>
      </c>
      <c r="B1745" s="15" t="s">
        <v>710</v>
      </c>
      <c r="C1745" s="31" t="s">
        <v>597</v>
      </c>
      <c r="D1745" s="31" t="s">
        <v>598</v>
      </c>
      <c r="E1745" s="57" t="s">
        <v>599</v>
      </c>
      <c r="F1745" s="57" t="s">
        <v>600</v>
      </c>
      <c r="G1745" s="57" t="s">
        <v>1020</v>
      </c>
      <c r="H1745" s="57" t="s">
        <v>602</v>
      </c>
      <c r="I1745" s="57" t="s">
        <v>905</v>
      </c>
      <c r="J1745" s="5" t="s">
        <v>319</v>
      </c>
      <c r="K1745" s="57" t="s">
        <v>591</v>
      </c>
      <c r="L1745" s="11" t="s">
        <v>914</v>
      </c>
      <c r="M1745" s="22">
        <v>1</v>
      </c>
      <c r="N1745" s="46">
        <f t="shared" si="45"/>
        <v>1516000</v>
      </c>
      <c r="O1745" s="49">
        <f>1749000-233000</f>
        <v>1516000</v>
      </c>
      <c r="P1745" s="5" t="s">
        <v>393</v>
      </c>
      <c r="Q1745" s="5" t="s">
        <v>766</v>
      </c>
      <c r="R1745" s="15">
        <v>156020100</v>
      </c>
      <c r="S1745" s="5">
        <v>0</v>
      </c>
    </row>
    <row r="1746" spans="1:19" s="13" customFormat="1" ht="76.5">
      <c r="A1746" s="5">
        <v>1731</v>
      </c>
      <c r="B1746" s="15" t="s">
        <v>710</v>
      </c>
      <c r="C1746" s="31" t="s">
        <v>597</v>
      </c>
      <c r="D1746" s="31" t="s">
        <v>598</v>
      </c>
      <c r="E1746" s="57" t="s">
        <v>599</v>
      </c>
      <c r="F1746" s="57" t="s">
        <v>600</v>
      </c>
      <c r="G1746" s="57" t="s">
        <v>1020</v>
      </c>
      <c r="H1746" s="57" t="s">
        <v>602</v>
      </c>
      <c r="I1746" s="57" t="s">
        <v>2568</v>
      </c>
      <c r="J1746" s="5" t="s">
        <v>2567</v>
      </c>
      <c r="K1746" s="57" t="s">
        <v>591</v>
      </c>
      <c r="L1746" s="11" t="s">
        <v>914</v>
      </c>
      <c r="M1746" s="22">
        <v>1</v>
      </c>
      <c r="N1746" s="46">
        <f t="shared" si="45"/>
        <v>1516000</v>
      </c>
      <c r="O1746" s="49">
        <f>1749000-233000</f>
        <v>1516000</v>
      </c>
      <c r="P1746" s="5" t="s">
        <v>393</v>
      </c>
      <c r="Q1746" s="5" t="s">
        <v>766</v>
      </c>
      <c r="R1746" s="15">
        <v>156020100</v>
      </c>
      <c r="S1746" s="5">
        <v>0</v>
      </c>
    </row>
    <row r="1747" spans="1:19" s="13" customFormat="1" ht="76.5">
      <c r="A1747" s="5">
        <v>1732</v>
      </c>
      <c r="B1747" s="29" t="s">
        <v>710</v>
      </c>
      <c r="C1747" s="42" t="s">
        <v>597</v>
      </c>
      <c r="D1747" s="31" t="s">
        <v>598</v>
      </c>
      <c r="E1747" s="57" t="s">
        <v>599</v>
      </c>
      <c r="F1747" s="57" t="s">
        <v>782</v>
      </c>
      <c r="G1747" s="57" t="s">
        <v>601</v>
      </c>
      <c r="H1747" s="57" t="s">
        <v>602</v>
      </c>
      <c r="I1747" s="57" t="s">
        <v>905</v>
      </c>
      <c r="J1747" s="5" t="s">
        <v>319</v>
      </c>
      <c r="K1747" s="57" t="s">
        <v>591</v>
      </c>
      <c r="L1747" s="11" t="s">
        <v>914</v>
      </c>
      <c r="M1747" s="22">
        <v>1</v>
      </c>
      <c r="N1747" s="46">
        <f t="shared" si="45"/>
        <v>1359000</v>
      </c>
      <c r="O1747" s="49">
        <f>1749000-390000</f>
        <v>1359000</v>
      </c>
      <c r="P1747" s="5" t="s">
        <v>393</v>
      </c>
      <c r="Q1747" s="5" t="s">
        <v>766</v>
      </c>
      <c r="R1747" s="15">
        <v>192610000</v>
      </c>
      <c r="S1747" s="5">
        <v>0</v>
      </c>
    </row>
    <row r="1748" spans="1:19" s="13" customFormat="1" ht="76.5">
      <c r="A1748" s="5">
        <v>1733</v>
      </c>
      <c r="B1748" s="29" t="s">
        <v>710</v>
      </c>
      <c r="C1748" s="42" t="s">
        <v>597</v>
      </c>
      <c r="D1748" s="31" t="s">
        <v>598</v>
      </c>
      <c r="E1748" s="57" t="s">
        <v>599</v>
      </c>
      <c r="F1748" s="57" t="s">
        <v>782</v>
      </c>
      <c r="G1748" s="57" t="s">
        <v>601</v>
      </c>
      <c r="H1748" s="57" t="s">
        <v>602</v>
      </c>
      <c r="I1748" s="57" t="s">
        <v>2568</v>
      </c>
      <c r="J1748" s="5" t="s">
        <v>2567</v>
      </c>
      <c r="K1748" s="57" t="s">
        <v>591</v>
      </c>
      <c r="L1748" s="11" t="s">
        <v>914</v>
      </c>
      <c r="M1748" s="22">
        <v>1</v>
      </c>
      <c r="N1748" s="46">
        <f t="shared" si="45"/>
        <v>1359000</v>
      </c>
      <c r="O1748" s="49">
        <f>1749000-390000</f>
        <v>1359000</v>
      </c>
      <c r="P1748" s="5" t="s">
        <v>393</v>
      </c>
      <c r="Q1748" s="5" t="s">
        <v>766</v>
      </c>
      <c r="R1748" s="15">
        <v>192610000</v>
      </c>
      <c r="S1748" s="5">
        <v>0</v>
      </c>
    </row>
    <row r="1749" spans="1:19" s="36" customFormat="1" ht="76.5">
      <c r="A1749" s="5">
        <v>1734</v>
      </c>
      <c r="B1749" s="15" t="s">
        <v>710</v>
      </c>
      <c r="C1749" s="31" t="s">
        <v>597</v>
      </c>
      <c r="D1749" s="31" t="s">
        <v>598</v>
      </c>
      <c r="E1749" s="57" t="s">
        <v>599</v>
      </c>
      <c r="F1749" s="57" t="s">
        <v>600</v>
      </c>
      <c r="G1749" s="57" t="s">
        <v>1020</v>
      </c>
      <c r="H1749" s="57" t="s">
        <v>602</v>
      </c>
      <c r="I1749" s="57" t="s">
        <v>905</v>
      </c>
      <c r="J1749" s="5" t="s">
        <v>319</v>
      </c>
      <c r="K1749" s="57" t="s">
        <v>591</v>
      </c>
      <c r="L1749" s="11" t="s">
        <v>914</v>
      </c>
      <c r="M1749" s="22">
        <v>1</v>
      </c>
      <c r="N1749" s="46">
        <f t="shared" si="45"/>
        <v>1518000</v>
      </c>
      <c r="O1749" s="49">
        <f>1749000-231000</f>
        <v>1518000</v>
      </c>
      <c r="P1749" s="5" t="s">
        <v>393</v>
      </c>
      <c r="Q1749" s="5" t="s">
        <v>766</v>
      </c>
      <c r="R1749" s="11">
        <v>273620100</v>
      </c>
      <c r="S1749" s="22">
        <v>0</v>
      </c>
    </row>
    <row r="1750" spans="1:19" s="36" customFormat="1" ht="76.5">
      <c r="A1750" s="5">
        <v>1735</v>
      </c>
      <c r="B1750" s="15" t="s">
        <v>710</v>
      </c>
      <c r="C1750" s="31" t="s">
        <v>597</v>
      </c>
      <c r="D1750" s="31" t="s">
        <v>598</v>
      </c>
      <c r="E1750" s="57" t="s">
        <v>599</v>
      </c>
      <c r="F1750" s="57" t="s">
        <v>600</v>
      </c>
      <c r="G1750" s="57" t="s">
        <v>1020</v>
      </c>
      <c r="H1750" s="57" t="s">
        <v>602</v>
      </c>
      <c r="I1750" s="57" t="s">
        <v>2568</v>
      </c>
      <c r="J1750" s="5" t="s">
        <v>2567</v>
      </c>
      <c r="K1750" s="57" t="s">
        <v>591</v>
      </c>
      <c r="L1750" s="11" t="s">
        <v>914</v>
      </c>
      <c r="M1750" s="22">
        <v>1</v>
      </c>
      <c r="N1750" s="46">
        <f t="shared" si="45"/>
        <v>1518000</v>
      </c>
      <c r="O1750" s="49">
        <f>1749000-231000</f>
        <v>1518000</v>
      </c>
      <c r="P1750" s="5" t="s">
        <v>393</v>
      </c>
      <c r="Q1750" s="5" t="s">
        <v>766</v>
      </c>
      <c r="R1750" s="11">
        <v>273620100</v>
      </c>
      <c r="S1750" s="22">
        <v>0</v>
      </c>
    </row>
    <row r="1751" spans="1:19" s="75" customFormat="1" ht="76.5">
      <c r="A1751" s="5">
        <v>1736</v>
      </c>
      <c r="B1751" s="15" t="s">
        <v>710</v>
      </c>
      <c r="C1751" s="31" t="s">
        <v>597</v>
      </c>
      <c r="D1751" s="31" t="s">
        <v>598</v>
      </c>
      <c r="E1751" s="57" t="s">
        <v>599</v>
      </c>
      <c r="F1751" s="57" t="s">
        <v>600</v>
      </c>
      <c r="G1751" s="57" t="s">
        <v>1020</v>
      </c>
      <c r="H1751" s="57" t="s">
        <v>602</v>
      </c>
      <c r="I1751" s="57" t="s">
        <v>905</v>
      </c>
      <c r="J1751" s="5" t="s">
        <v>319</v>
      </c>
      <c r="K1751" s="57" t="s">
        <v>591</v>
      </c>
      <c r="L1751" s="11" t="s">
        <v>914</v>
      </c>
      <c r="M1751" s="22">
        <v>1</v>
      </c>
      <c r="N1751" s="46">
        <f t="shared" si="45"/>
        <v>1832158</v>
      </c>
      <c r="O1751" s="49">
        <f>1749000+83158</f>
        <v>1832158</v>
      </c>
      <c r="P1751" s="5" t="s">
        <v>393</v>
      </c>
      <c r="Q1751" s="5" t="s">
        <v>766</v>
      </c>
      <c r="R1751" s="15">
        <v>352310000</v>
      </c>
      <c r="S1751" s="22">
        <v>0</v>
      </c>
    </row>
    <row r="1752" spans="1:19" s="13" customFormat="1" ht="76.5">
      <c r="A1752" s="5">
        <v>1737</v>
      </c>
      <c r="B1752" s="15" t="s">
        <v>710</v>
      </c>
      <c r="C1752" s="31" t="s">
        <v>597</v>
      </c>
      <c r="D1752" s="31" t="s">
        <v>598</v>
      </c>
      <c r="E1752" s="57" t="s">
        <v>599</v>
      </c>
      <c r="F1752" s="57" t="s">
        <v>600</v>
      </c>
      <c r="G1752" s="57" t="s">
        <v>1020</v>
      </c>
      <c r="H1752" s="57" t="s">
        <v>602</v>
      </c>
      <c r="I1752" s="57" t="s">
        <v>2568</v>
      </c>
      <c r="J1752" s="5" t="s">
        <v>2567</v>
      </c>
      <c r="K1752" s="57" t="s">
        <v>591</v>
      </c>
      <c r="L1752" s="11" t="s">
        <v>914</v>
      </c>
      <c r="M1752" s="22">
        <v>1</v>
      </c>
      <c r="N1752" s="46">
        <f t="shared" si="45"/>
        <v>1832158</v>
      </c>
      <c r="O1752" s="49">
        <f>1749000+83158</f>
        <v>1832158</v>
      </c>
      <c r="P1752" s="5" t="s">
        <v>393</v>
      </c>
      <c r="Q1752" s="5" t="s">
        <v>766</v>
      </c>
      <c r="R1752" s="15">
        <v>352310000</v>
      </c>
      <c r="S1752" s="22">
        <v>0</v>
      </c>
    </row>
    <row r="1753" spans="1:19" s="13" customFormat="1" ht="76.5">
      <c r="A1753" s="5">
        <v>1738</v>
      </c>
      <c r="B1753" s="15" t="s">
        <v>710</v>
      </c>
      <c r="C1753" s="31" t="s">
        <v>597</v>
      </c>
      <c r="D1753" s="31" t="s">
        <v>598</v>
      </c>
      <c r="E1753" s="57" t="s">
        <v>599</v>
      </c>
      <c r="F1753" s="57" t="s">
        <v>600</v>
      </c>
      <c r="G1753" s="57" t="s">
        <v>1020</v>
      </c>
      <c r="H1753" s="57" t="s">
        <v>602</v>
      </c>
      <c r="I1753" s="57" t="s">
        <v>905</v>
      </c>
      <c r="J1753" s="5" t="s">
        <v>319</v>
      </c>
      <c r="K1753" s="57" t="s">
        <v>591</v>
      </c>
      <c r="L1753" s="11" t="s">
        <v>914</v>
      </c>
      <c r="M1753" s="22">
        <v>1</v>
      </c>
      <c r="N1753" s="46">
        <f t="shared" si="45"/>
        <v>1832158</v>
      </c>
      <c r="O1753" s="49">
        <f>1749000+83158</f>
        <v>1832158</v>
      </c>
      <c r="P1753" s="5" t="s">
        <v>393</v>
      </c>
      <c r="Q1753" s="5" t="s">
        <v>766</v>
      </c>
      <c r="R1753" s="15">
        <v>352410000</v>
      </c>
      <c r="S1753" s="22">
        <v>0</v>
      </c>
    </row>
    <row r="1754" spans="1:19" s="13" customFormat="1" ht="76.5">
      <c r="A1754" s="5">
        <v>1739</v>
      </c>
      <c r="B1754" s="15" t="s">
        <v>710</v>
      </c>
      <c r="C1754" s="31" t="s">
        <v>597</v>
      </c>
      <c r="D1754" s="31" t="s">
        <v>598</v>
      </c>
      <c r="E1754" s="57" t="s">
        <v>599</v>
      </c>
      <c r="F1754" s="57" t="s">
        <v>600</v>
      </c>
      <c r="G1754" s="57" t="s">
        <v>1020</v>
      </c>
      <c r="H1754" s="57" t="s">
        <v>602</v>
      </c>
      <c r="I1754" s="57" t="s">
        <v>2568</v>
      </c>
      <c r="J1754" s="5" t="s">
        <v>2567</v>
      </c>
      <c r="K1754" s="57" t="s">
        <v>591</v>
      </c>
      <c r="L1754" s="11" t="s">
        <v>914</v>
      </c>
      <c r="M1754" s="22">
        <v>1</v>
      </c>
      <c r="N1754" s="46">
        <f t="shared" si="45"/>
        <v>1832158</v>
      </c>
      <c r="O1754" s="49">
        <f>1749000+83158</f>
        <v>1832158</v>
      </c>
      <c r="P1754" s="5" t="s">
        <v>393</v>
      </c>
      <c r="Q1754" s="5" t="s">
        <v>766</v>
      </c>
      <c r="R1754" s="15">
        <v>352410000</v>
      </c>
      <c r="S1754" s="22">
        <v>0</v>
      </c>
    </row>
    <row r="1755" spans="1:19" s="13" customFormat="1" ht="76.5">
      <c r="A1755" s="5">
        <v>1740</v>
      </c>
      <c r="B1755" s="15" t="s">
        <v>710</v>
      </c>
      <c r="C1755" s="31" t="s">
        <v>597</v>
      </c>
      <c r="D1755" s="31" t="s">
        <v>598</v>
      </c>
      <c r="E1755" s="57" t="s">
        <v>599</v>
      </c>
      <c r="F1755" s="57" t="s">
        <v>600</v>
      </c>
      <c r="G1755" s="57" t="s">
        <v>1020</v>
      </c>
      <c r="H1755" s="57" t="s">
        <v>602</v>
      </c>
      <c r="I1755" s="57" t="s">
        <v>905</v>
      </c>
      <c r="J1755" s="5" t="s">
        <v>319</v>
      </c>
      <c r="K1755" s="57" t="s">
        <v>591</v>
      </c>
      <c r="L1755" s="11" t="s">
        <v>914</v>
      </c>
      <c r="M1755" s="22">
        <v>1</v>
      </c>
      <c r="N1755" s="46">
        <f t="shared" si="45"/>
        <v>1807210</v>
      </c>
      <c r="O1755" s="49">
        <f>1749000+58210</f>
        <v>1807210</v>
      </c>
      <c r="P1755" s="5" t="s">
        <v>393</v>
      </c>
      <c r="Q1755" s="5" t="s">
        <v>766</v>
      </c>
      <c r="R1755" s="15">
        <v>352810000</v>
      </c>
      <c r="S1755" s="22">
        <v>0</v>
      </c>
    </row>
    <row r="1756" spans="1:19" s="13" customFormat="1" ht="76.5">
      <c r="A1756" s="5">
        <v>1741</v>
      </c>
      <c r="B1756" s="15" t="s">
        <v>710</v>
      </c>
      <c r="C1756" s="31" t="s">
        <v>597</v>
      </c>
      <c r="D1756" s="31" t="s">
        <v>598</v>
      </c>
      <c r="E1756" s="57" t="s">
        <v>599</v>
      </c>
      <c r="F1756" s="57" t="s">
        <v>600</v>
      </c>
      <c r="G1756" s="57" t="s">
        <v>1020</v>
      </c>
      <c r="H1756" s="57" t="s">
        <v>602</v>
      </c>
      <c r="I1756" s="57" t="s">
        <v>2568</v>
      </c>
      <c r="J1756" s="5" t="s">
        <v>2567</v>
      </c>
      <c r="K1756" s="57" t="s">
        <v>591</v>
      </c>
      <c r="L1756" s="11" t="s">
        <v>914</v>
      </c>
      <c r="M1756" s="22">
        <v>1</v>
      </c>
      <c r="N1756" s="46">
        <f t="shared" si="45"/>
        <v>1832158</v>
      </c>
      <c r="O1756" s="49">
        <f>1749000+83158</f>
        <v>1832158</v>
      </c>
      <c r="P1756" s="5" t="s">
        <v>393</v>
      </c>
      <c r="Q1756" s="5" t="s">
        <v>766</v>
      </c>
      <c r="R1756" s="15">
        <v>352810000</v>
      </c>
      <c r="S1756" s="22">
        <v>0</v>
      </c>
    </row>
    <row r="1757" spans="1:19" s="13" customFormat="1" ht="76.5">
      <c r="A1757" s="5">
        <v>1742</v>
      </c>
      <c r="B1757" s="15" t="s">
        <v>710</v>
      </c>
      <c r="C1757" s="31" t="s">
        <v>597</v>
      </c>
      <c r="D1757" s="31" t="s">
        <v>598</v>
      </c>
      <c r="E1757" s="57" t="s">
        <v>599</v>
      </c>
      <c r="F1757" s="57" t="s">
        <v>600</v>
      </c>
      <c r="G1757" s="57" t="s">
        <v>1020</v>
      </c>
      <c r="H1757" s="57" t="s">
        <v>602</v>
      </c>
      <c r="I1757" s="57" t="s">
        <v>905</v>
      </c>
      <c r="J1757" s="5" t="s">
        <v>319</v>
      </c>
      <c r="K1757" s="57" t="s">
        <v>591</v>
      </c>
      <c r="L1757" s="11" t="s">
        <v>914</v>
      </c>
      <c r="M1757" s="22">
        <v>1</v>
      </c>
      <c r="N1757" s="46">
        <f t="shared" si="45"/>
        <v>1442158</v>
      </c>
      <c r="O1757" s="49">
        <f>1749000-306842</f>
        <v>1442158</v>
      </c>
      <c r="P1757" s="5" t="s">
        <v>393</v>
      </c>
      <c r="Q1757" s="5" t="s">
        <v>766</v>
      </c>
      <c r="R1757" s="15">
        <v>353220100</v>
      </c>
      <c r="S1757" s="22">
        <v>0</v>
      </c>
    </row>
    <row r="1758" spans="1:19" s="13" customFormat="1" ht="76.5">
      <c r="A1758" s="5">
        <v>1743</v>
      </c>
      <c r="B1758" s="15" t="s">
        <v>710</v>
      </c>
      <c r="C1758" s="31" t="s">
        <v>597</v>
      </c>
      <c r="D1758" s="31" t="s">
        <v>598</v>
      </c>
      <c r="E1758" s="57" t="s">
        <v>599</v>
      </c>
      <c r="F1758" s="57" t="s">
        <v>600</v>
      </c>
      <c r="G1758" s="57" t="s">
        <v>1020</v>
      </c>
      <c r="H1758" s="57" t="s">
        <v>602</v>
      </c>
      <c r="I1758" s="57" t="s">
        <v>2568</v>
      </c>
      <c r="J1758" s="5" t="s">
        <v>2567</v>
      </c>
      <c r="K1758" s="57" t="s">
        <v>591</v>
      </c>
      <c r="L1758" s="11" t="s">
        <v>914</v>
      </c>
      <c r="M1758" s="22">
        <v>1</v>
      </c>
      <c r="N1758" s="46">
        <f t="shared" si="45"/>
        <v>1442158</v>
      </c>
      <c r="O1758" s="49">
        <f>1749000-306842</f>
        <v>1442158</v>
      </c>
      <c r="P1758" s="5" t="s">
        <v>393</v>
      </c>
      <c r="Q1758" s="5" t="s">
        <v>766</v>
      </c>
      <c r="R1758" s="15">
        <v>353220100</v>
      </c>
      <c r="S1758" s="22">
        <v>0</v>
      </c>
    </row>
    <row r="1759" spans="1:19" ht="76.5">
      <c r="A1759" s="5">
        <v>1744</v>
      </c>
      <c r="B1759" s="15" t="s">
        <v>710</v>
      </c>
      <c r="C1759" s="31" t="s">
        <v>597</v>
      </c>
      <c r="D1759" s="31" t="s">
        <v>598</v>
      </c>
      <c r="E1759" s="57" t="s">
        <v>599</v>
      </c>
      <c r="F1759" s="57" t="s">
        <v>600</v>
      </c>
      <c r="G1759" s="57" t="s">
        <v>1020</v>
      </c>
      <c r="H1759" s="57" t="s">
        <v>602</v>
      </c>
      <c r="I1759" s="57" t="s">
        <v>905</v>
      </c>
      <c r="J1759" s="5" t="s">
        <v>319</v>
      </c>
      <c r="K1759" s="57" t="s">
        <v>591</v>
      </c>
      <c r="L1759" s="11" t="s">
        <v>914</v>
      </c>
      <c r="M1759" s="22">
        <v>1</v>
      </c>
      <c r="N1759" s="46">
        <f t="shared" si="45"/>
        <v>1882895</v>
      </c>
      <c r="O1759" s="49">
        <f>1749000+133895</f>
        <v>1882895</v>
      </c>
      <c r="P1759" s="5" t="s">
        <v>393</v>
      </c>
      <c r="Q1759" s="5" t="s">
        <v>766</v>
      </c>
      <c r="R1759" s="11">
        <v>392010000</v>
      </c>
      <c r="S1759" s="22">
        <v>0</v>
      </c>
    </row>
    <row r="1760" spans="1:19" ht="76.5">
      <c r="A1760" s="5">
        <v>1745</v>
      </c>
      <c r="B1760" s="15" t="s">
        <v>710</v>
      </c>
      <c r="C1760" s="31" t="s">
        <v>597</v>
      </c>
      <c r="D1760" s="31" t="s">
        <v>598</v>
      </c>
      <c r="E1760" s="57" t="s">
        <v>599</v>
      </c>
      <c r="F1760" s="57" t="s">
        <v>600</v>
      </c>
      <c r="G1760" s="57" t="s">
        <v>1020</v>
      </c>
      <c r="H1760" s="57" t="s">
        <v>602</v>
      </c>
      <c r="I1760" s="57" t="s">
        <v>2568</v>
      </c>
      <c r="J1760" s="5" t="s">
        <v>2567</v>
      </c>
      <c r="K1760" s="57" t="s">
        <v>591</v>
      </c>
      <c r="L1760" s="11" t="s">
        <v>914</v>
      </c>
      <c r="M1760" s="22">
        <v>1</v>
      </c>
      <c r="N1760" s="46">
        <f t="shared" si="45"/>
        <v>1882895</v>
      </c>
      <c r="O1760" s="49">
        <f>1749000+133895</f>
        <v>1882895</v>
      </c>
      <c r="P1760" s="5" t="s">
        <v>393</v>
      </c>
      <c r="Q1760" s="5" t="s">
        <v>766</v>
      </c>
      <c r="R1760" s="11">
        <v>392010000</v>
      </c>
      <c r="S1760" s="22">
        <v>0</v>
      </c>
    </row>
    <row r="1761" spans="1:19" ht="76.5">
      <c r="A1761" s="5">
        <v>1746</v>
      </c>
      <c r="B1761" s="15" t="s">
        <v>710</v>
      </c>
      <c r="C1761" s="31" t="s">
        <v>597</v>
      </c>
      <c r="D1761" s="31" t="s">
        <v>598</v>
      </c>
      <c r="E1761" s="57" t="s">
        <v>599</v>
      </c>
      <c r="F1761" s="57" t="s">
        <v>600</v>
      </c>
      <c r="G1761" s="57" t="s">
        <v>1020</v>
      </c>
      <c r="H1761" s="57" t="s">
        <v>602</v>
      </c>
      <c r="I1761" s="57" t="s">
        <v>905</v>
      </c>
      <c r="J1761" s="5" t="s">
        <v>319</v>
      </c>
      <c r="K1761" s="57" t="s">
        <v>591</v>
      </c>
      <c r="L1761" s="11" t="s">
        <v>914</v>
      </c>
      <c r="M1761" s="22">
        <v>1</v>
      </c>
      <c r="N1761" s="46">
        <f t="shared" si="45"/>
        <v>1824316</v>
      </c>
      <c r="O1761" s="49">
        <f>1749000+75316</f>
        <v>1824316</v>
      </c>
      <c r="P1761" s="5" t="s">
        <v>393</v>
      </c>
      <c r="Q1761" s="5" t="s">
        <v>766</v>
      </c>
      <c r="R1761" s="11">
        <v>392410000</v>
      </c>
      <c r="S1761" s="22">
        <v>0</v>
      </c>
    </row>
    <row r="1762" spans="1:19" ht="76.5">
      <c r="A1762" s="5">
        <v>1747</v>
      </c>
      <c r="B1762" s="15" t="s">
        <v>710</v>
      </c>
      <c r="C1762" s="31" t="s">
        <v>597</v>
      </c>
      <c r="D1762" s="31" t="s">
        <v>598</v>
      </c>
      <c r="E1762" s="57" t="s">
        <v>599</v>
      </c>
      <c r="F1762" s="57" t="s">
        <v>600</v>
      </c>
      <c r="G1762" s="57" t="s">
        <v>1020</v>
      </c>
      <c r="H1762" s="57" t="s">
        <v>602</v>
      </c>
      <c r="I1762" s="57" t="s">
        <v>2568</v>
      </c>
      <c r="J1762" s="5" t="s">
        <v>2567</v>
      </c>
      <c r="K1762" s="57" t="s">
        <v>591</v>
      </c>
      <c r="L1762" s="11" t="s">
        <v>914</v>
      </c>
      <c r="M1762" s="22">
        <v>1</v>
      </c>
      <c r="N1762" s="46">
        <f t="shared" si="45"/>
        <v>1891263</v>
      </c>
      <c r="O1762" s="49">
        <f>1749000+142263</f>
        <v>1891263</v>
      </c>
      <c r="P1762" s="5" t="s">
        <v>393</v>
      </c>
      <c r="Q1762" s="5" t="s">
        <v>766</v>
      </c>
      <c r="R1762" s="11">
        <v>392410000</v>
      </c>
      <c r="S1762" s="22">
        <v>0</v>
      </c>
    </row>
    <row r="1763" spans="1:19" ht="41.25" customHeight="1">
      <c r="A1763" s="5">
        <v>1748</v>
      </c>
      <c r="B1763" s="29" t="s">
        <v>710</v>
      </c>
      <c r="C1763" s="5" t="s">
        <v>597</v>
      </c>
      <c r="D1763" s="31" t="s">
        <v>598</v>
      </c>
      <c r="E1763" s="57" t="s">
        <v>599</v>
      </c>
      <c r="F1763" s="57" t="s">
        <v>600</v>
      </c>
      <c r="G1763" s="57" t="s">
        <v>1020</v>
      </c>
      <c r="H1763" s="57" t="s">
        <v>602</v>
      </c>
      <c r="I1763" s="57" t="s">
        <v>905</v>
      </c>
      <c r="J1763" s="5" t="s">
        <v>319</v>
      </c>
      <c r="K1763" s="57" t="s">
        <v>591</v>
      </c>
      <c r="L1763" s="11" t="s">
        <v>914</v>
      </c>
      <c r="M1763" s="22">
        <v>1</v>
      </c>
      <c r="N1763" s="46">
        <f t="shared" si="45"/>
        <v>1908000</v>
      </c>
      <c r="O1763" s="49">
        <f t="shared" ref="O1763:O1768" si="46">1749000+159000</f>
        <v>1908000</v>
      </c>
      <c r="P1763" s="5" t="s">
        <v>393</v>
      </c>
      <c r="Q1763" s="5" t="s">
        <v>766</v>
      </c>
      <c r="R1763" s="11">
        <v>471810000</v>
      </c>
      <c r="S1763" s="22">
        <v>0</v>
      </c>
    </row>
    <row r="1764" spans="1:19" ht="53.25" customHeight="1">
      <c r="A1764" s="5">
        <v>1749</v>
      </c>
      <c r="B1764" s="29" t="s">
        <v>710</v>
      </c>
      <c r="C1764" s="5" t="s">
        <v>597</v>
      </c>
      <c r="D1764" s="31" t="s">
        <v>598</v>
      </c>
      <c r="E1764" s="57" t="s">
        <v>599</v>
      </c>
      <c r="F1764" s="57" t="s">
        <v>600</v>
      </c>
      <c r="G1764" s="57" t="s">
        <v>1020</v>
      </c>
      <c r="H1764" s="57" t="s">
        <v>602</v>
      </c>
      <c r="I1764" s="57" t="s">
        <v>2568</v>
      </c>
      <c r="J1764" s="5" t="s">
        <v>2567</v>
      </c>
      <c r="K1764" s="57" t="s">
        <v>591</v>
      </c>
      <c r="L1764" s="11" t="s">
        <v>914</v>
      </c>
      <c r="M1764" s="22">
        <v>1</v>
      </c>
      <c r="N1764" s="46">
        <f t="shared" si="45"/>
        <v>1908000</v>
      </c>
      <c r="O1764" s="49">
        <f t="shared" si="46"/>
        <v>1908000</v>
      </c>
      <c r="P1764" s="5" t="s">
        <v>393</v>
      </c>
      <c r="Q1764" s="5" t="s">
        <v>766</v>
      </c>
      <c r="R1764" s="11">
        <v>471810000</v>
      </c>
      <c r="S1764" s="22">
        <v>0</v>
      </c>
    </row>
    <row r="1765" spans="1:19" s="32" customFormat="1" ht="79.5" customHeight="1">
      <c r="A1765" s="5">
        <v>1750</v>
      </c>
      <c r="B1765" s="15" t="s">
        <v>710</v>
      </c>
      <c r="C1765" s="31" t="s">
        <v>597</v>
      </c>
      <c r="D1765" s="31" t="s">
        <v>598</v>
      </c>
      <c r="E1765" s="57" t="s">
        <v>599</v>
      </c>
      <c r="F1765" s="57" t="s">
        <v>600</v>
      </c>
      <c r="G1765" s="57" t="s">
        <v>1020</v>
      </c>
      <c r="H1765" s="57" t="s">
        <v>602</v>
      </c>
      <c r="I1765" s="57" t="s">
        <v>905</v>
      </c>
      <c r="J1765" s="5" t="s">
        <v>319</v>
      </c>
      <c r="K1765" s="57" t="s">
        <v>591</v>
      </c>
      <c r="L1765" s="11" t="s">
        <v>914</v>
      </c>
      <c r="M1765" s="22">
        <v>1</v>
      </c>
      <c r="N1765" s="46">
        <f t="shared" si="45"/>
        <v>1908000</v>
      </c>
      <c r="O1765" s="49">
        <f t="shared" si="46"/>
        <v>1908000</v>
      </c>
      <c r="P1765" s="5" t="s">
        <v>393</v>
      </c>
      <c r="Q1765" s="5" t="s">
        <v>766</v>
      </c>
      <c r="R1765" s="11">
        <v>552210000</v>
      </c>
      <c r="S1765" s="22">
        <v>0</v>
      </c>
    </row>
    <row r="1766" spans="1:19" s="32" customFormat="1" ht="84" customHeight="1">
      <c r="A1766" s="5">
        <v>1751</v>
      </c>
      <c r="B1766" s="15" t="s">
        <v>710</v>
      </c>
      <c r="C1766" s="31" t="s">
        <v>597</v>
      </c>
      <c r="D1766" s="31" t="s">
        <v>598</v>
      </c>
      <c r="E1766" s="57" t="s">
        <v>599</v>
      </c>
      <c r="F1766" s="57" t="s">
        <v>600</v>
      </c>
      <c r="G1766" s="57" t="s">
        <v>1020</v>
      </c>
      <c r="H1766" s="57" t="s">
        <v>602</v>
      </c>
      <c r="I1766" s="57" t="s">
        <v>2568</v>
      </c>
      <c r="J1766" s="5" t="s">
        <v>2567</v>
      </c>
      <c r="K1766" s="57" t="s">
        <v>591</v>
      </c>
      <c r="L1766" s="11" t="s">
        <v>914</v>
      </c>
      <c r="M1766" s="22">
        <v>1</v>
      </c>
      <c r="N1766" s="46">
        <f t="shared" si="45"/>
        <v>1908000</v>
      </c>
      <c r="O1766" s="49">
        <f t="shared" si="46"/>
        <v>1908000</v>
      </c>
      <c r="P1766" s="5" t="s">
        <v>393</v>
      </c>
      <c r="Q1766" s="5" t="s">
        <v>766</v>
      </c>
      <c r="R1766" s="11">
        <v>552210000</v>
      </c>
      <c r="S1766" s="22">
        <v>0</v>
      </c>
    </row>
    <row r="1767" spans="1:19" s="32" customFormat="1" ht="81.75" customHeight="1">
      <c r="A1767" s="5">
        <v>1752</v>
      </c>
      <c r="B1767" s="15" t="s">
        <v>710</v>
      </c>
      <c r="C1767" s="31" t="s">
        <v>597</v>
      </c>
      <c r="D1767" s="31" t="s">
        <v>598</v>
      </c>
      <c r="E1767" s="57" t="s">
        <v>599</v>
      </c>
      <c r="F1767" s="57" t="s">
        <v>600</v>
      </c>
      <c r="G1767" s="57" t="s">
        <v>1020</v>
      </c>
      <c r="H1767" s="57" t="s">
        <v>602</v>
      </c>
      <c r="I1767" s="57" t="s">
        <v>905</v>
      </c>
      <c r="J1767" s="5" t="s">
        <v>319</v>
      </c>
      <c r="K1767" s="57" t="s">
        <v>591</v>
      </c>
      <c r="L1767" s="11" t="s">
        <v>914</v>
      </c>
      <c r="M1767" s="22">
        <v>1</v>
      </c>
      <c r="N1767" s="46">
        <f t="shared" si="45"/>
        <v>1908000</v>
      </c>
      <c r="O1767" s="49">
        <f t="shared" si="46"/>
        <v>1908000</v>
      </c>
      <c r="P1767" s="5" t="s">
        <v>393</v>
      </c>
      <c r="Q1767" s="5" t="s">
        <v>766</v>
      </c>
      <c r="R1767" s="11">
        <v>551610000</v>
      </c>
      <c r="S1767" s="22">
        <v>0</v>
      </c>
    </row>
    <row r="1768" spans="1:19" s="32" customFormat="1" ht="79.5" customHeight="1">
      <c r="A1768" s="5">
        <v>1753</v>
      </c>
      <c r="B1768" s="15" t="s">
        <v>710</v>
      </c>
      <c r="C1768" s="31" t="s">
        <v>597</v>
      </c>
      <c r="D1768" s="31" t="s">
        <v>598</v>
      </c>
      <c r="E1768" s="57" t="s">
        <v>599</v>
      </c>
      <c r="F1768" s="57" t="s">
        <v>600</v>
      </c>
      <c r="G1768" s="57" t="s">
        <v>1020</v>
      </c>
      <c r="H1768" s="57" t="s">
        <v>602</v>
      </c>
      <c r="I1768" s="57" t="s">
        <v>2568</v>
      </c>
      <c r="J1768" s="5" t="s">
        <v>2567</v>
      </c>
      <c r="K1768" s="57" t="s">
        <v>591</v>
      </c>
      <c r="L1768" s="11" t="s">
        <v>914</v>
      </c>
      <c r="M1768" s="22">
        <v>1</v>
      </c>
      <c r="N1768" s="46">
        <f t="shared" si="45"/>
        <v>1908000</v>
      </c>
      <c r="O1768" s="49">
        <f t="shared" si="46"/>
        <v>1908000</v>
      </c>
      <c r="P1768" s="5" t="s">
        <v>393</v>
      </c>
      <c r="Q1768" s="5" t="s">
        <v>766</v>
      </c>
      <c r="R1768" s="11">
        <v>551610000</v>
      </c>
      <c r="S1768" s="22">
        <v>0</v>
      </c>
    </row>
    <row r="1769" spans="1:19" ht="76.5">
      <c r="A1769" s="5">
        <v>1754</v>
      </c>
      <c r="B1769" s="15" t="s">
        <v>710</v>
      </c>
      <c r="C1769" s="31" t="s">
        <v>597</v>
      </c>
      <c r="D1769" s="31" t="s">
        <v>598</v>
      </c>
      <c r="E1769" s="57" t="s">
        <v>599</v>
      </c>
      <c r="F1769" s="57" t="s">
        <v>600</v>
      </c>
      <c r="G1769" s="57" t="s">
        <v>1020</v>
      </c>
      <c r="H1769" s="57" t="s">
        <v>602</v>
      </c>
      <c r="I1769" s="57" t="s">
        <v>905</v>
      </c>
      <c r="J1769" s="5" t="s">
        <v>319</v>
      </c>
      <c r="K1769" s="57" t="s">
        <v>591</v>
      </c>
      <c r="L1769" s="11" t="s">
        <v>914</v>
      </c>
      <c r="M1769" s="22">
        <v>1</v>
      </c>
      <c r="N1769" s="46">
        <f t="shared" si="45"/>
        <v>1849421</v>
      </c>
      <c r="O1769" s="49">
        <f>1749000+100421</f>
        <v>1849421</v>
      </c>
      <c r="P1769" s="5" t="s">
        <v>393</v>
      </c>
      <c r="Q1769" s="5" t="s">
        <v>766</v>
      </c>
      <c r="R1769" s="11">
        <v>632410000</v>
      </c>
      <c r="S1769" s="22">
        <v>0</v>
      </c>
    </row>
    <row r="1770" spans="1:19" ht="76.5">
      <c r="A1770" s="5">
        <v>1755</v>
      </c>
      <c r="B1770" s="15" t="s">
        <v>710</v>
      </c>
      <c r="C1770" s="31" t="s">
        <v>597</v>
      </c>
      <c r="D1770" s="31" t="s">
        <v>598</v>
      </c>
      <c r="E1770" s="57" t="s">
        <v>599</v>
      </c>
      <c r="F1770" s="57" t="s">
        <v>600</v>
      </c>
      <c r="G1770" s="57" t="s">
        <v>1020</v>
      </c>
      <c r="H1770" s="57" t="s">
        <v>602</v>
      </c>
      <c r="I1770" s="57" t="s">
        <v>2568</v>
      </c>
      <c r="J1770" s="5" t="s">
        <v>2567</v>
      </c>
      <c r="K1770" s="57" t="s">
        <v>591</v>
      </c>
      <c r="L1770" s="11" t="s">
        <v>914</v>
      </c>
      <c r="M1770" s="22">
        <v>1</v>
      </c>
      <c r="N1770" s="46">
        <f t="shared" si="45"/>
        <v>1849421</v>
      </c>
      <c r="O1770" s="49">
        <f>1749000+100421</f>
        <v>1849421</v>
      </c>
      <c r="P1770" s="5" t="s">
        <v>393</v>
      </c>
      <c r="Q1770" s="5" t="s">
        <v>766</v>
      </c>
      <c r="R1770" s="11">
        <v>632410000</v>
      </c>
      <c r="S1770" s="22">
        <v>0</v>
      </c>
    </row>
    <row r="1771" spans="1:19" ht="76.5">
      <c r="A1771" s="5">
        <v>1756</v>
      </c>
      <c r="B1771" s="15" t="s">
        <v>710</v>
      </c>
      <c r="C1771" s="31" t="s">
        <v>597</v>
      </c>
      <c r="D1771" s="31" t="s">
        <v>598</v>
      </c>
      <c r="E1771" s="57" t="s">
        <v>599</v>
      </c>
      <c r="F1771" s="57" t="s">
        <v>600</v>
      </c>
      <c r="G1771" s="57" t="s">
        <v>1020</v>
      </c>
      <c r="H1771" s="57" t="s">
        <v>602</v>
      </c>
      <c r="I1771" s="57" t="s">
        <v>905</v>
      </c>
      <c r="J1771" s="5" t="s">
        <v>319</v>
      </c>
      <c r="K1771" s="57" t="s">
        <v>591</v>
      </c>
      <c r="L1771" s="11" t="s">
        <v>914</v>
      </c>
      <c r="M1771" s="22">
        <v>1</v>
      </c>
      <c r="N1771" s="46">
        <f t="shared" si="45"/>
        <v>1434316</v>
      </c>
      <c r="O1771" s="49">
        <f>1749000-314684</f>
        <v>1434316</v>
      </c>
      <c r="P1771" s="5" t="s">
        <v>393</v>
      </c>
      <c r="Q1771" s="5" t="s">
        <v>766</v>
      </c>
      <c r="R1771" s="15">
        <v>632210000</v>
      </c>
      <c r="S1771" s="22">
        <v>0</v>
      </c>
    </row>
    <row r="1772" spans="1:19" ht="76.5">
      <c r="A1772" s="5">
        <v>1757</v>
      </c>
      <c r="B1772" s="15" t="s">
        <v>710</v>
      </c>
      <c r="C1772" s="31" t="s">
        <v>597</v>
      </c>
      <c r="D1772" s="31" t="s">
        <v>598</v>
      </c>
      <c r="E1772" s="57" t="s">
        <v>599</v>
      </c>
      <c r="F1772" s="57" t="s">
        <v>600</v>
      </c>
      <c r="G1772" s="57" t="s">
        <v>1020</v>
      </c>
      <c r="H1772" s="57" t="s">
        <v>602</v>
      </c>
      <c r="I1772" s="57" t="s">
        <v>2568</v>
      </c>
      <c r="J1772" s="5" t="s">
        <v>2567</v>
      </c>
      <c r="K1772" s="57" t="s">
        <v>591</v>
      </c>
      <c r="L1772" s="11" t="s">
        <v>914</v>
      </c>
      <c r="M1772" s="22">
        <v>1</v>
      </c>
      <c r="N1772" s="46">
        <f t="shared" si="45"/>
        <v>1492895</v>
      </c>
      <c r="O1772" s="49">
        <f>1749000-256105</f>
        <v>1492895</v>
      </c>
      <c r="P1772" s="5" t="s">
        <v>393</v>
      </c>
      <c r="Q1772" s="5" t="s">
        <v>766</v>
      </c>
      <c r="R1772" s="15">
        <v>632210000</v>
      </c>
      <c r="S1772" s="22">
        <v>0</v>
      </c>
    </row>
    <row r="1773" spans="1:19" s="32" customFormat="1" ht="51">
      <c r="A1773" s="5">
        <v>1758</v>
      </c>
      <c r="B1773" s="29" t="s">
        <v>710</v>
      </c>
      <c r="C1773" s="35" t="s">
        <v>597</v>
      </c>
      <c r="D1773" s="31" t="s">
        <v>937</v>
      </c>
      <c r="E1773" s="57" t="s">
        <v>2205</v>
      </c>
      <c r="F1773" s="57" t="s">
        <v>938</v>
      </c>
      <c r="G1773" s="57" t="s">
        <v>2205</v>
      </c>
      <c r="H1773" s="57" t="s">
        <v>938</v>
      </c>
      <c r="I1773" s="57" t="s">
        <v>2206</v>
      </c>
      <c r="J1773" s="57" t="s">
        <v>316</v>
      </c>
      <c r="K1773" s="57" t="s">
        <v>591</v>
      </c>
      <c r="L1773" s="11" t="s">
        <v>914</v>
      </c>
      <c r="M1773" s="22">
        <v>1</v>
      </c>
      <c r="N1773" s="46">
        <v>1800000</v>
      </c>
      <c r="O1773" s="49">
        <f t="shared" ref="O1773:O1836" si="47">M1773*N1773</f>
        <v>1800000</v>
      </c>
      <c r="P1773" s="5" t="s">
        <v>393</v>
      </c>
      <c r="Q1773" s="5" t="s">
        <v>766</v>
      </c>
      <c r="R1773" s="11">
        <v>551000000</v>
      </c>
      <c r="S1773" s="22">
        <v>0</v>
      </c>
    </row>
    <row r="1774" spans="1:19" s="32" customFormat="1" ht="76.5">
      <c r="A1774" s="5">
        <v>1759</v>
      </c>
      <c r="B1774" s="29" t="s">
        <v>710</v>
      </c>
      <c r="C1774" s="5" t="s">
        <v>597</v>
      </c>
      <c r="D1774" s="31" t="s">
        <v>598</v>
      </c>
      <c r="E1774" s="57" t="s">
        <v>599</v>
      </c>
      <c r="F1774" s="57" t="s">
        <v>782</v>
      </c>
      <c r="G1774" s="57" t="s">
        <v>601</v>
      </c>
      <c r="H1774" s="57" t="s">
        <v>602</v>
      </c>
      <c r="I1774" s="57" t="s">
        <v>783</v>
      </c>
      <c r="J1774" s="57" t="s">
        <v>317</v>
      </c>
      <c r="K1774" s="57" t="s">
        <v>591</v>
      </c>
      <c r="L1774" s="11" t="s">
        <v>914</v>
      </c>
      <c r="M1774" s="22">
        <v>1</v>
      </c>
      <c r="N1774" s="46">
        <v>1800000</v>
      </c>
      <c r="O1774" s="49">
        <f t="shared" si="47"/>
        <v>1800000</v>
      </c>
      <c r="P1774" s="5" t="s">
        <v>393</v>
      </c>
      <c r="Q1774" s="5" t="s">
        <v>766</v>
      </c>
      <c r="R1774" s="11">
        <v>551000000</v>
      </c>
      <c r="S1774" s="40">
        <v>0</v>
      </c>
    </row>
    <row r="1775" spans="1:19" s="32" customFormat="1" ht="76.5">
      <c r="A1775" s="5">
        <v>1760</v>
      </c>
      <c r="B1775" s="29" t="s">
        <v>710</v>
      </c>
      <c r="C1775" s="5" t="s">
        <v>597</v>
      </c>
      <c r="D1775" s="31" t="s">
        <v>598</v>
      </c>
      <c r="E1775" s="57" t="s">
        <v>599</v>
      </c>
      <c r="F1775" s="57" t="s">
        <v>782</v>
      </c>
      <c r="G1775" s="57" t="s">
        <v>601</v>
      </c>
      <c r="H1775" s="57" t="s">
        <v>602</v>
      </c>
      <c r="I1775" s="57" t="s">
        <v>784</v>
      </c>
      <c r="J1775" s="57" t="s">
        <v>318</v>
      </c>
      <c r="K1775" s="57" t="s">
        <v>591</v>
      </c>
      <c r="L1775" s="11" t="s">
        <v>914</v>
      </c>
      <c r="M1775" s="22">
        <v>1</v>
      </c>
      <c r="N1775" s="46">
        <v>1800000</v>
      </c>
      <c r="O1775" s="49">
        <f t="shared" si="47"/>
        <v>1800000</v>
      </c>
      <c r="P1775" s="5" t="s">
        <v>393</v>
      </c>
      <c r="Q1775" s="5" t="s">
        <v>766</v>
      </c>
      <c r="R1775" s="11">
        <v>551000000</v>
      </c>
      <c r="S1775" s="40">
        <v>0</v>
      </c>
    </row>
    <row r="1776" spans="1:19" s="32" customFormat="1" ht="76.5">
      <c r="A1776" s="5">
        <v>1761</v>
      </c>
      <c r="B1776" s="29" t="s">
        <v>710</v>
      </c>
      <c r="C1776" s="42" t="s">
        <v>597</v>
      </c>
      <c r="D1776" s="31" t="s">
        <v>598</v>
      </c>
      <c r="E1776" s="57" t="s">
        <v>599</v>
      </c>
      <c r="F1776" s="57" t="s">
        <v>782</v>
      </c>
      <c r="G1776" s="57" t="s">
        <v>601</v>
      </c>
      <c r="H1776" s="57" t="s">
        <v>602</v>
      </c>
      <c r="I1776" s="57" t="s">
        <v>905</v>
      </c>
      <c r="J1776" s="57" t="s">
        <v>319</v>
      </c>
      <c r="K1776" s="57" t="s">
        <v>591</v>
      </c>
      <c r="L1776" s="11" t="s">
        <v>914</v>
      </c>
      <c r="M1776" s="22">
        <v>1</v>
      </c>
      <c r="N1776" s="46">
        <v>1800000</v>
      </c>
      <c r="O1776" s="49">
        <f t="shared" si="47"/>
        <v>1800000</v>
      </c>
      <c r="P1776" s="5" t="s">
        <v>393</v>
      </c>
      <c r="Q1776" s="5" t="s">
        <v>766</v>
      </c>
      <c r="R1776" s="11">
        <v>551000000</v>
      </c>
      <c r="S1776" s="40">
        <v>0</v>
      </c>
    </row>
    <row r="1777" spans="1:19" s="32" customFormat="1" ht="81.75" customHeight="1">
      <c r="A1777" s="5">
        <v>1762</v>
      </c>
      <c r="B1777" s="15" t="s">
        <v>710</v>
      </c>
      <c r="C1777" s="31" t="s">
        <v>597</v>
      </c>
      <c r="D1777" s="31" t="s">
        <v>598</v>
      </c>
      <c r="E1777" s="57" t="s">
        <v>599</v>
      </c>
      <c r="F1777" s="57" t="s">
        <v>906</v>
      </c>
      <c r="G1777" s="57" t="s">
        <v>601</v>
      </c>
      <c r="H1777" s="57" t="s">
        <v>602</v>
      </c>
      <c r="I1777" s="57" t="s">
        <v>907</v>
      </c>
      <c r="J1777" s="57" t="s">
        <v>908</v>
      </c>
      <c r="K1777" s="57" t="s">
        <v>591</v>
      </c>
      <c r="L1777" s="11" t="s">
        <v>914</v>
      </c>
      <c r="M1777" s="22">
        <v>1</v>
      </c>
      <c r="N1777" s="46">
        <v>1800000</v>
      </c>
      <c r="O1777" s="49">
        <f t="shared" si="47"/>
        <v>1800000</v>
      </c>
      <c r="P1777" s="5" t="s">
        <v>393</v>
      </c>
      <c r="Q1777" s="5" t="s">
        <v>766</v>
      </c>
      <c r="R1777" s="11">
        <v>551000000</v>
      </c>
      <c r="S1777" s="40">
        <v>0</v>
      </c>
    </row>
    <row r="1778" spans="1:19" ht="51">
      <c r="A1778" s="5">
        <v>1763</v>
      </c>
      <c r="B1778" s="29" t="s">
        <v>710</v>
      </c>
      <c r="C1778" s="35" t="s">
        <v>597</v>
      </c>
      <c r="D1778" s="31" t="s">
        <v>937</v>
      </c>
      <c r="E1778" s="57" t="s">
        <v>2205</v>
      </c>
      <c r="F1778" s="57" t="s">
        <v>938</v>
      </c>
      <c r="G1778" s="57" t="s">
        <v>2205</v>
      </c>
      <c r="H1778" s="57" t="s">
        <v>938</v>
      </c>
      <c r="I1778" s="57" t="s">
        <v>2206</v>
      </c>
      <c r="J1778" s="57" t="s">
        <v>316</v>
      </c>
      <c r="K1778" s="57" t="s">
        <v>591</v>
      </c>
      <c r="L1778" s="11" t="s">
        <v>914</v>
      </c>
      <c r="M1778" s="22">
        <v>1</v>
      </c>
      <c r="N1778" s="46">
        <v>1800000</v>
      </c>
      <c r="O1778" s="49">
        <f t="shared" si="47"/>
        <v>1800000</v>
      </c>
      <c r="P1778" s="5" t="s">
        <v>393</v>
      </c>
      <c r="Q1778" s="5" t="s">
        <v>766</v>
      </c>
      <c r="R1778" s="11" t="s">
        <v>633</v>
      </c>
      <c r="S1778" s="22">
        <v>0</v>
      </c>
    </row>
    <row r="1779" spans="1:19" ht="76.5">
      <c r="A1779" s="5">
        <v>1764</v>
      </c>
      <c r="B1779" s="29" t="s">
        <v>710</v>
      </c>
      <c r="C1779" s="5" t="s">
        <v>597</v>
      </c>
      <c r="D1779" s="31" t="s">
        <v>598</v>
      </c>
      <c r="E1779" s="57" t="s">
        <v>599</v>
      </c>
      <c r="F1779" s="57" t="s">
        <v>782</v>
      </c>
      <c r="G1779" s="57" t="s">
        <v>601</v>
      </c>
      <c r="H1779" s="57" t="s">
        <v>602</v>
      </c>
      <c r="I1779" s="57" t="s">
        <v>783</v>
      </c>
      <c r="J1779" s="57" t="s">
        <v>317</v>
      </c>
      <c r="K1779" s="57" t="s">
        <v>591</v>
      </c>
      <c r="L1779" s="11" t="s">
        <v>914</v>
      </c>
      <c r="M1779" s="22">
        <v>1</v>
      </c>
      <c r="N1779" s="46">
        <v>1800000</v>
      </c>
      <c r="O1779" s="49">
        <f t="shared" si="47"/>
        <v>1800000</v>
      </c>
      <c r="P1779" s="5" t="s">
        <v>393</v>
      </c>
      <c r="Q1779" s="5" t="s">
        <v>766</v>
      </c>
      <c r="R1779" s="11" t="s">
        <v>633</v>
      </c>
      <c r="S1779" s="22">
        <v>0</v>
      </c>
    </row>
    <row r="1780" spans="1:19" ht="76.5">
      <c r="A1780" s="5">
        <v>1765</v>
      </c>
      <c r="B1780" s="29" t="s">
        <v>710</v>
      </c>
      <c r="C1780" s="5" t="s">
        <v>597</v>
      </c>
      <c r="D1780" s="31" t="s">
        <v>598</v>
      </c>
      <c r="E1780" s="57" t="s">
        <v>599</v>
      </c>
      <c r="F1780" s="57" t="s">
        <v>782</v>
      </c>
      <c r="G1780" s="57" t="s">
        <v>601</v>
      </c>
      <c r="H1780" s="57" t="s">
        <v>602</v>
      </c>
      <c r="I1780" s="57" t="s">
        <v>784</v>
      </c>
      <c r="J1780" s="57" t="s">
        <v>318</v>
      </c>
      <c r="K1780" s="57" t="s">
        <v>591</v>
      </c>
      <c r="L1780" s="11" t="s">
        <v>914</v>
      </c>
      <c r="M1780" s="22">
        <v>1</v>
      </c>
      <c r="N1780" s="46">
        <v>1800000</v>
      </c>
      <c r="O1780" s="49">
        <f t="shared" si="47"/>
        <v>1800000</v>
      </c>
      <c r="P1780" s="5" t="s">
        <v>393</v>
      </c>
      <c r="Q1780" s="5" t="s">
        <v>766</v>
      </c>
      <c r="R1780" s="11" t="s">
        <v>633</v>
      </c>
      <c r="S1780" s="22">
        <v>0</v>
      </c>
    </row>
    <row r="1781" spans="1:19" ht="76.5">
      <c r="A1781" s="5">
        <v>1766</v>
      </c>
      <c r="B1781" s="29" t="s">
        <v>710</v>
      </c>
      <c r="C1781" s="42" t="s">
        <v>597</v>
      </c>
      <c r="D1781" s="31" t="s">
        <v>598</v>
      </c>
      <c r="E1781" s="57" t="s">
        <v>599</v>
      </c>
      <c r="F1781" s="57" t="s">
        <v>782</v>
      </c>
      <c r="G1781" s="57" t="s">
        <v>601</v>
      </c>
      <c r="H1781" s="57" t="s">
        <v>602</v>
      </c>
      <c r="I1781" s="57" t="s">
        <v>905</v>
      </c>
      <c r="J1781" s="57" t="s">
        <v>319</v>
      </c>
      <c r="K1781" s="57" t="s">
        <v>591</v>
      </c>
      <c r="L1781" s="11" t="s">
        <v>914</v>
      </c>
      <c r="M1781" s="22">
        <v>1</v>
      </c>
      <c r="N1781" s="46">
        <v>1800000</v>
      </c>
      <c r="O1781" s="49">
        <f t="shared" si="47"/>
        <v>1800000</v>
      </c>
      <c r="P1781" s="5" t="s">
        <v>393</v>
      </c>
      <c r="Q1781" s="5" t="s">
        <v>766</v>
      </c>
      <c r="R1781" s="11" t="s">
        <v>633</v>
      </c>
      <c r="S1781" s="22">
        <v>0</v>
      </c>
    </row>
    <row r="1782" spans="1:19" ht="76.5">
      <c r="A1782" s="5">
        <v>1767</v>
      </c>
      <c r="B1782" s="15" t="s">
        <v>710</v>
      </c>
      <c r="C1782" s="31" t="s">
        <v>597</v>
      </c>
      <c r="D1782" s="31" t="s">
        <v>598</v>
      </c>
      <c r="E1782" s="57" t="s">
        <v>2201</v>
      </c>
      <c r="F1782" s="57" t="s">
        <v>600</v>
      </c>
      <c r="G1782" s="57" t="s">
        <v>2199</v>
      </c>
      <c r="H1782" s="57" t="s">
        <v>602</v>
      </c>
      <c r="I1782" s="57" t="s">
        <v>2200</v>
      </c>
      <c r="J1782" s="57" t="s">
        <v>320</v>
      </c>
      <c r="K1782" s="57" t="s">
        <v>591</v>
      </c>
      <c r="L1782" s="11" t="s">
        <v>914</v>
      </c>
      <c r="M1782" s="22">
        <v>1</v>
      </c>
      <c r="N1782" s="46">
        <v>1800000</v>
      </c>
      <c r="O1782" s="49">
        <f t="shared" si="47"/>
        <v>1800000</v>
      </c>
      <c r="P1782" s="5" t="s">
        <v>393</v>
      </c>
      <c r="Q1782" s="5" t="s">
        <v>766</v>
      </c>
      <c r="R1782" s="11" t="s">
        <v>633</v>
      </c>
      <c r="S1782" s="22">
        <v>0</v>
      </c>
    </row>
    <row r="1783" spans="1:19" ht="51">
      <c r="A1783" s="5">
        <v>1768</v>
      </c>
      <c r="B1783" s="29" t="s">
        <v>710</v>
      </c>
      <c r="C1783" s="35" t="s">
        <v>597</v>
      </c>
      <c r="D1783" s="31" t="s">
        <v>937</v>
      </c>
      <c r="E1783" s="57" t="s">
        <v>2205</v>
      </c>
      <c r="F1783" s="57" t="s">
        <v>938</v>
      </c>
      <c r="G1783" s="57" t="s">
        <v>2205</v>
      </c>
      <c r="H1783" s="57" t="s">
        <v>938</v>
      </c>
      <c r="I1783" s="57" t="s">
        <v>2206</v>
      </c>
      <c r="J1783" s="57" t="s">
        <v>316</v>
      </c>
      <c r="K1783" s="57" t="s">
        <v>591</v>
      </c>
      <c r="L1783" s="11" t="s">
        <v>914</v>
      </c>
      <c r="M1783" s="22">
        <v>1</v>
      </c>
      <c r="N1783" s="46">
        <v>1800000</v>
      </c>
      <c r="O1783" s="49">
        <f t="shared" si="47"/>
        <v>1800000</v>
      </c>
      <c r="P1783" s="5" t="s">
        <v>393</v>
      </c>
      <c r="Q1783" s="5" t="s">
        <v>766</v>
      </c>
      <c r="R1783" s="11" t="s">
        <v>694</v>
      </c>
      <c r="S1783" s="22">
        <v>0</v>
      </c>
    </row>
    <row r="1784" spans="1:19" ht="76.5">
      <c r="A1784" s="5">
        <v>1769</v>
      </c>
      <c r="B1784" s="29" t="s">
        <v>710</v>
      </c>
      <c r="C1784" s="5" t="s">
        <v>597</v>
      </c>
      <c r="D1784" s="31" t="s">
        <v>598</v>
      </c>
      <c r="E1784" s="57" t="s">
        <v>599</v>
      </c>
      <c r="F1784" s="57" t="s">
        <v>782</v>
      </c>
      <c r="G1784" s="57" t="s">
        <v>601</v>
      </c>
      <c r="H1784" s="57" t="s">
        <v>602</v>
      </c>
      <c r="I1784" s="57" t="s">
        <v>783</v>
      </c>
      <c r="J1784" s="57" t="s">
        <v>317</v>
      </c>
      <c r="K1784" s="57" t="s">
        <v>591</v>
      </c>
      <c r="L1784" s="11" t="s">
        <v>914</v>
      </c>
      <c r="M1784" s="22">
        <v>1</v>
      </c>
      <c r="N1784" s="46">
        <v>1800000</v>
      </c>
      <c r="O1784" s="49">
        <f t="shared" si="47"/>
        <v>1800000</v>
      </c>
      <c r="P1784" s="5" t="s">
        <v>393</v>
      </c>
      <c r="Q1784" s="5" t="s">
        <v>766</v>
      </c>
      <c r="R1784" s="11" t="s">
        <v>694</v>
      </c>
      <c r="S1784" s="22">
        <v>0</v>
      </c>
    </row>
    <row r="1785" spans="1:19" ht="76.5">
      <c r="A1785" s="5">
        <v>1770</v>
      </c>
      <c r="B1785" s="29" t="s">
        <v>710</v>
      </c>
      <c r="C1785" s="5" t="s">
        <v>597</v>
      </c>
      <c r="D1785" s="31" t="s">
        <v>598</v>
      </c>
      <c r="E1785" s="57" t="s">
        <v>599</v>
      </c>
      <c r="F1785" s="57" t="s">
        <v>782</v>
      </c>
      <c r="G1785" s="57" t="s">
        <v>601</v>
      </c>
      <c r="H1785" s="57" t="s">
        <v>602</v>
      </c>
      <c r="I1785" s="57" t="s">
        <v>784</v>
      </c>
      <c r="J1785" s="57" t="s">
        <v>318</v>
      </c>
      <c r="K1785" s="57" t="s">
        <v>591</v>
      </c>
      <c r="L1785" s="11" t="s">
        <v>914</v>
      </c>
      <c r="M1785" s="22">
        <v>1</v>
      </c>
      <c r="N1785" s="46">
        <v>1800000</v>
      </c>
      <c r="O1785" s="49">
        <f t="shared" si="47"/>
        <v>1800000</v>
      </c>
      <c r="P1785" s="5" t="s">
        <v>393</v>
      </c>
      <c r="Q1785" s="5" t="s">
        <v>766</v>
      </c>
      <c r="R1785" s="11" t="s">
        <v>694</v>
      </c>
      <c r="S1785" s="22">
        <v>0</v>
      </c>
    </row>
    <row r="1786" spans="1:19" ht="76.5">
      <c r="A1786" s="5">
        <v>1771</v>
      </c>
      <c r="B1786" s="15" t="s">
        <v>710</v>
      </c>
      <c r="C1786" s="31" t="s">
        <v>597</v>
      </c>
      <c r="D1786" s="31" t="s">
        <v>598</v>
      </c>
      <c r="E1786" s="57" t="s">
        <v>599</v>
      </c>
      <c r="F1786" s="57" t="s">
        <v>782</v>
      </c>
      <c r="G1786" s="57" t="s">
        <v>601</v>
      </c>
      <c r="H1786" s="57" t="s">
        <v>602</v>
      </c>
      <c r="I1786" s="57" t="s">
        <v>905</v>
      </c>
      <c r="J1786" s="57" t="s">
        <v>319</v>
      </c>
      <c r="K1786" s="57" t="s">
        <v>591</v>
      </c>
      <c r="L1786" s="11" t="s">
        <v>914</v>
      </c>
      <c r="M1786" s="22">
        <v>1</v>
      </c>
      <c r="N1786" s="46">
        <v>1800000</v>
      </c>
      <c r="O1786" s="49">
        <f t="shared" si="47"/>
        <v>1800000</v>
      </c>
      <c r="P1786" s="5" t="s">
        <v>393</v>
      </c>
      <c r="Q1786" s="5" t="s">
        <v>766</v>
      </c>
      <c r="R1786" s="11" t="s">
        <v>694</v>
      </c>
      <c r="S1786" s="22">
        <v>0</v>
      </c>
    </row>
    <row r="1787" spans="1:19" ht="76.5">
      <c r="A1787" s="5">
        <v>1772</v>
      </c>
      <c r="B1787" s="29" t="s">
        <v>710</v>
      </c>
      <c r="C1787" s="42" t="s">
        <v>597</v>
      </c>
      <c r="D1787" s="31" t="s">
        <v>598</v>
      </c>
      <c r="E1787" s="57" t="s">
        <v>599</v>
      </c>
      <c r="F1787" s="57" t="s">
        <v>782</v>
      </c>
      <c r="G1787" s="57" t="s">
        <v>601</v>
      </c>
      <c r="H1787" s="57" t="s">
        <v>602</v>
      </c>
      <c r="I1787" s="57" t="s">
        <v>905</v>
      </c>
      <c r="J1787" s="57" t="s">
        <v>319</v>
      </c>
      <c r="K1787" s="57" t="s">
        <v>591</v>
      </c>
      <c r="L1787" s="11" t="s">
        <v>914</v>
      </c>
      <c r="M1787" s="22">
        <v>1</v>
      </c>
      <c r="N1787" s="46">
        <v>1800000</v>
      </c>
      <c r="O1787" s="49">
        <f t="shared" si="47"/>
        <v>1800000</v>
      </c>
      <c r="P1787" s="5" t="s">
        <v>393</v>
      </c>
      <c r="Q1787" s="5" t="s">
        <v>766</v>
      </c>
      <c r="R1787" s="11" t="s">
        <v>694</v>
      </c>
      <c r="S1787" s="22">
        <v>0</v>
      </c>
    </row>
    <row r="1788" spans="1:19" s="13" customFormat="1" ht="51">
      <c r="A1788" s="5">
        <v>1773</v>
      </c>
      <c r="B1788" s="29" t="s">
        <v>710</v>
      </c>
      <c r="C1788" s="35" t="s">
        <v>597</v>
      </c>
      <c r="D1788" s="31" t="s">
        <v>937</v>
      </c>
      <c r="E1788" s="57" t="s">
        <v>2205</v>
      </c>
      <c r="F1788" s="57" t="s">
        <v>938</v>
      </c>
      <c r="G1788" s="57" t="s">
        <v>2205</v>
      </c>
      <c r="H1788" s="57" t="s">
        <v>938</v>
      </c>
      <c r="I1788" s="57" t="s">
        <v>2206</v>
      </c>
      <c r="J1788" s="57" t="s">
        <v>316</v>
      </c>
      <c r="K1788" s="57" t="s">
        <v>591</v>
      </c>
      <c r="L1788" s="11" t="s">
        <v>914</v>
      </c>
      <c r="M1788" s="22">
        <v>1</v>
      </c>
      <c r="N1788" s="46">
        <v>1800000</v>
      </c>
      <c r="O1788" s="49">
        <f t="shared" si="47"/>
        <v>1800000</v>
      </c>
      <c r="P1788" s="5" t="s">
        <v>393</v>
      </c>
      <c r="Q1788" s="5" t="s">
        <v>766</v>
      </c>
      <c r="R1788" s="11">
        <v>351000000</v>
      </c>
      <c r="S1788" s="22">
        <v>0</v>
      </c>
    </row>
    <row r="1789" spans="1:19" s="13" customFormat="1" ht="76.5">
      <c r="A1789" s="5">
        <v>1774</v>
      </c>
      <c r="B1789" s="29" t="s">
        <v>710</v>
      </c>
      <c r="C1789" s="5" t="s">
        <v>597</v>
      </c>
      <c r="D1789" s="31" t="s">
        <v>598</v>
      </c>
      <c r="E1789" s="57" t="s">
        <v>599</v>
      </c>
      <c r="F1789" s="57" t="s">
        <v>782</v>
      </c>
      <c r="G1789" s="57" t="s">
        <v>601</v>
      </c>
      <c r="H1789" s="57" t="s">
        <v>602</v>
      </c>
      <c r="I1789" s="57" t="s">
        <v>783</v>
      </c>
      <c r="J1789" s="57" t="s">
        <v>317</v>
      </c>
      <c r="K1789" s="57" t="s">
        <v>591</v>
      </c>
      <c r="L1789" s="11" t="s">
        <v>914</v>
      </c>
      <c r="M1789" s="22">
        <v>1</v>
      </c>
      <c r="N1789" s="46">
        <v>1800000</v>
      </c>
      <c r="O1789" s="49">
        <f t="shared" si="47"/>
        <v>1800000</v>
      </c>
      <c r="P1789" s="5" t="s">
        <v>393</v>
      </c>
      <c r="Q1789" s="5" t="s">
        <v>766</v>
      </c>
      <c r="R1789" s="11">
        <v>351000000</v>
      </c>
      <c r="S1789" s="22">
        <v>0</v>
      </c>
    </row>
    <row r="1790" spans="1:19" s="13" customFormat="1" ht="76.5">
      <c r="A1790" s="5">
        <v>1775</v>
      </c>
      <c r="B1790" s="29" t="s">
        <v>710</v>
      </c>
      <c r="C1790" s="5" t="s">
        <v>597</v>
      </c>
      <c r="D1790" s="31" t="s">
        <v>598</v>
      </c>
      <c r="E1790" s="57" t="s">
        <v>599</v>
      </c>
      <c r="F1790" s="57" t="s">
        <v>782</v>
      </c>
      <c r="G1790" s="57" t="s">
        <v>601</v>
      </c>
      <c r="H1790" s="57" t="s">
        <v>602</v>
      </c>
      <c r="I1790" s="57" t="s">
        <v>784</v>
      </c>
      <c r="J1790" s="57" t="s">
        <v>318</v>
      </c>
      <c r="K1790" s="57" t="s">
        <v>591</v>
      </c>
      <c r="L1790" s="11" t="s">
        <v>914</v>
      </c>
      <c r="M1790" s="22">
        <v>1</v>
      </c>
      <c r="N1790" s="46">
        <v>1800000</v>
      </c>
      <c r="O1790" s="49">
        <f t="shared" si="47"/>
        <v>1800000</v>
      </c>
      <c r="P1790" s="5" t="s">
        <v>393</v>
      </c>
      <c r="Q1790" s="5" t="s">
        <v>766</v>
      </c>
      <c r="R1790" s="11">
        <v>351000000</v>
      </c>
      <c r="S1790" s="22">
        <v>0</v>
      </c>
    </row>
    <row r="1791" spans="1:19" s="13" customFormat="1" ht="76.5">
      <c r="A1791" s="5">
        <v>1776</v>
      </c>
      <c r="B1791" s="15" t="s">
        <v>710</v>
      </c>
      <c r="C1791" s="31" t="s">
        <v>597</v>
      </c>
      <c r="D1791" s="31" t="s">
        <v>598</v>
      </c>
      <c r="E1791" s="57" t="s">
        <v>599</v>
      </c>
      <c r="F1791" s="57" t="s">
        <v>782</v>
      </c>
      <c r="G1791" s="57" t="s">
        <v>601</v>
      </c>
      <c r="H1791" s="57" t="s">
        <v>602</v>
      </c>
      <c r="I1791" s="57" t="s">
        <v>2209</v>
      </c>
      <c r="J1791" s="57" t="s">
        <v>321</v>
      </c>
      <c r="K1791" s="57" t="s">
        <v>591</v>
      </c>
      <c r="L1791" s="11" t="s">
        <v>914</v>
      </c>
      <c r="M1791" s="22">
        <v>1</v>
      </c>
      <c r="N1791" s="46">
        <v>1800000</v>
      </c>
      <c r="O1791" s="49">
        <f t="shared" si="47"/>
        <v>1800000</v>
      </c>
      <c r="P1791" s="5" t="s">
        <v>393</v>
      </c>
      <c r="Q1791" s="5" t="s">
        <v>766</v>
      </c>
      <c r="R1791" s="11">
        <v>351000000</v>
      </c>
      <c r="S1791" s="22">
        <v>0</v>
      </c>
    </row>
    <row r="1792" spans="1:19" s="13" customFormat="1" ht="76.5">
      <c r="A1792" s="5">
        <v>1777</v>
      </c>
      <c r="B1792" s="29" t="s">
        <v>710</v>
      </c>
      <c r="C1792" s="42" t="s">
        <v>597</v>
      </c>
      <c r="D1792" s="31" t="s">
        <v>598</v>
      </c>
      <c r="E1792" s="57" t="s">
        <v>599</v>
      </c>
      <c r="F1792" s="57" t="s">
        <v>782</v>
      </c>
      <c r="G1792" s="57" t="s">
        <v>601</v>
      </c>
      <c r="H1792" s="57" t="s">
        <v>602</v>
      </c>
      <c r="I1792" s="57" t="s">
        <v>905</v>
      </c>
      <c r="J1792" s="57" t="s">
        <v>319</v>
      </c>
      <c r="K1792" s="57" t="s">
        <v>591</v>
      </c>
      <c r="L1792" s="11" t="s">
        <v>914</v>
      </c>
      <c r="M1792" s="22">
        <v>1</v>
      </c>
      <c r="N1792" s="46">
        <v>1800000</v>
      </c>
      <c r="O1792" s="49">
        <f t="shared" si="47"/>
        <v>1800000</v>
      </c>
      <c r="P1792" s="5" t="s">
        <v>393</v>
      </c>
      <c r="Q1792" s="5" t="s">
        <v>766</v>
      </c>
      <c r="R1792" s="11">
        <v>351000000</v>
      </c>
      <c r="S1792" s="22">
        <v>0</v>
      </c>
    </row>
    <row r="1793" spans="1:19" s="13" customFormat="1" ht="51">
      <c r="A1793" s="5">
        <v>1778</v>
      </c>
      <c r="B1793" s="29" t="s">
        <v>710</v>
      </c>
      <c r="C1793" s="35" t="s">
        <v>597</v>
      </c>
      <c r="D1793" s="31" t="s">
        <v>937</v>
      </c>
      <c r="E1793" s="57" t="s">
        <v>2205</v>
      </c>
      <c r="F1793" s="57" t="s">
        <v>938</v>
      </c>
      <c r="G1793" s="57" t="s">
        <v>2205</v>
      </c>
      <c r="H1793" s="57" t="s">
        <v>938</v>
      </c>
      <c r="I1793" s="57" t="s">
        <v>2206</v>
      </c>
      <c r="J1793" s="57" t="s">
        <v>316</v>
      </c>
      <c r="K1793" s="57" t="s">
        <v>591</v>
      </c>
      <c r="L1793" s="11" t="s">
        <v>914</v>
      </c>
      <c r="M1793" s="22">
        <v>1</v>
      </c>
      <c r="N1793" s="46">
        <v>1800000</v>
      </c>
      <c r="O1793" s="49">
        <f t="shared" si="47"/>
        <v>1800000</v>
      </c>
      <c r="P1793" s="5" t="s">
        <v>393</v>
      </c>
      <c r="Q1793" s="5" t="s">
        <v>766</v>
      </c>
      <c r="R1793" s="11" t="s">
        <v>2029</v>
      </c>
      <c r="S1793" s="5">
        <v>0</v>
      </c>
    </row>
    <row r="1794" spans="1:19" s="13" customFormat="1" ht="76.5">
      <c r="A1794" s="5">
        <v>1779</v>
      </c>
      <c r="B1794" s="29" t="s">
        <v>710</v>
      </c>
      <c r="C1794" s="5" t="s">
        <v>597</v>
      </c>
      <c r="D1794" s="31" t="s">
        <v>598</v>
      </c>
      <c r="E1794" s="57" t="s">
        <v>599</v>
      </c>
      <c r="F1794" s="57" t="s">
        <v>782</v>
      </c>
      <c r="G1794" s="57" t="s">
        <v>601</v>
      </c>
      <c r="H1794" s="57" t="s">
        <v>602</v>
      </c>
      <c r="I1794" s="57" t="s">
        <v>783</v>
      </c>
      <c r="J1794" s="57" t="s">
        <v>317</v>
      </c>
      <c r="K1794" s="57" t="s">
        <v>591</v>
      </c>
      <c r="L1794" s="11" t="s">
        <v>914</v>
      </c>
      <c r="M1794" s="22">
        <v>1</v>
      </c>
      <c r="N1794" s="46">
        <v>1800000</v>
      </c>
      <c r="O1794" s="49">
        <f t="shared" si="47"/>
        <v>1800000</v>
      </c>
      <c r="P1794" s="5" t="s">
        <v>393</v>
      </c>
      <c r="Q1794" s="5" t="s">
        <v>766</v>
      </c>
      <c r="R1794" s="11" t="s">
        <v>2029</v>
      </c>
      <c r="S1794" s="5">
        <v>0</v>
      </c>
    </row>
    <row r="1795" spans="1:19" s="13" customFormat="1" ht="76.5">
      <c r="A1795" s="5">
        <v>1780</v>
      </c>
      <c r="B1795" s="29" t="s">
        <v>710</v>
      </c>
      <c r="C1795" s="5" t="s">
        <v>597</v>
      </c>
      <c r="D1795" s="31" t="s">
        <v>598</v>
      </c>
      <c r="E1795" s="57" t="s">
        <v>599</v>
      </c>
      <c r="F1795" s="57" t="s">
        <v>782</v>
      </c>
      <c r="G1795" s="57" t="s">
        <v>601</v>
      </c>
      <c r="H1795" s="57" t="s">
        <v>602</v>
      </c>
      <c r="I1795" s="57" t="s">
        <v>784</v>
      </c>
      <c r="J1795" s="57" t="s">
        <v>318</v>
      </c>
      <c r="K1795" s="57" t="s">
        <v>591</v>
      </c>
      <c r="L1795" s="11" t="s">
        <v>914</v>
      </c>
      <c r="M1795" s="22">
        <v>1</v>
      </c>
      <c r="N1795" s="46">
        <v>1800000</v>
      </c>
      <c r="O1795" s="49">
        <f t="shared" si="47"/>
        <v>1800000</v>
      </c>
      <c r="P1795" s="5" t="s">
        <v>393</v>
      </c>
      <c r="Q1795" s="5" t="s">
        <v>766</v>
      </c>
      <c r="R1795" s="11" t="s">
        <v>2029</v>
      </c>
      <c r="S1795" s="5">
        <v>0</v>
      </c>
    </row>
    <row r="1796" spans="1:19" s="13" customFormat="1" ht="76.5">
      <c r="A1796" s="5">
        <v>1781</v>
      </c>
      <c r="B1796" s="29" t="s">
        <v>710</v>
      </c>
      <c r="C1796" s="42" t="s">
        <v>597</v>
      </c>
      <c r="D1796" s="31" t="s">
        <v>598</v>
      </c>
      <c r="E1796" s="57" t="s">
        <v>599</v>
      </c>
      <c r="F1796" s="57" t="s">
        <v>782</v>
      </c>
      <c r="G1796" s="57" t="s">
        <v>601</v>
      </c>
      <c r="H1796" s="57" t="s">
        <v>602</v>
      </c>
      <c r="I1796" s="57" t="s">
        <v>905</v>
      </c>
      <c r="J1796" s="57" t="s">
        <v>319</v>
      </c>
      <c r="K1796" s="57" t="s">
        <v>591</v>
      </c>
      <c r="L1796" s="11" t="s">
        <v>914</v>
      </c>
      <c r="M1796" s="22">
        <v>1</v>
      </c>
      <c r="N1796" s="46">
        <v>1800000</v>
      </c>
      <c r="O1796" s="49">
        <f t="shared" si="47"/>
        <v>1800000</v>
      </c>
      <c r="P1796" s="5" t="s">
        <v>393</v>
      </c>
      <c r="Q1796" s="5" t="s">
        <v>766</v>
      </c>
      <c r="R1796" s="11" t="s">
        <v>2029</v>
      </c>
      <c r="S1796" s="5">
        <v>0</v>
      </c>
    </row>
    <row r="1797" spans="1:19" s="13" customFormat="1" ht="76.5">
      <c r="A1797" s="5">
        <v>1782</v>
      </c>
      <c r="B1797" s="15" t="s">
        <v>710</v>
      </c>
      <c r="C1797" s="31" t="s">
        <v>597</v>
      </c>
      <c r="D1797" s="31" t="s">
        <v>598</v>
      </c>
      <c r="E1797" s="57" t="s">
        <v>2198</v>
      </c>
      <c r="F1797" s="57" t="s">
        <v>600</v>
      </c>
      <c r="G1797" s="57" t="s">
        <v>2199</v>
      </c>
      <c r="H1797" s="57" t="s">
        <v>602</v>
      </c>
      <c r="I1797" s="57" t="s">
        <v>2204</v>
      </c>
      <c r="J1797" s="57" t="s">
        <v>322</v>
      </c>
      <c r="K1797" s="57" t="s">
        <v>591</v>
      </c>
      <c r="L1797" s="11" t="s">
        <v>914</v>
      </c>
      <c r="M1797" s="22">
        <v>1</v>
      </c>
      <c r="N1797" s="46">
        <v>1800000</v>
      </c>
      <c r="O1797" s="49">
        <f t="shared" si="47"/>
        <v>1800000</v>
      </c>
      <c r="P1797" s="5" t="s">
        <v>393</v>
      </c>
      <c r="Q1797" s="5" t="s">
        <v>766</v>
      </c>
      <c r="R1797" s="11" t="s">
        <v>2029</v>
      </c>
      <c r="S1797" s="5">
        <v>0</v>
      </c>
    </row>
    <row r="1798" spans="1:19" s="13" customFormat="1" ht="51">
      <c r="A1798" s="5">
        <v>1783</v>
      </c>
      <c r="B1798" s="29" t="s">
        <v>710</v>
      </c>
      <c r="C1798" s="35" t="s">
        <v>597</v>
      </c>
      <c r="D1798" s="31" t="s">
        <v>937</v>
      </c>
      <c r="E1798" s="57" t="s">
        <v>2205</v>
      </c>
      <c r="F1798" s="57" t="s">
        <v>938</v>
      </c>
      <c r="G1798" s="57" t="s">
        <v>2205</v>
      </c>
      <c r="H1798" s="57" t="s">
        <v>938</v>
      </c>
      <c r="I1798" s="57" t="s">
        <v>2206</v>
      </c>
      <c r="J1798" s="57" t="s">
        <v>316</v>
      </c>
      <c r="K1798" s="57" t="s">
        <v>591</v>
      </c>
      <c r="L1798" s="11" t="s">
        <v>914</v>
      </c>
      <c r="M1798" s="22">
        <v>1</v>
      </c>
      <c r="N1798" s="46">
        <v>1800000</v>
      </c>
      <c r="O1798" s="49">
        <f t="shared" si="47"/>
        <v>1800000</v>
      </c>
      <c r="P1798" s="5" t="s">
        <v>393</v>
      </c>
      <c r="Q1798" s="5" t="s">
        <v>766</v>
      </c>
      <c r="R1798" s="11" t="s">
        <v>2030</v>
      </c>
      <c r="S1798" s="22">
        <v>0</v>
      </c>
    </row>
    <row r="1799" spans="1:19" s="13" customFormat="1" ht="76.5">
      <c r="A1799" s="5">
        <v>1784</v>
      </c>
      <c r="B1799" s="29" t="s">
        <v>710</v>
      </c>
      <c r="C1799" s="5" t="s">
        <v>597</v>
      </c>
      <c r="D1799" s="31" t="s">
        <v>598</v>
      </c>
      <c r="E1799" s="57" t="s">
        <v>599</v>
      </c>
      <c r="F1799" s="57" t="s">
        <v>782</v>
      </c>
      <c r="G1799" s="57" t="s">
        <v>601</v>
      </c>
      <c r="H1799" s="57" t="s">
        <v>602</v>
      </c>
      <c r="I1799" s="57" t="s">
        <v>783</v>
      </c>
      <c r="J1799" s="57" t="s">
        <v>317</v>
      </c>
      <c r="K1799" s="57" t="s">
        <v>591</v>
      </c>
      <c r="L1799" s="11" t="s">
        <v>914</v>
      </c>
      <c r="M1799" s="22">
        <v>1</v>
      </c>
      <c r="N1799" s="46">
        <v>1800000</v>
      </c>
      <c r="O1799" s="49">
        <f t="shared" si="47"/>
        <v>1800000</v>
      </c>
      <c r="P1799" s="5" t="s">
        <v>393</v>
      </c>
      <c r="Q1799" s="5" t="s">
        <v>766</v>
      </c>
      <c r="R1799" s="11" t="s">
        <v>2030</v>
      </c>
      <c r="S1799" s="22">
        <v>0</v>
      </c>
    </row>
    <row r="1800" spans="1:19" s="13" customFormat="1" ht="76.5">
      <c r="A1800" s="5">
        <v>1785</v>
      </c>
      <c r="B1800" s="29" t="s">
        <v>710</v>
      </c>
      <c r="C1800" s="5" t="s">
        <v>597</v>
      </c>
      <c r="D1800" s="31" t="s">
        <v>598</v>
      </c>
      <c r="E1800" s="57" t="s">
        <v>599</v>
      </c>
      <c r="F1800" s="57" t="s">
        <v>782</v>
      </c>
      <c r="G1800" s="57" t="s">
        <v>601</v>
      </c>
      <c r="H1800" s="57" t="s">
        <v>602</v>
      </c>
      <c r="I1800" s="57" t="s">
        <v>784</v>
      </c>
      <c r="J1800" s="57" t="s">
        <v>318</v>
      </c>
      <c r="K1800" s="57" t="s">
        <v>591</v>
      </c>
      <c r="L1800" s="11" t="s">
        <v>914</v>
      </c>
      <c r="M1800" s="22">
        <v>1</v>
      </c>
      <c r="N1800" s="46">
        <v>1800000</v>
      </c>
      <c r="O1800" s="49">
        <f t="shared" si="47"/>
        <v>1800000</v>
      </c>
      <c r="P1800" s="5" t="s">
        <v>393</v>
      </c>
      <c r="Q1800" s="5" t="s">
        <v>766</v>
      </c>
      <c r="R1800" s="11" t="s">
        <v>2030</v>
      </c>
      <c r="S1800" s="22">
        <v>0</v>
      </c>
    </row>
    <row r="1801" spans="1:19" s="13" customFormat="1" ht="76.5">
      <c r="A1801" s="5">
        <v>1786</v>
      </c>
      <c r="B1801" s="29" t="s">
        <v>710</v>
      </c>
      <c r="C1801" s="42" t="s">
        <v>597</v>
      </c>
      <c r="D1801" s="31" t="s">
        <v>598</v>
      </c>
      <c r="E1801" s="57" t="s">
        <v>599</v>
      </c>
      <c r="F1801" s="57" t="s">
        <v>782</v>
      </c>
      <c r="G1801" s="57" t="s">
        <v>601</v>
      </c>
      <c r="H1801" s="57" t="s">
        <v>602</v>
      </c>
      <c r="I1801" s="57" t="s">
        <v>905</v>
      </c>
      <c r="J1801" s="57" t="s">
        <v>319</v>
      </c>
      <c r="K1801" s="57" t="s">
        <v>591</v>
      </c>
      <c r="L1801" s="11" t="s">
        <v>914</v>
      </c>
      <c r="M1801" s="22">
        <v>1</v>
      </c>
      <c r="N1801" s="46">
        <v>1800000</v>
      </c>
      <c r="O1801" s="49">
        <f t="shared" si="47"/>
        <v>1800000</v>
      </c>
      <c r="P1801" s="5" t="s">
        <v>393</v>
      </c>
      <c r="Q1801" s="5" t="s">
        <v>766</v>
      </c>
      <c r="R1801" s="11" t="s">
        <v>2030</v>
      </c>
      <c r="S1801" s="22">
        <v>0</v>
      </c>
    </row>
    <row r="1802" spans="1:19" s="13" customFormat="1" ht="76.5">
      <c r="A1802" s="5">
        <v>1787</v>
      </c>
      <c r="B1802" s="29" t="s">
        <v>710</v>
      </c>
      <c r="C1802" s="5" t="s">
        <v>597</v>
      </c>
      <c r="D1802" s="31" t="s">
        <v>598</v>
      </c>
      <c r="E1802" s="57" t="s">
        <v>599</v>
      </c>
      <c r="F1802" s="57" t="s">
        <v>782</v>
      </c>
      <c r="G1802" s="57" t="s">
        <v>601</v>
      </c>
      <c r="H1802" s="57" t="s">
        <v>602</v>
      </c>
      <c r="I1802" s="57" t="s">
        <v>2210</v>
      </c>
      <c r="J1802" s="57" t="s">
        <v>381</v>
      </c>
      <c r="K1802" s="57" t="s">
        <v>591</v>
      </c>
      <c r="L1802" s="11" t="s">
        <v>914</v>
      </c>
      <c r="M1802" s="22">
        <v>1</v>
      </c>
      <c r="N1802" s="46">
        <v>1800000</v>
      </c>
      <c r="O1802" s="49">
        <f t="shared" si="47"/>
        <v>1800000</v>
      </c>
      <c r="P1802" s="5" t="s">
        <v>393</v>
      </c>
      <c r="Q1802" s="5" t="s">
        <v>766</v>
      </c>
      <c r="R1802" s="11" t="s">
        <v>2030</v>
      </c>
      <c r="S1802" s="22">
        <v>0</v>
      </c>
    </row>
    <row r="1803" spans="1:19" s="13" customFormat="1" ht="51">
      <c r="A1803" s="5">
        <v>1788</v>
      </c>
      <c r="B1803" s="29" t="s">
        <v>710</v>
      </c>
      <c r="C1803" s="35" t="s">
        <v>597</v>
      </c>
      <c r="D1803" s="31" t="s">
        <v>937</v>
      </c>
      <c r="E1803" s="57" t="s">
        <v>2205</v>
      </c>
      <c r="F1803" s="57" t="s">
        <v>938</v>
      </c>
      <c r="G1803" s="57" t="s">
        <v>2205</v>
      </c>
      <c r="H1803" s="57" t="s">
        <v>938</v>
      </c>
      <c r="I1803" s="57" t="s">
        <v>2206</v>
      </c>
      <c r="J1803" s="57" t="s">
        <v>316</v>
      </c>
      <c r="K1803" s="57" t="s">
        <v>591</v>
      </c>
      <c r="L1803" s="11" t="s">
        <v>914</v>
      </c>
      <c r="M1803" s="22">
        <v>1</v>
      </c>
      <c r="N1803" s="46">
        <v>1800000</v>
      </c>
      <c r="O1803" s="49">
        <f t="shared" si="47"/>
        <v>1800000</v>
      </c>
      <c r="P1803" s="5" t="s">
        <v>393</v>
      </c>
      <c r="Q1803" s="5" t="s">
        <v>766</v>
      </c>
      <c r="R1803" s="11">
        <v>591000000</v>
      </c>
      <c r="S1803" s="22">
        <v>0</v>
      </c>
    </row>
    <row r="1804" spans="1:19" s="13" customFormat="1" ht="76.5">
      <c r="A1804" s="5">
        <v>1789</v>
      </c>
      <c r="B1804" s="29" t="s">
        <v>710</v>
      </c>
      <c r="C1804" s="5" t="s">
        <v>597</v>
      </c>
      <c r="D1804" s="31" t="s">
        <v>598</v>
      </c>
      <c r="E1804" s="57" t="s">
        <v>599</v>
      </c>
      <c r="F1804" s="57" t="s">
        <v>782</v>
      </c>
      <c r="G1804" s="57" t="s">
        <v>601</v>
      </c>
      <c r="H1804" s="57" t="s">
        <v>602</v>
      </c>
      <c r="I1804" s="57" t="s">
        <v>783</v>
      </c>
      <c r="J1804" s="57" t="s">
        <v>317</v>
      </c>
      <c r="K1804" s="57" t="s">
        <v>591</v>
      </c>
      <c r="L1804" s="11" t="s">
        <v>914</v>
      </c>
      <c r="M1804" s="22">
        <v>1</v>
      </c>
      <c r="N1804" s="46">
        <v>1800000</v>
      </c>
      <c r="O1804" s="49">
        <f t="shared" si="47"/>
        <v>1800000</v>
      </c>
      <c r="P1804" s="5" t="s">
        <v>393</v>
      </c>
      <c r="Q1804" s="5" t="s">
        <v>766</v>
      </c>
      <c r="R1804" s="11">
        <v>591000000</v>
      </c>
      <c r="S1804" s="22">
        <v>0</v>
      </c>
    </row>
    <row r="1805" spans="1:19" s="13" customFormat="1" ht="76.5">
      <c r="A1805" s="5">
        <v>1790</v>
      </c>
      <c r="B1805" s="29" t="s">
        <v>710</v>
      </c>
      <c r="C1805" s="5" t="s">
        <v>597</v>
      </c>
      <c r="D1805" s="31" t="s">
        <v>598</v>
      </c>
      <c r="E1805" s="57" t="s">
        <v>599</v>
      </c>
      <c r="F1805" s="57" t="s">
        <v>782</v>
      </c>
      <c r="G1805" s="57" t="s">
        <v>601</v>
      </c>
      <c r="H1805" s="57" t="s">
        <v>602</v>
      </c>
      <c r="I1805" s="57" t="s">
        <v>784</v>
      </c>
      <c r="J1805" s="57" t="s">
        <v>318</v>
      </c>
      <c r="K1805" s="57" t="s">
        <v>591</v>
      </c>
      <c r="L1805" s="11" t="s">
        <v>914</v>
      </c>
      <c r="M1805" s="22">
        <v>1</v>
      </c>
      <c r="N1805" s="46">
        <v>1800000</v>
      </c>
      <c r="O1805" s="49">
        <f t="shared" si="47"/>
        <v>1800000</v>
      </c>
      <c r="P1805" s="5" t="s">
        <v>393</v>
      </c>
      <c r="Q1805" s="5" t="s">
        <v>766</v>
      </c>
      <c r="R1805" s="11">
        <v>591000000</v>
      </c>
      <c r="S1805" s="22">
        <v>0</v>
      </c>
    </row>
    <row r="1806" spans="1:19" s="13" customFormat="1" ht="76.5">
      <c r="A1806" s="5">
        <v>1791</v>
      </c>
      <c r="B1806" s="29" t="s">
        <v>710</v>
      </c>
      <c r="C1806" s="42" t="s">
        <v>597</v>
      </c>
      <c r="D1806" s="31" t="s">
        <v>598</v>
      </c>
      <c r="E1806" s="57" t="s">
        <v>599</v>
      </c>
      <c r="F1806" s="57" t="s">
        <v>782</v>
      </c>
      <c r="G1806" s="57" t="s">
        <v>601</v>
      </c>
      <c r="H1806" s="57" t="s">
        <v>602</v>
      </c>
      <c r="I1806" s="57" t="s">
        <v>905</v>
      </c>
      <c r="J1806" s="57" t="s">
        <v>319</v>
      </c>
      <c r="K1806" s="57" t="s">
        <v>591</v>
      </c>
      <c r="L1806" s="11" t="s">
        <v>914</v>
      </c>
      <c r="M1806" s="22">
        <v>1</v>
      </c>
      <c r="N1806" s="46">
        <v>1800000</v>
      </c>
      <c r="O1806" s="49">
        <f t="shared" si="47"/>
        <v>1800000</v>
      </c>
      <c r="P1806" s="5" t="s">
        <v>393</v>
      </c>
      <c r="Q1806" s="5" t="s">
        <v>766</v>
      </c>
      <c r="R1806" s="11">
        <v>591000000</v>
      </c>
      <c r="S1806" s="22">
        <v>0</v>
      </c>
    </row>
    <row r="1807" spans="1:19" s="13" customFormat="1" ht="76.5">
      <c r="A1807" s="5">
        <v>1792</v>
      </c>
      <c r="B1807" s="15" t="s">
        <v>941</v>
      </c>
      <c r="C1807" s="5" t="s">
        <v>597</v>
      </c>
      <c r="D1807" s="31" t="s">
        <v>598</v>
      </c>
      <c r="E1807" s="57" t="s">
        <v>2201</v>
      </c>
      <c r="F1807" s="57" t="s">
        <v>600</v>
      </c>
      <c r="G1807" s="57" t="s">
        <v>2199</v>
      </c>
      <c r="H1807" s="57" t="s">
        <v>602</v>
      </c>
      <c r="I1807" s="57" t="s">
        <v>2200</v>
      </c>
      <c r="J1807" s="57" t="s">
        <v>323</v>
      </c>
      <c r="K1807" s="57" t="s">
        <v>591</v>
      </c>
      <c r="L1807" s="11" t="s">
        <v>914</v>
      </c>
      <c r="M1807" s="22">
        <v>1</v>
      </c>
      <c r="N1807" s="46">
        <v>1800000</v>
      </c>
      <c r="O1807" s="49">
        <f t="shared" si="47"/>
        <v>1800000</v>
      </c>
      <c r="P1807" s="5" t="s">
        <v>393</v>
      </c>
      <c r="Q1807" s="5" t="s">
        <v>766</v>
      </c>
      <c r="R1807" s="11">
        <v>591000000</v>
      </c>
      <c r="S1807" s="22">
        <v>0</v>
      </c>
    </row>
    <row r="1808" spans="1:19" ht="51">
      <c r="A1808" s="5">
        <v>1793</v>
      </c>
      <c r="B1808" s="29" t="s">
        <v>710</v>
      </c>
      <c r="C1808" s="35" t="s">
        <v>597</v>
      </c>
      <c r="D1808" s="31" t="s">
        <v>937</v>
      </c>
      <c r="E1808" s="57" t="s">
        <v>2205</v>
      </c>
      <c r="F1808" s="57" t="s">
        <v>938</v>
      </c>
      <c r="G1808" s="57" t="s">
        <v>2205</v>
      </c>
      <c r="H1808" s="57" t="s">
        <v>938</v>
      </c>
      <c r="I1808" s="57" t="s">
        <v>2206</v>
      </c>
      <c r="J1808" s="57" t="s">
        <v>316</v>
      </c>
      <c r="K1808" s="57" t="s">
        <v>591</v>
      </c>
      <c r="L1808" s="11" t="s">
        <v>914</v>
      </c>
      <c r="M1808" s="22">
        <v>1</v>
      </c>
      <c r="N1808" s="46">
        <v>1800000</v>
      </c>
      <c r="O1808" s="49">
        <f t="shared" si="47"/>
        <v>1800000</v>
      </c>
      <c r="P1808" s="5" t="s">
        <v>393</v>
      </c>
      <c r="Q1808" s="5" t="s">
        <v>766</v>
      </c>
      <c r="R1808" s="11" t="s">
        <v>925</v>
      </c>
      <c r="S1808" s="22">
        <v>0</v>
      </c>
    </row>
    <row r="1809" spans="1:19" ht="76.5">
      <c r="A1809" s="5">
        <v>1794</v>
      </c>
      <c r="B1809" s="29" t="s">
        <v>710</v>
      </c>
      <c r="C1809" s="5" t="s">
        <v>597</v>
      </c>
      <c r="D1809" s="31" t="s">
        <v>598</v>
      </c>
      <c r="E1809" s="57" t="s">
        <v>599</v>
      </c>
      <c r="F1809" s="57" t="s">
        <v>782</v>
      </c>
      <c r="G1809" s="57" t="s">
        <v>601</v>
      </c>
      <c r="H1809" s="57" t="s">
        <v>602</v>
      </c>
      <c r="I1809" s="57" t="s">
        <v>783</v>
      </c>
      <c r="J1809" s="57" t="s">
        <v>317</v>
      </c>
      <c r="K1809" s="57" t="s">
        <v>591</v>
      </c>
      <c r="L1809" s="11" t="s">
        <v>914</v>
      </c>
      <c r="M1809" s="22">
        <v>1</v>
      </c>
      <c r="N1809" s="46">
        <v>1800000</v>
      </c>
      <c r="O1809" s="49">
        <f t="shared" si="47"/>
        <v>1800000</v>
      </c>
      <c r="P1809" s="5" t="s">
        <v>393</v>
      </c>
      <c r="Q1809" s="5" t="s">
        <v>766</v>
      </c>
      <c r="R1809" s="11" t="s">
        <v>925</v>
      </c>
      <c r="S1809" s="22">
        <v>0</v>
      </c>
    </row>
    <row r="1810" spans="1:19" ht="76.5">
      <c r="A1810" s="5">
        <v>1795</v>
      </c>
      <c r="B1810" s="29" t="s">
        <v>710</v>
      </c>
      <c r="C1810" s="5" t="s">
        <v>597</v>
      </c>
      <c r="D1810" s="31" t="s">
        <v>598</v>
      </c>
      <c r="E1810" s="57" t="s">
        <v>599</v>
      </c>
      <c r="F1810" s="57" t="s">
        <v>782</v>
      </c>
      <c r="G1810" s="57" t="s">
        <v>601</v>
      </c>
      <c r="H1810" s="57" t="s">
        <v>602</v>
      </c>
      <c r="I1810" s="57" t="s">
        <v>784</v>
      </c>
      <c r="J1810" s="57" t="s">
        <v>318</v>
      </c>
      <c r="K1810" s="57" t="s">
        <v>591</v>
      </c>
      <c r="L1810" s="11" t="s">
        <v>914</v>
      </c>
      <c r="M1810" s="22">
        <v>1</v>
      </c>
      <c r="N1810" s="46">
        <v>1800000</v>
      </c>
      <c r="O1810" s="49">
        <f t="shared" si="47"/>
        <v>1800000</v>
      </c>
      <c r="P1810" s="5" t="s">
        <v>393</v>
      </c>
      <c r="Q1810" s="5" t="s">
        <v>766</v>
      </c>
      <c r="R1810" s="11" t="s">
        <v>925</v>
      </c>
      <c r="S1810" s="22">
        <v>0</v>
      </c>
    </row>
    <row r="1811" spans="1:19" ht="76.5">
      <c r="A1811" s="5">
        <v>1796</v>
      </c>
      <c r="B1811" s="29" t="s">
        <v>710</v>
      </c>
      <c r="C1811" s="42" t="s">
        <v>597</v>
      </c>
      <c r="D1811" s="31" t="s">
        <v>598</v>
      </c>
      <c r="E1811" s="57" t="s">
        <v>599</v>
      </c>
      <c r="F1811" s="57" t="s">
        <v>782</v>
      </c>
      <c r="G1811" s="57" t="s">
        <v>601</v>
      </c>
      <c r="H1811" s="57" t="s">
        <v>602</v>
      </c>
      <c r="I1811" s="57" t="s">
        <v>905</v>
      </c>
      <c r="J1811" s="57" t="s">
        <v>319</v>
      </c>
      <c r="K1811" s="57" t="s">
        <v>591</v>
      </c>
      <c r="L1811" s="11" t="s">
        <v>914</v>
      </c>
      <c r="M1811" s="22">
        <v>1</v>
      </c>
      <c r="N1811" s="46">
        <v>1800000</v>
      </c>
      <c r="O1811" s="49">
        <f t="shared" si="47"/>
        <v>1800000</v>
      </c>
      <c r="P1811" s="5" t="s">
        <v>393</v>
      </c>
      <c r="Q1811" s="5" t="s">
        <v>766</v>
      </c>
      <c r="R1811" s="11" t="s">
        <v>925</v>
      </c>
      <c r="S1811" s="22">
        <v>0</v>
      </c>
    </row>
    <row r="1812" spans="1:19" ht="76.5">
      <c r="A1812" s="5">
        <v>1797</v>
      </c>
      <c r="B1812" s="15" t="s">
        <v>710</v>
      </c>
      <c r="C1812" s="31" t="s">
        <v>597</v>
      </c>
      <c r="D1812" s="31" t="s">
        <v>598</v>
      </c>
      <c r="E1812" s="57" t="s">
        <v>599</v>
      </c>
      <c r="F1812" s="57" t="s">
        <v>600</v>
      </c>
      <c r="G1812" s="57" t="s">
        <v>1020</v>
      </c>
      <c r="H1812" s="57" t="s">
        <v>602</v>
      </c>
      <c r="I1812" s="57" t="s">
        <v>2127</v>
      </c>
      <c r="J1812" s="57" t="s">
        <v>2126</v>
      </c>
      <c r="K1812" s="57" t="s">
        <v>591</v>
      </c>
      <c r="L1812" s="11" t="s">
        <v>914</v>
      </c>
      <c r="M1812" s="22">
        <v>1</v>
      </c>
      <c r="N1812" s="46">
        <v>1800000</v>
      </c>
      <c r="O1812" s="49">
        <f t="shared" si="47"/>
        <v>1800000</v>
      </c>
      <c r="P1812" s="5" t="s">
        <v>393</v>
      </c>
      <c r="Q1812" s="5" t="s">
        <v>766</v>
      </c>
      <c r="R1812" s="11" t="s">
        <v>925</v>
      </c>
      <c r="S1812" s="22">
        <v>0</v>
      </c>
    </row>
    <row r="1813" spans="1:19" s="45" customFormat="1" ht="242.25">
      <c r="A1813" s="5">
        <v>1798</v>
      </c>
      <c r="B1813" s="15" t="s">
        <v>710</v>
      </c>
      <c r="C1813" s="31" t="s">
        <v>597</v>
      </c>
      <c r="D1813" s="31" t="s">
        <v>598</v>
      </c>
      <c r="E1813" s="57" t="s">
        <v>2198</v>
      </c>
      <c r="F1813" s="57" t="s">
        <v>600</v>
      </c>
      <c r="G1813" s="57" t="s">
        <v>2199</v>
      </c>
      <c r="H1813" s="57" t="s">
        <v>602</v>
      </c>
      <c r="I1813" s="57" t="s">
        <v>2318</v>
      </c>
      <c r="J1813" s="57" t="s">
        <v>2317</v>
      </c>
      <c r="K1813" s="57" t="s">
        <v>591</v>
      </c>
      <c r="L1813" s="11" t="s">
        <v>914</v>
      </c>
      <c r="M1813" s="22">
        <v>1</v>
      </c>
      <c r="N1813" s="46">
        <v>450000</v>
      </c>
      <c r="O1813" s="49">
        <f t="shared" si="47"/>
        <v>450000</v>
      </c>
      <c r="P1813" s="5" t="s">
        <v>393</v>
      </c>
      <c r="Q1813" s="5" t="s">
        <v>766</v>
      </c>
      <c r="R1813" s="11">
        <v>311000000</v>
      </c>
      <c r="S1813" s="27">
        <v>0</v>
      </c>
    </row>
    <row r="1814" spans="1:19" s="34" customFormat="1" ht="242.25">
      <c r="A1814" s="5">
        <v>1799</v>
      </c>
      <c r="B1814" s="15" t="s">
        <v>710</v>
      </c>
      <c r="C1814" s="31" t="s">
        <v>597</v>
      </c>
      <c r="D1814" s="31" t="s">
        <v>598</v>
      </c>
      <c r="E1814" s="57" t="s">
        <v>2198</v>
      </c>
      <c r="F1814" s="57" t="s">
        <v>600</v>
      </c>
      <c r="G1814" s="57" t="s">
        <v>2199</v>
      </c>
      <c r="H1814" s="57" t="s">
        <v>602</v>
      </c>
      <c r="I1814" s="57" t="s">
        <v>2318</v>
      </c>
      <c r="J1814" s="57" t="s">
        <v>2319</v>
      </c>
      <c r="K1814" s="57" t="s">
        <v>591</v>
      </c>
      <c r="L1814" s="11" t="s">
        <v>914</v>
      </c>
      <c r="M1814" s="22">
        <v>1</v>
      </c>
      <c r="N1814" s="46">
        <v>450000</v>
      </c>
      <c r="O1814" s="49">
        <f t="shared" si="47"/>
        <v>450000</v>
      </c>
      <c r="P1814" s="5" t="s">
        <v>393</v>
      </c>
      <c r="Q1814" s="5" t="s">
        <v>766</v>
      </c>
      <c r="R1814" s="11">
        <v>311000000</v>
      </c>
      <c r="S1814" s="22">
        <v>0</v>
      </c>
    </row>
    <row r="1815" spans="1:19" s="34" customFormat="1" ht="242.25">
      <c r="A1815" s="5">
        <v>1800</v>
      </c>
      <c r="B1815" s="15" t="s">
        <v>710</v>
      </c>
      <c r="C1815" s="31" t="s">
        <v>597</v>
      </c>
      <c r="D1815" s="31" t="s">
        <v>598</v>
      </c>
      <c r="E1815" s="57" t="s">
        <v>2198</v>
      </c>
      <c r="F1815" s="57" t="s">
        <v>600</v>
      </c>
      <c r="G1815" s="57" t="s">
        <v>2199</v>
      </c>
      <c r="H1815" s="57" t="s">
        <v>602</v>
      </c>
      <c r="I1815" s="57" t="s">
        <v>2318</v>
      </c>
      <c r="J1815" s="57" t="s">
        <v>2319</v>
      </c>
      <c r="K1815" s="57" t="s">
        <v>591</v>
      </c>
      <c r="L1815" s="11" t="s">
        <v>914</v>
      </c>
      <c r="M1815" s="22">
        <v>1</v>
      </c>
      <c r="N1815" s="46">
        <v>450000</v>
      </c>
      <c r="O1815" s="49">
        <f t="shared" si="47"/>
        <v>450000</v>
      </c>
      <c r="P1815" s="5" t="s">
        <v>393</v>
      </c>
      <c r="Q1815" s="5" t="s">
        <v>766</v>
      </c>
      <c r="R1815" s="11">
        <v>311000000</v>
      </c>
      <c r="S1815" s="22">
        <v>0</v>
      </c>
    </row>
    <row r="1816" spans="1:19" s="34" customFormat="1" ht="242.25">
      <c r="A1816" s="5">
        <v>1801</v>
      </c>
      <c r="B1816" s="15" t="s">
        <v>710</v>
      </c>
      <c r="C1816" s="31" t="s">
        <v>597</v>
      </c>
      <c r="D1816" s="31" t="s">
        <v>598</v>
      </c>
      <c r="E1816" s="57" t="s">
        <v>2198</v>
      </c>
      <c r="F1816" s="57" t="s">
        <v>600</v>
      </c>
      <c r="G1816" s="57" t="s">
        <v>2199</v>
      </c>
      <c r="H1816" s="57" t="s">
        <v>602</v>
      </c>
      <c r="I1816" s="57" t="s">
        <v>2318</v>
      </c>
      <c r="J1816" s="57" t="s">
        <v>2319</v>
      </c>
      <c r="K1816" s="57" t="s">
        <v>591</v>
      </c>
      <c r="L1816" s="11" t="s">
        <v>914</v>
      </c>
      <c r="M1816" s="22">
        <v>1</v>
      </c>
      <c r="N1816" s="46">
        <v>450000</v>
      </c>
      <c r="O1816" s="49">
        <f t="shared" si="47"/>
        <v>450000</v>
      </c>
      <c r="P1816" s="5" t="s">
        <v>393</v>
      </c>
      <c r="Q1816" s="5" t="s">
        <v>766</v>
      </c>
      <c r="R1816" s="11">
        <v>311000000</v>
      </c>
      <c r="S1816" s="22">
        <v>0</v>
      </c>
    </row>
    <row r="1817" spans="1:19" s="34" customFormat="1" ht="51">
      <c r="A1817" s="5">
        <v>1802</v>
      </c>
      <c r="B1817" s="29" t="s">
        <v>710</v>
      </c>
      <c r="C1817" s="35" t="s">
        <v>597</v>
      </c>
      <c r="D1817" s="31" t="s">
        <v>937</v>
      </c>
      <c r="E1817" s="57" t="s">
        <v>2205</v>
      </c>
      <c r="F1817" s="57" t="s">
        <v>938</v>
      </c>
      <c r="G1817" s="57" t="s">
        <v>2205</v>
      </c>
      <c r="H1817" s="57" t="s">
        <v>938</v>
      </c>
      <c r="I1817" s="57" t="s">
        <v>2206</v>
      </c>
      <c r="J1817" s="57" t="s">
        <v>316</v>
      </c>
      <c r="K1817" s="57" t="s">
        <v>591</v>
      </c>
      <c r="L1817" s="11" t="s">
        <v>914</v>
      </c>
      <c r="M1817" s="22">
        <v>1</v>
      </c>
      <c r="N1817" s="46">
        <v>1350000</v>
      </c>
      <c r="O1817" s="49">
        <f t="shared" si="47"/>
        <v>1350000</v>
      </c>
      <c r="P1817" s="5" t="s">
        <v>612</v>
      </c>
      <c r="Q1817" s="5" t="s">
        <v>766</v>
      </c>
      <c r="R1817" s="11">
        <v>311000000</v>
      </c>
      <c r="S1817" s="22">
        <v>0</v>
      </c>
    </row>
    <row r="1818" spans="1:19" s="34" customFormat="1" ht="76.5">
      <c r="A1818" s="5">
        <v>1803</v>
      </c>
      <c r="B1818" s="29" t="s">
        <v>710</v>
      </c>
      <c r="C1818" s="5" t="s">
        <v>597</v>
      </c>
      <c r="D1818" s="31" t="s">
        <v>598</v>
      </c>
      <c r="E1818" s="57" t="s">
        <v>599</v>
      </c>
      <c r="F1818" s="57" t="s">
        <v>782</v>
      </c>
      <c r="G1818" s="57" t="s">
        <v>601</v>
      </c>
      <c r="H1818" s="57" t="s">
        <v>602</v>
      </c>
      <c r="I1818" s="57" t="s">
        <v>783</v>
      </c>
      <c r="J1818" s="57" t="s">
        <v>317</v>
      </c>
      <c r="K1818" s="57" t="s">
        <v>591</v>
      </c>
      <c r="L1818" s="11" t="s">
        <v>914</v>
      </c>
      <c r="M1818" s="22">
        <v>1</v>
      </c>
      <c r="N1818" s="46">
        <v>1350000</v>
      </c>
      <c r="O1818" s="49">
        <f t="shared" si="47"/>
        <v>1350000</v>
      </c>
      <c r="P1818" s="5" t="s">
        <v>612</v>
      </c>
      <c r="Q1818" s="5" t="s">
        <v>766</v>
      </c>
      <c r="R1818" s="11">
        <v>311000000</v>
      </c>
      <c r="S1818" s="22">
        <v>0</v>
      </c>
    </row>
    <row r="1819" spans="1:19" s="34" customFormat="1" ht="76.5">
      <c r="A1819" s="5">
        <v>1804</v>
      </c>
      <c r="B1819" s="29" t="s">
        <v>710</v>
      </c>
      <c r="C1819" s="5" t="s">
        <v>597</v>
      </c>
      <c r="D1819" s="31" t="s">
        <v>598</v>
      </c>
      <c r="E1819" s="57" t="s">
        <v>599</v>
      </c>
      <c r="F1819" s="57" t="s">
        <v>782</v>
      </c>
      <c r="G1819" s="57" t="s">
        <v>601</v>
      </c>
      <c r="H1819" s="57" t="s">
        <v>602</v>
      </c>
      <c r="I1819" s="57" t="s">
        <v>784</v>
      </c>
      <c r="J1819" s="57" t="s">
        <v>318</v>
      </c>
      <c r="K1819" s="57" t="s">
        <v>591</v>
      </c>
      <c r="L1819" s="11" t="s">
        <v>914</v>
      </c>
      <c r="M1819" s="22">
        <v>1</v>
      </c>
      <c r="N1819" s="46">
        <v>1350000</v>
      </c>
      <c r="O1819" s="49">
        <f t="shared" si="47"/>
        <v>1350000</v>
      </c>
      <c r="P1819" s="5" t="s">
        <v>612</v>
      </c>
      <c r="Q1819" s="5" t="s">
        <v>766</v>
      </c>
      <c r="R1819" s="11">
        <v>311000000</v>
      </c>
      <c r="S1819" s="22">
        <v>0</v>
      </c>
    </row>
    <row r="1820" spans="1:19" s="34" customFormat="1" ht="242.25">
      <c r="A1820" s="5">
        <v>1805</v>
      </c>
      <c r="B1820" s="15" t="s">
        <v>710</v>
      </c>
      <c r="C1820" s="31" t="s">
        <v>597</v>
      </c>
      <c r="D1820" s="31" t="s">
        <v>598</v>
      </c>
      <c r="E1820" s="57" t="s">
        <v>2198</v>
      </c>
      <c r="F1820" s="57" t="s">
        <v>600</v>
      </c>
      <c r="G1820" s="57" t="s">
        <v>2199</v>
      </c>
      <c r="H1820" s="57" t="s">
        <v>602</v>
      </c>
      <c r="I1820" s="57" t="s">
        <v>2318</v>
      </c>
      <c r="J1820" s="57" t="s">
        <v>2319</v>
      </c>
      <c r="K1820" s="57" t="s">
        <v>591</v>
      </c>
      <c r="L1820" s="11" t="s">
        <v>914</v>
      </c>
      <c r="M1820" s="22">
        <v>1</v>
      </c>
      <c r="N1820" s="46">
        <v>1350000</v>
      </c>
      <c r="O1820" s="49">
        <f t="shared" si="47"/>
        <v>1350000</v>
      </c>
      <c r="P1820" s="5" t="s">
        <v>612</v>
      </c>
      <c r="Q1820" s="5" t="s">
        <v>766</v>
      </c>
      <c r="R1820" s="11">
        <v>311000000</v>
      </c>
      <c r="S1820" s="22">
        <v>0</v>
      </c>
    </row>
    <row r="1821" spans="1:19" s="34" customFormat="1" ht="76.5">
      <c r="A1821" s="5">
        <v>1806</v>
      </c>
      <c r="B1821" s="29" t="s">
        <v>710</v>
      </c>
      <c r="C1821" s="42" t="s">
        <v>597</v>
      </c>
      <c r="D1821" s="31" t="s">
        <v>598</v>
      </c>
      <c r="E1821" s="57" t="s">
        <v>599</v>
      </c>
      <c r="F1821" s="57" t="s">
        <v>782</v>
      </c>
      <c r="G1821" s="57" t="s">
        <v>601</v>
      </c>
      <c r="H1821" s="57" t="s">
        <v>602</v>
      </c>
      <c r="I1821" s="57" t="s">
        <v>905</v>
      </c>
      <c r="J1821" s="57" t="s">
        <v>319</v>
      </c>
      <c r="K1821" s="57" t="s">
        <v>591</v>
      </c>
      <c r="L1821" s="11" t="s">
        <v>914</v>
      </c>
      <c r="M1821" s="22">
        <v>1</v>
      </c>
      <c r="N1821" s="46">
        <v>1800000</v>
      </c>
      <c r="O1821" s="49">
        <f t="shared" si="47"/>
        <v>1800000</v>
      </c>
      <c r="P1821" s="5" t="s">
        <v>393</v>
      </c>
      <c r="Q1821" s="5" t="s">
        <v>766</v>
      </c>
      <c r="R1821" s="11">
        <v>311000000</v>
      </c>
      <c r="S1821" s="22">
        <v>0</v>
      </c>
    </row>
    <row r="1822" spans="1:19" s="13" customFormat="1" ht="51">
      <c r="A1822" s="5">
        <v>1807</v>
      </c>
      <c r="B1822" s="29" t="s">
        <v>710</v>
      </c>
      <c r="C1822" s="35" t="s">
        <v>597</v>
      </c>
      <c r="D1822" s="31" t="s">
        <v>937</v>
      </c>
      <c r="E1822" s="57" t="s">
        <v>2205</v>
      </c>
      <c r="F1822" s="57" t="s">
        <v>938</v>
      </c>
      <c r="G1822" s="57" t="s">
        <v>2205</v>
      </c>
      <c r="H1822" s="57" t="s">
        <v>938</v>
      </c>
      <c r="I1822" s="57" t="s">
        <v>2206</v>
      </c>
      <c r="J1822" s="57" t="s">
        <v>316</v>
      </c>
      <c r="K1822" s="57" t="s">
        <v>591</v>
      </c>
      <c r="L1822" s="11" t="s">
        <v>914</v>
      </c>
      <c r="M1822" s="22">
        <v>1</v>
      </c>
      <c r="N1822" s="46">
        <v>1800000</v>
      </c>
      <c r="O1822" s="49">
        <f t="shared" si="47"/>
        <v>1800000</v>
      </c>
      <c r="P1822" s="5" t="s">
        <v>391</v>
      </c>
      <c r="Q1822" s="5" t="s">
        <v>766</v>
      </c>
      <c r="R1822" s="11" t="s">
        <v>2023</v>
      </c>
      <c r="S1822" s="22">
        <v>0</v>
      </c>
    </row>
    <row r="1823" spans="1:19" s="13" customFormat="1" ht="76.5">
      <c r="A1823" s="5">
        <v>1808</v>
      </c>
      <c r="B1823" s="29" t="s">
        <v>710</v>
      </c>
      <c r="C1823" s="5" t="s">
        <v>597</v>
      </c>
      <c r="D1823" s="31" t="s">
        <v>598</v>
      </c>
      <c r="E1823" s="57" t="s">
        <v>599</v>
      </c>
      <c r="F1823" s="57" t="s">
        <v>782</v>
      </c>
      <c r="G1823" s="57" t="s">
        <v>601</v>
      </c>
      <c r="H1823" s="57" t="s">
        <v>602</v>
      </c>
      <c r="I1823" s="57" t="s">
        <v>783</v>
      </c>
      <c r="J1823" s="57" t="s">
        <v>317</v>
      </c>
      <c r="K1823" s="57" t="s">
        <v>591</v>
      </c>
      <c r="L1823" s="11" t="s">
        <v>914</v>
      </c>
      <c r="M1823" s="22">
        <v>1</v>
      </c>
      <c r="N1823" s="46">
        <v>1800000</v>
      </c>
      <c r="O1823" s="49">
        <f t="shared" si="47"/>
        <v>1800000</v>
      </c>
      <c r="P1823" s="5" t="s">
        <v>393</v>
      </c>
      <c r="Q1823" s="5" t="s">
        <v>766</v>
      </c>
      <c r="R1823" s="11" t="s">
        <v>2023</v>
      </c>
      <c r="S1823" s="22">
        <v>0</v>
      </c>
    </row>
    <row r="1824" spans="1:19" s="13" customFormat="1" ht="76.5">
      <c r="A1824" s="5">
        <v>1809</v>
      </c>
      <c r="B1824" s="29" t="s">
        <v>710</v>
      </c>
      <c r="C1824" s="5" t="s">
        <v>597</v>
      </c>
      <c r="D1824" s="31" t="s">
        <v>598</v>
      </c>
      <c r="E1824" s="57" t="s">
        <v>599</v>
      </c>
      <c r="F1824" s="57" t="s">
        <v>782</v>
      </c>
      <c r="G1824" s="57" t="s">
        <v>601</v>
      </c>
      <c r="H1824" s="57" t="s">
        <v>602</v>
      </c>
      <c r="I1824" s="57" t="s">
        <v>784</v>
      </c>
      <c r="J1824" s="57" t="s">
        <v>318</v>
      </c>
      <c r="K1824" s="57" t="s">
        <v>591</v>
      </c>
      <c r="L1824" s="11" t="s">
        <v>914</v>
      </c>
      <c r="M1824" s="22">
        <v>1</v>
      </c>
      <c r="N1824" s="46">
        <v>1800000</v>
      </c>
      <c r="O1824" s="49">
        <f t="shared" si="47"/>
        <v>1800000</v>
      </c>
      <c r="P1824" s="5" t="s">
        <v>393</v>
      </c>
      <c r="Q1824" s="5" t="s">
        <v>766</v>
      </c>
      <c r="R1824" s="11" t="s">
        <v>2023</v>
      </c>
      <c r="S1824" s="22">
        <v>0</v>
      </c>
    </row>
    <row r="1825" spans="1:19" s="13" customFormat="1" ht="76.5">
      <c r="A1825" s="5">
        <v>1810</v>
      </c>
      <c r="B1825" s="29" t="s">
        <v>710</v>
      </c>
      <c r="C1825" s="42" t="s">
        <v>597</v>
      </c>
      <c r="D1825" s="31" t="s">
        <v>598</v>
      </c>
      <c r="E1825" s="57" t="s">
        <v>599</v>
      </c>
      <c r="F1825" s="57" t="s">
        <v>782</v>
      </c>
      <c r="G1825" s="57" t="s">
        <v>601</v>
      </c>
      <c r="H1825" s="57" t="s">
        <v>602</v>
      </c>
      <c r="I1825" s="57" t="s">
        <v>905</v>
      </c>
      <c r="J1825" s="57" t="s">
        <v>319</v>
      </c>
      <c r="K1825" s="57" t="s">
        <v>591</v>
      </c>
      <c r="L1825" s="11" t="s">
        <v>914</v>
      </c>
      <c r="M1825" s="22">
        <v>1</v>
      </c>
      <c r="N1825" s="46">
        <v>1800000</v>
      </c>
      <c r="O1825" s="49">
        <f t="shared" si="47"/>
        <v>1800000</v>
      </c>
      <c r="P1825" s="5" t="s">
        <v>393</v>
      </c>
      <c r="Q1825" s="5" t="s">
        <v>766</v>
      </c>
      <c r="R1825" s="11" t="s">
        <v>2023</v>
      </c>
      <c r="S1825" s="22">
        <v>0</v>
      </c>
    </row>
    <row r="1826" spans="1:19" s="13" customFormat="1" ht="76.5">
      <c r="A1826" s="5">
        <v>1811</v>
      </c>
      <c r="B1826" s="15" t="s">
        <v>710</v>
      </c>
      <c r="C1826" s="31" t="s">
        <v>597</v>
      </c>
      <c r="D1826" s="31" t="s">
        <v>598</v>
      </c>
      <c r="E1826" s="57" t="s">
        <v>2198</v>
      </c>
      <c r="F1826" s="57" t="s">
        <v>600</v>
      </c>
      <c r="G1826" s="57" t="s">
        <v>2199</v>
      </c>
      <c r="H1826" s="57" t="s">
        <v>602</v>
      </c>
      <c r="I1826" s="57" t="s">
        <v>2204</v>
      </c>
      <c r="J1826" s="57" t="s">
        <v>322</v>
      </c>
      <c r="K1826" s="57" t="s">
        <v>591</v>
      </c>
      <c r="L1826" s="11" t="s">
        <v>914</v>
      </c>
      <c r="M1826" s="22">
        <v>1</v>
      </c>
      <c r="N1826" s="46">
        <v>1800000</v>
      </c>
      <c r="O1826" s="49">
        <f t="shared" si="47"/>
        <v>1800000</v>
      </c>
      <c r="P1826" s="5" t="s">
        <v>393</v>
      </c>
      <c r="Q1826" s="5" t="s">
        <v>766</v>
      </c>
      <c r="R1826" s="11" t="s">
        <v>2023</v>
      </c>
      <c r="S1826" s="22">
        <v>0</v>
      </c>
    </row>
    <row r="1827" spans="1:19" s="13" customFormat="1" ht="51">
      <c r="A1827" s="5">
        <v>1812</v>
      </c>
      <c r="B1827" s="29" t="s">
        <v>710</v>
      </c>
      <c r="C1827" s="35" t="s">
        <v>597</v>
      </c>
      <c r="D1827" s="31" t="s">
        <v>937</v>
      </c>
      <c r="E1827" s="57" t="s">
        <v>2205</v>
      </c>
      <c r="F1827" s="57" t="s">
        <v>938</v>
      </c>
      <c r="G1827" s="57" t="s">
        <v>2205</v>
      </c>
      <c r="H1827" s="57" t="s">
        <v>938</v>
      </c>
      <c r="I1827" s="57" t="s">
        <v>2206</v>
      </c>
      <c r="J1827" s="57" t="s">
        <v>316</v>
      </c>
      <c r="K1827" s="57" t="s">
        <v>591</v>
      </c>
      <c r="L1827" s="11" t="s">
        <v>914</v>
      </c>
      <c r="M1827" s="22">
        <v>1</v>
      </c>
      <c r="N1827" s="46">
        <v>1800000</v>
      </c>
      <c r="O1827" s="49">
        <f t="shared" si="47"/>
        <v>1800000</v>
      </c>
      <c r="P1827" s="5" t="s">
        <v>393</v>
      </c>
      <c r="Q1827" s="5" t="s">
        <v>766</v>
      </c>
      <c r="R1827" s="11" t="s">
        <v>1021</v>
      </c>
      <c r="S1827" s="5">
        <v>0</v>
      </c>
    </row>
    <row r="1828" spans="1:19" s="13" customFormat="1" ht="76.5">
      <c r="A1828" s="5">
        <v>1813</v>
      </c>
      <c r="B1828" s="29" t="s">
        <v>710</v>
      </c>
      <c r="C1828" s="5" t="s">
        <v>597</v>
      </c>
      <c r="D1828" s="31" t="s">
        <v>598</v>
      </c>
      <c r="E1828" s="57" t="s">
        <v>599</v>
      </c>
      <c r="F1828" s="57" t="s">
        <v>782</v>
      </c>
      <c r="G1828" s="57" t="s">
        <v>601</v>
      </c>
      <c r="H1828" s="57" t="s">
        <v>602</v>
      </c>
      <c r="I1828" s="57" t="s">
        <v>783</v>
      </c>
      <c r="J1828" s="57" t="s">
        <v>317</v>
      </c>
      <c r="K1828" s="57" t="s">
        <v>591</v>
      </c>
      <c r="L1828" s="11" t="s">
        <v>914</v>
      </c>
      <c r="M1828" s="22">
        <v>1</v>
      </c>
      <c r="N1828" s="46">
        <v>1800000</v>
      </c>
      <c r="O1828" s="49">
        <f t="shared" si="47"/>
        <v>1800000</v>
      </c>
      <c r="P1828" s="5" t="s">
        <v>393</v>
      </c>
      <c r="Q1828" s="5" t="s">
        <v>766</v>
      </c>
      <c r="R1828" s="11" t="s">
        <v>1021</v>
      </c>
      <c r="S1828" s="5">
        <v>0</v>
      </c>
    </row>
    <row r="1829" spans="1:19" s="13" customFormat="1" ht="76.5">
      <c r="A1829" s="5">
        <v>1814</v>
      </c>
      <c r="B1829" s="29" t="s">
        <v>710</v>
      </c>
      <c r="C1829" s="5" t="s">
        <v>597</v>
      </c>
      <c r="D1829" s="31" t="s">
        <v>598</v>
      </c>
      <c r="E1829" s="57" t="s">
        <v>599</v>
      </c>
      <c r="F1829" s="57" t="s">
        <v>782</v>
      </c>
      <c r="G1829" s="57" t="s">
        <v>601</v>
      </c>
      <c r="H1829" s="57" t="s">
        <v>602</v>
      </c>
      <c r="I1829" s="57" t="s">
        <v>784</v>
      </c>
      <c r="J1829" s="57" t="s">
        <v>318</v>
      </c>
      <c r="K1829" s="57" t="s">
        <v>591</v>
      </c>
      <c r="L1829" s="11" t="s">
        <v>914</v>
      </c>
      <c r="M1829" s="22">
        <v>1</v>
      </c>
      <c r="N1829" s="46">
        <v>1800000</v>
      </c>
      <c r="O1829" s="49">
        <f t="shared" si="47"/>
        <v>1800000</v>
      </c>
      <c r="P1829" s="5" t="s">
        <v>393</v>
      </c>
      <c r="Q1829" s="5" t="s">
        <v>766</v>
      </c>
      <c r="R1829" s="11" t="s">
        <v>1021</v>
      </c>
      <c r="S1829" s="5">
        <v>0</v>
      </c>
    </row>
    <row r="1830" spans="1:19" s="13" customFormat="1" ht="76.5">
      <c r="A1830" s="5">
        <v>1815</v>
      </c>
      <c r="B1830" s="29" t="s">
        <v>710</v>
      </c>
      <c r="C1830" s="42" t="s">
        <v>597</v>
      </c>
      <c r="D1830" s="31" t="s">
        <v>598</v>
      </c>
      <c r="E1830" s="57" t="s">
        <v>599</v>
      </c>
      <c r="F1830" s="57" t="s">
        <v>782</v>
      </c>
      <c r="G1830" s="57" t="s">
        <v>601</v>
      </c>
      <c r="H1830" s="57" t="s">
        <v>602</v>
      </c>
      <c r="I1830" s="57" t="s">
        <v>905</v>
      </c>
      <c r="J1830" s="57" t="s">
        <v>319</v>
      </c>
      <c r="K1830" s="57" t="s">
        <v>591</v>
      </c>
      <c r="L1830" s="11" t="s">
        <v>914</v>
      </c>
      <c r="M1830" s="22">
        <v>1</v>
      </c>
      <c r="N1830" s="46">
        <v>1800000</v>
      </c>
      <c r="O1830" s="49">
        <f t="shared" si="47"/>
        <v>1800000</v>
      </c>
      <c r="P1830" s="5" t="s">
        <v>393</v>
      </c>
      <c r="Q1830" s="5" t="s">
        <v>766</v>
      </c>
      <c r="R1830" s="11" t="s">
        <v>1021</v>
      </c>
      <c r="S1830" s="5">
        <v>0</v>
      </c>
    </row>
    <row r="1831" spans="1:19" s="13" customFormat="1" ht="76.5">
      <c r="A1831" s="5">
        <v>1816</v>
      </c>
      <c r="B1831" s="29" t="s">
        <v>710</v>
      </c>
      <c r="C1831" s="5" t="s">
        <v>597</v>
      </c>
      <c r="D1831" s="31" t="s">
        <v>1045</v>
      </c>
      <c r="E1831" s="57" t="s">
        <v>2212</v>
      </c>
      <c r="F1831" s="57" t="s">
        <v>1046</v>
      </c>
      <c r="G1831" s="57" t="s">
        <v>2212</v>
      </c>
      <c r="H1831" s="57" t="s">
        <v>1047</v>
      </c>
      <c r="I1831" s="57" t="s">
        <v>2213</v>
      </c>
      <c r="J1831" s="57" t="s">
        <v>324</v>
      </c>
      <c r="K1831" s="57" t="s">
        <v>591</v>
      </c>
      <c r="L1831" s="11" t="s">
        <v>914</v>
      </c>
      <c r="M1831" s="22">
        <v>1</v>
      </c>
      <c r="N1831" s="46">
        <v>1800000</v>
      </c>
      <c r="O1831" s="49">
        <f t="shared" si="47"/>
        <v>1800000</v>
      </c>
      <c r="P1831" s="5" t="s">
        <v>393</v>
      </c>
      <c r="Q1831" s="5" t="s">
        <v>766</v>
      </c>
      <c r="R1831" s="11" t="s">
        <v>1021</v>
      </c>
      <c r="S1831" s="5">
        <v>0</v>
      </c>
    </row>
    <row r="1832" spans="1:19" s="36" customFormat="1" ht="51">
      <c r="A1832" s="5">
        <v>1817</v>
      </c>
      <c r="B1832" s="29" t="s">
        <v>710</v>
      </c>
      <c r="C1832" s="35" t="s">
        <v>597</v>
      </c>
      <c r="D1832" s="31" t="s">
        <v>937</v>
      </c>
      <c r="E1832" s="57" t="s">
        <v>2205</v>
      </c>
      <c r="F1832" s="57" t="s">
        <v>938</v>
      </c>
      <c r="G1832" s="57" t="s">
        <v>2205</v>
      </c>
      <c r="H1832" s="57" t="s">
        <v>938</v>
      </c>
      <c r="I1832" s="57" t="s">
        <v>2206</v>
      </c>
      <c r="J1832" s="57" t="s">
        <v>316</v>
      </c>
      <c r="K1832" s="57" t="s">
        <v>591</v>
      </c>
      <c r="L1832" s="11" t="s">
        <v>914</v>
      </c>
      <c r="M1832" s="22">
        <v>1</v>
      </c>
      <c r="N1832" s="46">
        <v>1800000</v>
      </c>
      <c r="O1832" s="49">
        <f t="shared" si="47"/>
        <v>1800000</v>
      </c>
      <c r="P1832" s="5" t="s">
        <v>393</v>
      </c>
      <c r="Q1832" s="5" t="s">
        <v>766</v>
      </c>
      <c r="R1832" s="11" t="s">
        <v>2024</v>
      </c>
      <c r="S1832" s="22">
        <v>0</v>
      </c>
    </row>
    <row r="1833" spans="1:19" s="36" customFormat="1" ht="76.5">
      <c r="A1833" s="5">
        <v>1818</v>
      </c>
      <c r="B1833" s="29" t="s">
        <v>710</v>
      </c>
      <c r="C1833" s="5" t="s">
        <v>597</v>
      </c>
      <c r="D1833" s="31" t="s">
        <v>598</v>
      </c>
      <c r="E1833" s="57" t="s">
        <v>599</v>
      </c>
      <c r="F1833" s="57" t="s">
        <v>782</v>
      </c>
      <c r="G1833" s="57" t="s">
        <v>601</v>
      </c>
      <c r="H1833" s="57" t="s">
        <v>602</v>
      </c>
      <c r="I1833" s="57" t="s">
        <v>783</v>
      </c>
      <c r="J1833" s="57" t="s">
        <v>317</v>
      </c>
      <c r="K1833" s="57" t="s">
        <v>591</v>
      </c>
      <c r="L1833" s="11" t="s">
        <v>914</v>
      </c>
      <c r="M1833" s="22">
        <v>1</v>
      </c>
      <c r="N1833" s="46">
        <v>1800000</v>
      </c>
      <c r="O1833" s="49">
        <f t="shared" si="47"/>
        <v>1800000</v>
      </c>
      <c r="P1833" s="5" t="s">
        <v>393</v>
      </c>
      <c r="Q1833" s="5" t="s">
        <v>766</v>
      </c>
      <c r="R1833" s="11" t="s">
        <v>2024</v>
      </c>
      <c r="S1833" s="22">
        <v>0</v>
      </c>
    </row>
    <row r="1834" spans="1:19" s="36" customFormat="1" ht="76.5">
      <c r="A1834" s="5">
        <v>1819</v>
      </c>
      <c r="B1834" s="29" t="s">
        <v>710</v>
      </c>
      <c r="C1834" s="5" t="s">
        <v>597</v>
      </c>
      <c r="D1834" s="31" t="s">
        <v>598</v>
      </c>
      <c r="E1834" s="57" t="s">
        <v>599</v>
      </c>
      <c r="F1834" s="57" t="s">
        <v>782</v>
      </c>
      <c r="G1834" s="57" t="s">
        <v>601</v>
      </c>
      <c r="H1834" s="57" t="s">
        <v>602</v>
      </c>
      <c r="I1834" s="57" t="s">
        <v>784</v>
      </c>
      <c r="J1834" s="57" t="s">
        <v>318</v>
      </c>
      <c r="K1834" s="57" t="s">
        <v>591</v>
      </c>
      <c r="L1834" s="11" t="s">
        <v>914</v>
      </c>
      <c r="M1834" s="22">
        <v>1</v>
      </c>
      <c r="N1834" s="46">
        <v>1800000</v>
      </c>
      <c r="O1834" s="49">
        <f t="shared" si="47"/>
        <v>1800000</v>
      </c>
      <c r="P1834" s="5" t="s">
        <v>393</v>
      </c>
      <c r="Q1834" s="5" t="s">
        <v>766</v>
      </c>
      <c r="R1834" s="11" t="s">
        <v>2024</v>
      </c>
      <c r="S1834" s="22">
        <v>0</v>
      </c>
    </row>
    <row r="1835" spans="1:19" s="36" customFormat="1" ht="76.5">
      <c r="A1835" s="5">
        <v>1820</v>
      </c>
      <c r="B1835" s="29" t="s">
        <v>710</v>
      </c>
      <c r="C1835" s="42" t="s">
        <v>597</v>
      </c>
      <c r="D1835" s="31" t="s">
        <v>598</v>
      </c>
      <c r="E1835" s="57" t="s">
        <v>599</v>
      </c>
      <c r="F1835" s="57" t="s">
        <v>782</v>
      </c>
      <c r="G1835" s="57" t="s">
        <v>601</v>
      </c>
      <c r="H1835" s="57" t="s">
        <v>602</v>
      </c>
      <c r="I1835" s="57" t="s">
        <v>905</v>
      </c>
      <c r="J1835" s="57" t="s">
        <v>319</v>
      </c>
      <c r="K1835" s="57" t="s">
        <v>591</v>
      </c>
      <c r="L1835" s="11" t="s">
        <v>914</v>
      </c>
      <c r="M1835" s="22">
        <v>1</v>
      </c>
      <c r="N1835" s="46">
        <v>1800000</v>
      </c>
      <c r="O1835" s="49">
        <f t="shared" si="47"/>
        <v>1800000</v>
      </c>
      <c r="P1835" s="5" t="s">
        <v>393</v>
      </c>
      <c r="Q1835" s="5" t="s">
        <v>766</v>
      </c>
      <c r="R1835" s="11" t="s">
        <v>2024</v>
      </c>
      <c r="S1835" s="22">
        <v>0</v>
      </c>
    </row>
    <row r="1836" spans="1:19" s="36" customFormat="1" ht="76.5">
      <c r="A1836" s="5">
        <v>1821</v>
      </c>
      <c r="B1836" s="15" t="s">
        <v>710</v>
      </c>
      <c r="C1836" s="31" t="s">
        <v>597</v>
      </c>
      <c r="D1836" s="31" t="s">
        <v>598</v>
      </c>
      <c r="E1836" s="57" t="s">
        <v>599</v>
      </c>
      <c r="F1836" s="57" t="s">
        <v>600</v>
      </c>
      <c r="G1836" s="57" t="s">
        <v>601</v>
      </c>
      <c r="H1836" s="57" t="s">
        <v>602</v>
      </c>
      <c r="I1836" s="57" t="s">
        <v>2207</v>
      </c>
      <c r="J1836" s="57" t="s">
        <v>325</v>
      </c>
      <c r="K1836" s="57" t="s">
        <v>591</v>
      </c>
      <c r="L1836" s="11" t="s">
        <v>914</v>
      </c>
      <c r="M1836" s="22">
        <v>1</v>
      </c>
      <c r="N1836" s="46">
        <v>1800000</v>
      </c>
      <c r="O1836" s="49">
        <f t="shared" si="47"/>
        <v>1800000</v>
      </c>
      <c r="P1836" s="5" t="s">
        <v>393</v>
      </c>
      <c r="Q1836" s="5" t="s">
        <v>766</v>
      </c>
      <c r="R1836" s="11" t="s">
        <v>2024</v>
      </c>
      <c r="S1836" s="22">
        <v>0</v>
      </c>
    </row>
    <row r="1837" spans="1:19" s="13" customFormat="1" ht="51">
      <c r="A1837" s="5">
        <v>1822</v>
      </c>
      <c r="B1837" s="29" t="s">
        <v>710</v>
      </c>
      <c r="C1837" s="35" t="s">
        <v>597</v>
      </c>
      <c r="D1837" s="31" t="s">
        <v>937</v>
      </c>
      <c r="E1837" s="57" t="s">
        <v>2205</v>
      </c>
      <c r="F1837" s="57" t="s">
        <v>938</v>
      </c>
      <c r="G1837" s="57" t="s">
        <v>2205</v>
      </c>
      <c r="H1837" s="57" t="s">
        <v>938</v>
      </c>
      <c r="I1837" s="57" t="s">
        <v>2206</v>
      </c>
      <c r="J1837" s="57" t="s">
        <v>316</v>
      </c>
      <c r="K1837" s="57" t="s">
        <v>591</v>
      </c>
      <c r="L1837" s="11" t="s">
        <v>914</v>
      </c>
      <c r="M1837" s="22">
        <v>1</v>
      </c>
      <c r="N1837" s="46">
        <v>1800000</v>
      </c>
      <c r="O1837" s="49">
        <f t="shared" ref="O1837:O1872" si="48">M1837*N1837</f>
        <v>1800000</v>
      </c>
      <c r="P1837" s="5" t="s">
        <v>393</v>
      </c>
      <c r="Q1837" s="5" t="s">
        <v>766</v>
      </c>
      <c r="R1837" s="11">
        <v>431000000</v>
      </c>
      <c r="S1837" s="22">
        <v>0</v>
      </c>
    </row>
    <row r="1838" spans="1:19" s="13" customFormat="1" ht="76.5">
      <c r="A1838" s="5">
        <v>1823</v>
      </c>
      <c r="B1838" s="29" t="s">
        <v>710</v>
      </c>
      <c r="C1838" s="5" t="s">
        <v>597</v>
      </c>
      <c r="D1838" s="31" t="s">
        <v>598</v>
      </c>
      <c r="E1838" s="57" t="s">
        <v>599</v>
      </c>
      <c r="F1838" s="57" t="s">
        <v>782</v>
      </c>
      <c r="G1838" s="57" t="s">
        <v>601</v>
      </c>
      <c r="H1838" s="57" t="s">
        <v>602</v>
      </c>
      <c r="I1838" s="57" t="s">
        <v>783</v>
      </c>
      <c r="J1838" s="57" t="s">
        <v>317</v>
      </c>
      <c r="K1838" s="57" t="s">
        <v>591</v>
      </c>
      <c r="L1838" s="11" t="s">
        <v>914</v>
      </c>
      <c r="M1838" s="22">
        <v>1</v>
      </c>
      <c r="N1838" s="46">
        <v>1800000</v>
      </c>
      <c r="O1838" s="49">
        <f t="shared" si="48"/>
        <v>1800000</v>
      </c>
      <c r="P1838" s="5" t="s">
        <v>393</v>
      </c>
      <c r="Q1838" s="5" t="s">
        <v>766</v>
      </c>
      <c r="R1838" s="11">
        <v>431000000</v>
      </c>
      <c r="S1838" s="22">
        <v>0</v>
      </c>
    </row>
    <row r="1839" spans="1:19" s="13" customFormat="1" ht="76.5">
      <c r="A1839" s="5">
        <v>1824</v>
      </c>
      <c r="B1839" s="29" t="s">
        <v>710</v>
      </c>
      <c r="C1839" s="5" t="s">
        <v>597</v>
      </c>
      <c r="D1839" s="31" t="s">
        <v>598</v>
      </c>
      <c r="E1839" s="57" t="s">
        <v>599</v>
      </c>
      <c r="F1839" s="57" t="s">
        <v>782</v>
      </c>
      <c r="G1839" s="57" t="s">
        <v>601</v>
      </c>
      <c r="H1839" s="57" t="s">
        <v>602</v>
      </c>
      <c r="I1839" s="57" t="s">
        <v>784</v>
      </c>
      <c r="J1839" s="57" t="s">
        <v>318</v>
      </c>
      <c r="K1839" s="57" t="s">
        <v>591</v>
      </c>
      <c r="L1839" s="11" t="s">
        <v>914</v>
      </c>
      <c r="M1839" s="22">
        <v>1</v>
      </c>
      <c r="N1839" s="46">
        <v>1800000</v>
      </c>
      <c r="O1839" s="49">
        <f t="shared" si="48"/>
        <v>1800000</v>
      </c>
      <c r="P1839" s="5" t="s">
        <v>393</v>
      </c>
      <c r="Q1839" s="5" t="s">
        <v>766</v>
      </c>
      <c r="R1839" s="11">
        <v>431000000</v>
      </c>
      <c r="S1839" s="22">
        <v>0</v>
      </c>
    </row>
    <row r="1840" spans="1:19" s="13" customFormat="1" ht="76.5">
      <c r="A1840" s="5">
        <v>1825</v>
      </c>
      <c r="B1840" s="29" t="s">
        <v>710</v>
      </c>
      <c r="C1840" s="42" t="s">
        <v>597</v>
      </c>
      <c r="D1840" s="31" t="s">
        <v>598</v>
      </c>
      <c r="E1840" s="57" t="s">
        <v>599</v>
      </c>
      <c r="F1840" s="57" t="s">
        <v>782</v>
      </c>
      <c r="G1840" s="57" t="s">
        <v>601</v>
      </c>
      <c r="H1840" s="57" t="s">
        <v>602</v>
      </c>
      <c r="I1840" s="57" t="s">
        <v>905</v>
      </c>
      <c r="J1840" s="57" t="s">
        <v>319</v>
      </c>
      <c r="K1840" s="57" t="s">
        <v>591</v>
      </c>
      <c r="L1840" s="11" t="s">
        <v>914</v>
      </c>
      <c r="M1840" s="22">
        <v>1</v>
      </c>
      <c r="N1840" s="46">
        <v>1800000</v>
      </c>
      <c r="O1840" s="49">
        <f t="shared" si="48"/>
        <v>1800000</v>
      </c>
      <c r="P1840" s="5" t="s">
        <v>393</v>
      </c>
      <c r="Q1840" s="5" t="s">
        <v>766</v>
      </c>
      <c r="R1840" s="11">
        <v>431000000</v>
      </c>
      <c r="S1840" s="22">
        <v>0</v>
      </c>
    </row>
    <row r="1841" spans="1:19" s="13" customFormat="1" ht="76.5">
      <c r="A1841" s="5">
        <v>1826</v>
      </c>
      <c r="B1841" s="15" t="s">
        <v>710</v>
      </c>
      <c r="C1841" s="31" t="s">
        <v>597</v>
      </c>
      <c r="D1841" s="31" t="s">
        <v>598</v>
      </c>
      <c r="E1841" s="57" t="s">
        <v>599</v>
      </c>
      <c r="F1841" s="57" t="s">
        <v>600</v>
      </c>
      <c r="G1841" s="57" t="s">
        <v>601</v>
      </c>
      <c r="H1841" s="57" t="s">
        <v>602</v>
      </c>
      <c r="I1841" s="57" t="s">
        <v>2211</v>
      </c>
      <c r="J1841" s="57" t="s">
        <v>326</v>
      </c>
      <c r="K1841" s="57" t="s">
        <v>591</v>
      </c>
      <c r="L1841" s="11" t="s">
        <v>914</v>
      </c>
      <c r="M1841" s="22">
        <v>1</v>
      </c>
      <c r="N1841" s="46">
        <v>1800000</v>
      </c>
      <c r="O1841" s="49">
        <f t="shared" si="48"/>
        <v>1800000</v>
      </c>
      <c r="P1841" s="5" t="s">
        <v>393</v>
      </c>
      <c r="Q1841" s="5" t="s">
        <v>766</v>
      </c>
      <c r="R1841" s="11">
        <v>431000000</v>
      </c>
      <c r="S1841" s="22">
        <v>0</v>
      </c>
    </row>
    <row r="1842" spans="1:19" ht="50.25" customHeight="1">
      <c r="A1842" s="5">
        <v>1827</v>
      </c>
      <c r="B1842" s="29" t="s">
        <v>710</v>
      </c>
      <c r="C1842" s="35" t="s">
        <v>597</v>
      </c>
      <c r="D1842" s="31" t="s">
        <v>937</v>
      </c>
      <c r="E1842" s="57" t="s">
        <v>2205</v>
      </c>
      <c r="F1842" s="57" t="s">
        <v>938</v>
      </c>
      <c r="G1842" s="57" t="s">
        <v>2205</v>
      </c>
      <c r="H1842" s="57" t="s">
        <v>938</v>
      </c>
      <c r="I1842" s="57" t="s">
        <v>2206</v>
      </c>
      <c r="J1842" s="57" t="s">
        <v>316</v>
      </c>
      <c r="K1842" s="57" t="s">
        <v>591</v>
      </c>
      <c r="L1842" s="11" t="s">
        <v>914</v>
      </c>
      <c r="M1842" s="22">
        <v>1</v>
      </c>
      <c r="N1842" s="46">
        <v>1800000</v>
      </c>
      <c r="O1842" s="49">
        <f t="shared" si="48"/>
        <v>1800000</v>
      </c>
      <c r="P1842" s="5" t="s">
        <v>393</v>
      </c>
      <c r="Q1842" s="5" t="s">
        <v>766</v>
      </c>
      <c r="R1842" s="11" t="s">
        <v>715</v>
      </c>
      <c r="S1842" s="22">
        <v>0</v>
      </c>
    </row>
    <row r="1843" spans="1:19" ht="65.25" customHeight="1">
      <c r="A1843" s="5">
        <v>1828</v>
      </c>
      <c r="B1843" s="29" t="s">
        <v>710</v>
      </c>
      <c r="C1843" s="5" t="s">
        <v>597</v>
      </c>
      <c r="D1843" s="31" t="s">
        <v>598</v>
      </c>
      <c r="E1843" s="57" t="s">
        <v>599</v>
      </c>
      <c r="F1843" s="57" t="s">
        <v>782</v>
      </c>
      <c r="G1843" s="57" t="s">
        <v>601</v>
      </c>
      <c r="H1843" s="57" t="s">
        <v>602</v>
      </c>
      <c r="I1843" s="57" t="s">
        <v>783</v>
      </c>
      <c r="J1843" s="57" t="s">
        <v>317</v>
      </c>
      <c r="K1843" s="57" t="s">
        <v>591</v>
      </c>
      <c r="L1843" s="11" t="s">
        <v>914</v>
      </c>
      <c r="M1843" s="22">
        <v>1</v>
      </c>
      <c r="N1843" s="46">
        <v>1800000</v>
      </c>
      <c r="O1843" s="49">
        <f t="shared" si="48"/>
        <v>1800000</v>
      </c>
      <c r="P1843" s="5" t="s">
        <v>393</v>
      </c>
      <c r="Q1843" s="5" t="s">
        <v>766</v>
      </c>
      <c r="R1843" s="11" t="s">
        <v>715</v>
      </c>
      <c r="S1843" s="22">
        <v>0</v>
      </c>
    </row>
    <row r="1844" spans="1:19" ht="57" customHeight="1">
      <c r="A1844" s="5">
        <v>1829</v>
      </c>
      <c r="B1844" s="29" t="s">
        <v>710</v>
      </c>
      <c r="C1844" s="5" t="s">
        <v>597</v>
      </c>
      <c r="D1844" s="31" t="s">
        <v>598</v>
      </c>
      <c r="E1844" s="57" t="s">
        <v>599</v>
      </c>
      <c r="F1844" s="57" t="s">
        <v>782</v>
      </c>
      <c r="G1844" s="57" t="s">
        <v>601</v>
      </c>
      <c r="H1844" s="57" t="s">
        <v>602</v>
      </c>
      <c r="I1844" s="57" t="s">
        <v>784</v>
      </c>
      <c r="J1844" s="57" t="s">
        <v>318</v>
      </c>
      <c r="K1844" s="57" t="s">
        <v>591</v>
      </c>
      <c r="L1844" s="11" t="s">
        <v>914</v>
      </c>
      <c r="M1844" s="22">
        <v>1</v>
      </c>
      <c r="N1844" s="46">
        <v>1800000</v>
      </c>
      <c r="O1844" s="49">
        <f t="shared" si="48"/>
        <v>1800000</v>
      </c>
      <c r="P1844" s="5" t="s">
        <v>391</v>
      </c>
      <c r="Q1844" s="5" t="s">
        <v>766</v>
      </c>
      <c r="R1844" s="11" t="s">
        <v>715</v>
      </c>
      <c r="S1844" s="22">
        <v>0</v>
      </c>
    </row>
    <row r="1845" spans="1:19" ht="76.5">
      <c r="A1845" s="5">
        <v>1830</v>
      </c>
      <c r="B1845" s="29" t="s">
        <v>710</v>
      </c>
      <c r="C1845" s="42" t="s">
        <v>597</v>
      </c>
      <c r="D1845" s="31" t="s">
        <v>598</v>
      </c>
      <c r="E1845" s="57" t="s">
        <v>599</v>
      </c>
      <c r="F1845" s="57" t="s">
        <v>782</v>
      </c>
      <c r="G1845" s="57" t="s">
        <v>601</v>
      </c>
      <c r="H1845" s="57" t="s">
        <v>602</v>
      </c>
      <c r="I1845" s="57" t="s">
        <v>905</v>
      </c>
      <c r="J1845" s="57" t="s">
        <v>319</v>
      </c>
      <c r="K1845" s="57" t="s">
        <v>591</v>
      </c>
      <c r="L1845" s="11" t="s">
        <v>914</v>
      </c>
      <c r="M1845" s="22">
        <v>1</v>
      </c>
      <c r="N1845" s="46">
        <v>1800000</v>
      </c>
      <c r="O1845" s="49">
        <f t="shared" si="48"/>
        <v>1800000</v>
      </c>
      <c r="P1845" s="5" t="s">
        <v>393</v>
      </c>
      <c r="Q1845" s="5" t="s">
        <v>766</v>
      </c>
      <c r="R1845" s="11" t="s">
        <v>715</v>
      </c>
      <c r="S1845" s="22">
        <v>0</v>
      </c>
    </row>
    <row r="1846" spans="1:19" ht="72.75" customHeight="1">
      <c r="A1846" s="5">
        <v>1831</v>
      </c>
      <c r="B1846" s="29" t="s">
        <v>710</v>
      </c>
      <c r="C1846" s="5" t="s">
        <v>597</v>
      </c>
      <c r="D1846" s="31" t="s">
        <v>598</v>
      </c>
      <c r="E1846" s="57" t="s">
        <v>599</v>
      </c>
      <c r="F1846" s="57" t="s">
        <v>782</v>
      </c>
      <c r="G1846" s="57" t="s">
        <v>601</v>
      </c>
      <c r="H1846" s="57" t="s">
        <v>602</v>
      </c>
      <c r="I1846" s="57" t="s">
        <v>2210</v>
      </c>
      <c r="J1846" s="57" t="s">
        <v>381</v>
      </c>
      <c r="K1846" s="57" t="s">
        <v>591</v>
      </c>
      <c r="L1846" s="11" t="s">
        <v>914</v>
      </c>
      <c r="M1846" s="22">
        <v>1</v>
      </c>
      <c r="N1846" s="46">
        <v>1800000</v>
      </c>
      <c r="O1846" s="49">
        <f t="shared" si="48"/>
        <v>1800000</v>
      </c>
      <c r="P1846" s="5" t="s">
        <v>393</v>
      </c>
      <c r="Q1846" s="5" t="s">
        <v>766</v>
      </c>
      <c r="R1846" s="11" t="s">
        <v>715</v>
      </c>
      <c r="S1846" s="22">
        <v>0</v>
      </c>
    </row>
    <row r="1847" spans="1:19" s="13" customFormat="1" ht="51">
      <c r="A1847" s="5">
        <v>1832</v>
      </c>
      <c r="B1847" s="29" t="s">
        <v>710</v>
      </c>
      <c r="C1847" s="35" t="s">
        <v>597</v>
      </c>
      <c r="D1847" s="31" t="s">
        <v>937</v>
      </c>
      <c r="E1847" s="57" t="s">
        <v>2205</v>
      </c>
      <c r="F1847" s="57" t="s">
        <v>938</v>
      </c>
      <c r="G1847" s="57" t="s">
        <v>2205</v>
      </c>
      <c r="H1847" s="57" t="s">
        <v>938</v>
      </c>
      <c r="I1847" s="57" t="s">
        <v>2206</v>
      </c>
      <c r="J1847" s="57" t="s">
        <v>316</v>
      </c>
      <c r="K1847" s="57" t="s">
        <v>591</v>
      </c>
      <c r="L1847" s="11" t="s">
        <v>914</v>
      </c>
      <c r="M1847" s="22">
        <v>1</v>
      </c>
      <c r="N1847" s="46">
        <v>1800000</v>
      </c>
      <c r="O1847" s="49">
        <f t="shared" si="48"/>
        <v>1800000</v>
      </c>
      <c r="P1847" s="5" t="s">
        <v>393</v>
      </c>
      <c r="Q1847" s="5" t="s">
        <v>766</v>
      </c>
      <c r="R1847" s="11" t="s">
        <v>789</v>
      </c>
      <c r="S1847" s="5">
        <v>0</v>
      </c>
    </row>
    <row r="1848" spans="1:19" s="13" customFormat="1" ht="76.5">
      <c r="A1848" s="5">
        <v>1833</v>
      </c>
      <c r="B1848" s="29" t="s">
        <v>710</v>
      </c>
      <c r="C1848" s="5" t="s">
        <v>597</v>
      </c>
      <c r="D1848" s="31" t="s">
        <v>598</v>
      </c>
      <c r="E1848" s="57" t="s">
        <v>599</v>
      </c>
      <c r="F1848" s="57" t="s">
        <v>782</v>
      </c>
      <c r="G1848" s="57" t="s">
        <v>601</v>
      </c>
      <c r="H1848" s="57" t="s">
        <v>602</v>
      </c>
      <c r="I1848" s="57" t="s">
        <v>783</v>
      </c>
      <c r="J1848" s="57" t="s">
        <v>317</v>
      </c>
      <c r="K1848" s="57" t="s">
        <v>591</v>
      </c>
      <c r="L1848" s="11" t="s">
        <v>914</v>
      </c>
      <c r="M1848" s="22">
        <v>1</v>
      </c>
      <c r="N1848" s="46">
        <v>1800000</v>
      </c>
      <c r="O1848" s="49">
        <f t="shared" si="48"/>
        <v>1800000</v>
      </c>
      <c r="P1848" s="5" t="s">
        <v>393</v>
      </c>
      <c r="Q1848" s="5" t="s">
        <v>766</v>
      </c>
      <c r="R1848" s="11" t="s">
        <v>789</v>
      </c>
      <c r="S1848" s="5">
        <v>0</v>
      </c>
    </row>
    <row r="1849" spans="1:19" s="13" customFormat="1" ht="76.5">
      <c r="A1849" s="5">
        <v>1834</v>
      </c>
      <c r="B1849" s="29" t="s">
        <v>710</v>
      </c>
      <c r="C1849" s="5" t="s">
        <v>597</v>
      </c>
      <c r="D1849" s="31" t="s">
        <v>598</v>
      </c>
      <c r="E1849" s="57" t="s">
        <v>599</v>
      </c>
      <c r="F1849" s="57" t="s">
        <v>782</v>
      </c>
      <c r="G1849" s="57" t="s">
        <v>601</v>
      </c>
      <c r="H1849" s="57" t="s">
        <v>602</v>
      </c>
      <c r="I1849" s="57" t="s">
        <v>784</v>
      </c>
      <c r="J1849" s="57" t="s">
        <v>318</v>
      </c>
      <c r="K1849" s="57" t="s">
        <v>591</v>
      </c>
      <c r="L1849" s="11" t="s">
        <v>914</v>
      </c>
      <c r="M1849" s="22">
        <v>1</v>
      </c>
      <c r="N1849" s="46">
        <v>1800000</v>
      </c>
      <c r="O1849" s="49">
        <f t="shared" si="48"/>
        <v>1800000</v>
      </c>
      <c r="P1849" s="5" t="s">
        <v>393</v>
      </c>
      <c r="Q1849" s="5" t="s">
        <v>766</v>
      </c>
      <c r="R1849" s="11" t="s">
        <v>789</v>
      </c>
      <c r="S1849" s="5">
        <v>0</v>
      </c>
    </row>
    <row r="1850" spans="1:19" s="13" customFormat="1" ht="76.5">
      <c r="A1850" s="5">
        <v>1835</v>
      </c>
      <c r="B1850" s="15" t="s">
        <v>710</v>
      </c>
      <c r="C1850" s="31" t="s">
        <v>597</v>
      </c>
      <c r="D1850" s="31" t="s">
        <v>598</v>
      </c>
      <c r="E1850" s="57" t="s">
        <v>2198</v>
      </c>
      <c r="F1850" s="57" t="s">
        <v>600</v>
      </c>
      <c r="G1850" s="57" t="s">
        <v>2199</v>
      </c>
      <c r="H1850" s="57" t="s">
        <v>602</v>
      </c>
      <c r="I1850" s="57" t="s">
        <v>2204</v>
      </c>
      <c r="J1850" s="57" t="s">
        <v>322</v>
      </c>
      <c r="K1850" s="57" t="s">
        <v>591</v>
      </c>
      <c r="L1850" s="11" t="s">
        <v>914</v>
      </c>
      <c r="M1850" s="22">
        <v>1</v>
      </c>
      <c r="N1850" s="46">
        <v>1800000</v>
      </c>
      <c r="O1850" s="49">
        <f t="shared" si="48"/>
        <v>1800000</v>
      </c>
      <c r="P1850" s="5" t="s">
        <v>393</v>
      </c>
      <c r="Q1850" s="5" t="s">
        <v>766</v>
      </c>
      <c r="R1850" s="11" t="s">
        <v>789</v>
      </c>
      <c r="S1850" s="5">
        <v>0</v>
      </c>
    </row>
    <row r="1851" spans="1:19" s="13" customFormat="1" ht="76.5">
      <c r="A1851" s="5">
        <v>1836</v>
      </c>
      <c r="B1851" s="29" t="s">
        <v>710</v>
      </c>
      <c r="C1851" s="42" t="s">
        <v>597</v>
      </c>
      <c r="D1851" s="31" t="s">
        <v>598</v>
      </c>
      <c r="E1851" s="57" t="s">
        <v>599</v>
      </c>
      <c r="F1851" s="57" t="s">
        <v>782</v>
      </c>
      <c r="G1851" s="57" t="s">
        <v>601</v>
      </c>
      <c r="H1851" s="57" t="s">
        <v>602</v>
      </c>
      <c r="I1851" s="57" t="s">
        <v>905</v>
      </c>
      <c r="J1851" s="57" t="s">
        <v>319</v>
      </c>
      <c r="K1851" s="57" t="s">
        <v>591</v>
      </c>
      <c r="L1851" s="11" t="s">
        <v>914</v>
      </c>
      <c r="M1851" s="22">
        <v>1</v>
      </c>
      <c r="N1851" s="46">
        <v>1800000</v>
      </c>
      <c r="O1851" s="49">
        <f t="shared" si="48"/>
        <v>1800000</v>
      </c>
      <c r="P1851" s="5" t="s">
        <v>393</v>
      </c>
      <c r="Q1851" s="5" t="s">
        <v>766</v>
      </c>
      <c r="R1851" s="11" t="s">
        <v>789</v>
      </c>
      <c r="S1851" s="5">
        <v>0</v>
      </c>
    </row>
    <row r="1852" spans="1:19" s="13" customFormat="1" ht="51">
      <c r="A1852" s="5">
        <v>1837</v>
      </c>
      <c r="B1852" s="29" t="s">
        <v>710</v>
      </c>
      <c r="C1852" s="35" t="s">
        <v>597</v>
      </c>
      <c r="D1852" s="31" t="s">
        <v>937</v>
      </c>
      <c r="E1852" s="57" t="s">
        <v>2205</v>
      </c>
      <c r="F1852" s="57" t="s">
        <v>938</v>
      </c>
      <c r="G1852" s="57" t="s">
        <v>2205</v>
      </c>
      <c r="H1852" s="57" t="s">
        <v>938</v>
      </c>
      <c r="I1852" s="57" t="s">
        <v>2206</v>
      </c>
      <c r="J1852" s="57" t="s">
        <v>316</v>
      </c>
      <c r="K1852" s="57" t="s">
        <v>591</v>
      </c>
      <c r="L1852" s="11" t="s">
        <v>914</v>
      </c>
      <c r="M1852" s="22">
        <v>1</v>
      </c>
      <c r="N1852" s="46">
        <v>3300000</v>
      </c>
      <c r="O1852" s="49">
        <f t="shared" si="48"/>
        <v>3300000</v>
      </c>
      <c r="P1852" s="5" t="s">
        <v>393</v>
      </c>
      <c r="Q1852" s="5" t="s">
        <v>766</v>
      </c>
      <c r="R1852" s="11" t="s">
        <v>2022</v>
      </c>
      <c r="S1852" s="22">
        <v>0</v>
      </c>
    </row>
    <row r="1853" spans="1:19" s="13" customFormat="1" ht="76.5">
      <c r="A1853" s="5">
        <v>1838</v>
      </c>
      <c r="B1853" s="29" t="s">
        <v>710</v>
      </c>
      <c r="C1853" s="5" t="s">
        <v>597</v>
      </c>
      <c r="D1853" s="31" t="s">
        <v>598</v>
      </c>
      <c r="E1853" s="57" t="s">
        <v>599</v>
      </c>
      <c r="F1853" s="57" t="s">
        <v>782</v>
      </c>
      <c r="G1853" s="57" t="s">
        <v>601</v>
      </c>
      <c r="H1853" s="57" t="s">
        <v>602</v>
      </c>
      <c r="I1853" s="57" t="s">
        <v>783</v>
      </c>
      <c r="J1853" s="57" t="s">
        <v>317</v>
      </c>
      <c r="K1853" s="57" t="s">
        <v>591</v>
      </c>
      <c r="L1853" s="11" t="s">
        <v>914</v>
      </c>
      <c r="M1853" s="22">
        <v>1</v>
      </c>
      <c r="N1853" s="46">
        <v>3300000</v>
      </c>
      <c r="O1853" s="49">
        <f t="shared" si="48"/>
        <v>3300000</v>
      </c>
      <c r="P1853" s="5" t="s">
        <v>393</v>
      </c>
      <c r="Q1853" s="5" t="s">
        <v>766</v>
      </c>
      <c r="R1853" s="11" t="s">
        <v>2022</v>
      </c>
      <c r="S1853" s="22">
        <v>0</v>
      </c>
    </row>
    <row r="1854" spans="1:19" s="13" customFormat="1" ht="76.5">
      <c r="A1854" s="5">
        <v>1839</v>
      </c>
      <c r="B1854" s="29" t="s">
        <v>710</v>
      </c>
      <c r="C1854" s="5" t="s">
        <v>597</v>
      </c>
      <c r="D1854" s="31" t="s">
        <v>598</v>
      </c>
      <c r="E1854" s="57" t="s">
        <v>599</v>
      </c>
      <c r="F1854" s="57" t="s">
        <v>782</v>
      </c>
      <c r="G1854" s="57" t="s">
        <v>601</v>
      </c>
      <c r="H1854" s="57" t="s">
        <v>602</v>
      </c>
      <c r="I1854" s="57" t="s">
        <v>784</v>
      </c>
      <c r="J1854" s="57" t="s">
        <v>318</v>
      </c>
      <c r="K1854" s="57" t="s">
        <v>591</v>
      </c>
      <c r="L1854" s="11" t="s">
        <v>914</v>
      </c>
      <c r="M1854" s="22">
        <v>1</v>
      </c>
      <c r="N1854" s="46">
        <v>3300000</v>
      </c>
      <c r="O1854" s="49">
        <f t="shared" si="48"/>
        <v>3300000</v>
      </c>
      <c r="P1854" s="5" t="s">
        <v>393</v>
      </c>
      <c r="Q1854" s="5" t="s">
        <v>766</v>
      </c>
      <c r="R1854" s="11" t="s">
        <v>2022</v>
      </c>
      <c r="S1854" s="22">
        <v>0</v>
      </c>
    </row>
    <row r="1855" spans="1:19" s="13" customFormat="1" ht="76.5">
      <c r="A1855" s="5">
        <v>1840</v>
      </c>
      <c r="B1855" s="15" t="s">
        <v>710</v>
      </c>
      <c r="C1855" s="31" t="s">
        <v>597</v>
      </c>
      <c r="D1855" s="31" t="s">
        <v>598</v>
      </c>
      <c r="E1855" s="57" t="s">
        <v>599</v>
      </c>
      <c r="F1855" s="57" t="s">
        <v>782</v>
      </c>
      <c r="G1855" s="57" t="s">
        <v>601</v>
      </c>
      <c r="H1855" s="57" t="s">
        <v>602</v>
      </c>
      <c r="I1855" s="57" t="s">
        <v>2208</v>
      </c>
      <c r="J1855" s="57" t="s">
        <v>382</v>
      </c>
      <c r="K1855" s="57" t="s">
        <v>591</v>
      </c>
      <c r="L1855" s="11" t="s">
        <v>914</v>
      </c>
      <c r="M1855" s="22">
        <v>1</v>
      </c>
      <c r="N1855" s="46">
        <v>3300000</v>
      </c>
      <c r="O1855" s="49">
        <f t="shared" si="48"/>
        <v>3300000</v>
      </c>
      <c r="P1855" s="5" t="s">
        <v>393</v>
      </c>
      <c r="Q1855" s="5" t="s">
        <v>766</v>
      </c>
      <c r="R1855" s="11" t="s">
        <v>2022</v>
      </c>
      <c r="S1855" s="22">
        <v>0</v>
      </c>
    </row>
    <row r="1856" spans="1:19" s="13" customFormat="1" ht="76.5">
      <c r="A1856" s="5">
        <v>1841</v>
      </c>
      <c r="B1856" s="29" t="s">
        <v>710</v>
      </c>
      <c r="C1856" s="42" t="s">
        <v>597</v>
      </c>
      <c r="D1856" s="31" t="s">
        <v>598</v>
      </c>
      <c r="E1856" s="57" t="s">
        <v>599</v>
      </c>
      <c r="F1856" s="57" t="s">
        <v>782</v>
      </c>
      <c r="G1856" s="57" t="s">
        <v>601</v>
      </c>
      <c r="H1856" s="57" t="s">
        <v>602</v>
      </c>
      <c r="I1856" s="57" t="s">
        <v>905</v>
      </c>
      <c r="J1856" s="57" t="s">
        <v>319</v>
      </c>
      <c r="K1856" s="57" t="s">
        <v>591</v>
      </c>
      <c r="L1856" s="11" t="s">
        <v>914</v>
      </c>
      <c r="M1856" s="22">
        <v>1</v>
      </c>
      <c r="N1856" s="46">
        <v>2100000</v>
      </c>
      <c r="O1856" s="49">
        <f t="shared" si="48"/>
        <v>2100000</v>
      </c>
      <c r="P1856" s="5" t="s">
        <v>393</v>
      </c>
      <c r="Q1856" s="5" t="s">
        <v>766</v>
      </c>
      <c r="R1856" s="11" t="s">
        <v>2022</v>
      </c>
      <c r="S1856" s="22">
        <v>0</v>
      </c>
    </row>
    <row r="1857" spans="1:19" s="13" customFormat="1" ht="51">
      <c r="A1857" s="5">
        <v>1842</v>
      </c>
      <c r="B1857" s="29" t="s">
        <v>710</v>
      </c>
      <c r="C1857" s="35" t="s">
        <v>597</v>
      </c>
      <c r="D1857" s="31" t="s">
        <v>937</v>
      </c>
      <c r="E1857" s="57" t="s">
        <v>2205</v>
      </c>
      <c r="F1857" s="57" t="s">
        <v>938</v>
      </c>
      <c r="G1857" s="57" t="s">
        <v>2205</v>
      </c>
      <c r="H1857" s="57" t="s">
        <v>938</v>
      </c>
      <c r="I1857" s="57" t="s">
        <v>2206</v>
      </c>
      <c r="J1857" s="57" t="s">
        <v>316</v>
      </c>
      <c r="K1857" s="57" t="s">
        <v>591</v>
      </c>
      <c r="L1857" s="11" t="s">
        <v>914</v>
      </c>
      <c r="M1857" s="22">
        <v>1</v>
      </c>
      <c r="N1857" s="46">
        <v>3300000</v>
      </c>
      <c r="O1857" s="49">
        <f t="shared" si="48"/>
        <v>3300000</v>
      </c>
      <c r="P1857" s="5" t="s">
        <v>393</v>
      </c>
      <c r="Q1857" s="5" t="s">
        <v>766</v>
      </c>
      <c r="R1857" s="11" t="s">
        <v>2027</v>
      </c>
      <c r="S1857" s="22">
        <v>0</v>
      </c>
    </row>
    <row r="1858" spans="1:19" s="13" customFormat="1" ht="76.5">
      <c r="A1858" s="5">
        <v>1843</v>
      </c>
      <c r="B1858" s="29" t="s">
        <v>710</v>
      </c>
      <c r="C1858" s="5" t="s">
        <v>597</v>
      </c>
      <c r="D1858" s="31" t="s">
        <v>598</v>
      </c>
      <c r="E1858" s="57" t="s">
        <v>599</v>
      </c>
      <c r="F1858" s="57" t="s">
        <v>782</v>
      </c>
      <c r="G1858" s="57" t="s">
        <v>601</v>
      </c>
      <c r="H1858" s="57" t="s">
        <v>602</v>
      </c>
      <c r="I1858" s="57" t="s">
        <v>783</v>
      </c>
      <c r="J1858" s="57" t="s">
        <v>317</v>
      </c>
      <c r="K1858" s="57" t="s">
        <v>591</v>
      </c>
      <c r="L1858" s="11" t="s">
        <v>914</v>
      </c>
      <c r="M1858" s="22">
        <v>1</v>
      </c>
      <c r="N1858" s="46">
        <v>3300000</v>
      </c>
      <c r="O1858" s="49">
        <f t="shared" si="48"/>
        <v>3300000</v>
      </c>
      <c r="P1858" s="5" t="s">
        <v>393</v>
      </c>
      <c r="Q1858" s="5" t="s">
        <v>766</v>
      </c>
      <c r="R1858" s="11" t="s">
        <v>2027</v>
      </c>
      <c r="S1858" s="22">
        <v>0</v>
      </c>
    </row>
    <row r="1859" spans="1:19" s="13" customFormat="1" ht="76.5">
      <c r="A1859" s="5">
        <v>1844</v>
      </c>
      <c r="B1859" s="29" t="s">
        <v>710</v>
      </c>
      <c r="C1859" s="5" t="s">
        <v>597</v>
      </c>
      <c r="D1859" s="31" t="s">
        <v>598</v>
      </c>
      <c r="E1859" s="57" t="s">
        <v>599</v>
      </c>
      <c r="F1859" s="57" t="s">
        <v>782</v>
      </c>
      <c r="G1859" s="57" t="s">
        <v>601</v>
      </c>
      <c r="H1859" s="57" t="s">
        <v>602</v>
      </c>
      <c r="I1859" s="57" t="s">
        <v>2364</v>
      </c>
      <c r="J1859" s="57" t="s">
        <v>2365</v>
      </c>
      <c r="K1859" s="57" t="s">
        <v>591</v>
      </c>
      <c r="L1859" s="11" t="s">
        <v>914</v>
      </c>
      <c r="M1859" s="22">
        <v>1</v>
      </c>
      <c r="N1859" s="46">
        <v>3300000</v>
      </c>
      <c r="O1859" s="49">
        <f t="shared" si="48"/>
        <v>3300000</v>
      </c>
      <c r="P1859" s="5" t="s">
        <v>393</v>
      </c>
      <c r="Q1859" s="5" t="s">
        <v>766</v>
      </c>
      <c r="R1859" s="11" t="s">
        <v>2027</v>
      </c>
      <c r="S1859" s="22">
        <v>0</v>
      </c>
    </row>
    <row r="1860" spans="1:19" s="13" customFormat="1" ht="76.5">
      <c r="A1860" s="5">
        <v>1845</v>
      </c>
      <c r="B1860" s="29" t="s">
        <v>710</v>
      </c>
      <c r="C1860" s="42" t="s">
        <v>597</v>
      </c>
      <c r="D1860" s="31" t="s">
        <v>598</v>
      </c>
      <c r="E1860" s="57" t="s">
        <v>599</v>
      </c>
      <c r="F1860" s="57" t="s">
        <v>782</v>
      </c>
      <c r="G1860" s="57" t="s">
        <v>601</v>
      </c>
      <c r="H1860" s="57" t="s">
        <v>602</v>
      </c>
      <c r="I1860" s="57" t="s">
        <v>2366</v>
      </c>
      <c r="J1860" s="57" t="s">
        <v>2367</v>
      </c>
      <c r="K1860" s="57" t="s">
        <v>591</v>
      </c>
      <c r="L1860" s="11" t="s">
        <v>914</v>
      </c>
      <c r="M1860" s="22">
        <v>1</v>
      </c>
      <c r="N1860" s="46">
        <v>3300000</v>
      </c>
      <c r="O1860" s="49">
        <f t="shared" si="48"/>
        <v>3300000</v>
      </c>
      <c r="P1860" s="5" t="s">
        <v>393</v>
      </c>
      <c r="Q1860" s="5" t="s">
        <v>766</v>
      </c>
      <c r="R1860" s="11" t="s">
        <v>2027</v>
      </c>
      <c r="S1860" s="22">
        <v>0</v>
      </c>
    </row>
    <row r="1861" spans="1:19" s="13" customFormat="1" ht="76.5">
      <c r="A1861" s="5">
        <v>1846</v>
      </c>
      <c r="B1861" s="29" t="s">
        <v>710</v>
      </c>
      <c r="C1861" s="42" t="s">
        <v>597</v>
      </c>
      <c r="D1861" s="31" t="s">
        <v>598</v>
      </c>
      <c r="E1861" s="57" t="s">
        <v>599</v>
      </c>
      <c r="F1861" s="57" t="s">
        <v>782</v>
      </c>
      <c r="G1861" s="57" t="s">
        <v>601</v>
      </c>
      <c r="H1861" s="57" t="s">
        <v>602</v>
      </c>
      <c r="I1861" s="57" t="s">
        <v>905</v>
      </c>
      <c r="J1861" s="57" t="s">
        <v>319</v>
      </c>
      <c r="K1861" s="57" t="s">
        <v>591</v>
      </c>
      <c r="L1861" s="11" t="s">
        <v>914</v>
      </c>
      <c r="M1861" s="22">
        <v>1</v>
      </c>
      <c r="N1861" s="46">
        <v>2100000</v>
      </c>
      <c r="O1861" s="49">
        <f t="shared" si="48"/>
        <v>2100000</v>
      </c>
      <c r="P1861" s="5" t="s">
        <v>393</v>
      </c>
      <c r="Q1861" s="5" t="s">
        <v>766</v>
      </c>
      <c r="R1861" s="11" t="s">
        <v>2027</v>
      </c>
      <c r="S1861" s="22">
        <v>0</v>
      </c>
    </row>
    <row r="1862" spans="1:19" s="13" customFormat="1" ht="76.5">
      <c r="A1862" s="5">
        <v>1847</v>
      </c>
      <c r="B1862" s="15" t="s">
        <v>710</v>
      </c>
      <c r="C1862" s="31" t="s">
        <v>597</v>
      </c>
      <c r="D1862" s="31" t="s">
        <v>598</v>
      </c>
      <c r="E1862" s="57" t="s">
        <v>2201</v>
      </c>
      <c r="F1862" s="57" t="s">
        <v>600</v>
      </c>
      <c r="G1862" s="57" t="s">
        <v>2202</v>
      </c>
      <c r="H1862" s="57" t="s">
        <v>602</v>
      </c>
      <c r="I1862" s="57" t="s">
        <v>2203</v>
      </c>
      <c r="J1862" s="57" t="s">
        <v>327</v>
      </c>
      <c r="K1862" s="57" t="s">
        <v>591</v>
      </c>
      <c r="L1862" s="11" t="s">
        <v>914</v>
      </c>
      <c r="M1862" s="22">
        <v>1</v>
      </c>
      <c r="N1862" s="46">
        <v>2100000</v>
      </c>
      <c r="O1862" s="49">
        <f t="shared" si="48"/>
        <v>2100000</v>
      </c>
      <c r="P1862" s="5" t="s">
        <v>393</v>
      </c>
      <c r="Q1862" s="5" t="s">
        <v>766</v>
      </c>
      <c r="R1862" s="11" t="s">
        <v>2027</v>
      </c>
      <c r="S1862" s="22">
        <v>0</v>
      </c>
    </row>
    <row r="1863" spans="1:19" ht="51">
      <c r="A1863" s="5">
        <v>1848</v>
      </c>
      <c r="B1863" s="56" t="s">
        <v>710</v>
      </c>
      <c r="C1863" s="5" t="s">
        <v>597</v>
      </c>
      <c r="D1863" s="31" t="s">
        <v>702</v>
      </c>
      <c r="E1863" s="57" t="s">
        <v>777</v>
      </c>
      <c r="F1863" s="57" t="s">
        <v>703</v>
      </c>
      <c r="G1863" s="57" t="s">
        <v>777</v>
      </c>
      <c r="H1863" s="57" t="s">
        <v>703</v>
      </c>
      <c r="I1863" s="57" t="s">
        <v>2372</v>
      </c>
      <c r="J1863" s="57" t="s">
        <v>2373</v>
      </c>
      <c r="K1863" s="57" t="s">
        <v>591</v>
      </c>
      <c r="L1863" s="11" t="s">
        <v>914</v>
      </c>
      <c r="M1863" s="22">
        <v>1</v>
      </c>
      <c r="N1863" s="46">
        <f>O1863/M1863</f>
        <v>552051</v>
      </c>
      <c r="O1863" s="49">
        <f>690000-137949</f>
        <v>552051</v>
      </c>
      <c r="P1863" s="5" t="s">
        <v>393</v>
      </c>
      <c r="Q1863" s="5" t="s">
        <v>1490</v>
      </c>
      <c r="R1863" s="11" t="s">
        <v>789</v>
      </c>
      <c r="S1863" s="22">
        <v>0</v>
      </c>
    </row>
    <row r="1864" spans="1:19" s="13" customFormat="1" ht="51">
      <c r="A1864" s="5">
        <v>1849</v>
      </c>
      <c r="B1864" s="29" t="s">
        <v>710</v>
      </c>
      <c r="C1864" s="5" t="s">
        <v>597</v>
      </c>
      <c r="D1864" s="31" t="s">
        <v>1515</v>
      </c>
      <c r="E1864" s="57" t="s">
        <v>1516</v>
      </c>
      <c r="F1864" s="57" t="s">
        <v>1512</v>
      </c>
      <c r="G1864" s="57" t="s">
        <v>1516</v>
      </c>
      <c r="H1864" s="57" t="s">
        <v>1512</v>
      </c>
      <c r="I1864" s="57" t="s">
        <v>1516</v>
      </c>
      <c r="J1864" s="57" t="s">
        <v>1512</v>
      </c>
      <c r="K1864" s="57" t="s">
        <v>591</v>
      </c>
      <c r="L1864" s="11" t="s">
        <v>914</v>
      </c>
      <c r="M1864" s="22">
        <v>1</v>
      </c>
      <c r="N1864" s="46">
        <v>249000</v>
      </c>
      <c r="O1864" s="49">
        <f t="shared" si="48"/>
        <v>249000</v>
      </c>
      <c r="P1864" s="5" t="s">
        <v>393</v>
      </c>
      <c r="Q1864" s="5" t="s">
        <v>766</v>
      </c>
      <c r="R1864" s="11" t="s">
        <v>789</v>
      </c>
      <c r="S1864" s="22">
        <v>0</v>
      </c>
    </row>
    <row r="1865" spans="1:19" s="13" customFormat="1" ht="51">
      <c r="A1865" s="5">
        <v>1850</v>
      </c>
      <c r="B1865" s="56" t="s">
        <v>710</v>
      </c>
      <c r="C1865" s="4" t="s">
        <v>597</v>
      </c>
      <c r="D1865" s="31" t="s">
        <v>609</v>
      </c>
      <c r="E1865" s="57" t="s">
        <v>610</v>
      </c>
      <c r="F1865" s="57" t="s">
        <v>611</v>
      </c>
      <c r="G1865" s="57" t="s">
        <v>610</v>
      </c>
      <c r="H1865" s="57" t="s">
        <v>611</v>
      </c>
      <c r="I1865" s="57" t="s">
        <v>610</v>
      </c>
      <c r="J1865" s="57" t="s">
        <v>611</v>
      </c>
      <c r="K1865" s="57" t="s">
        <v>591</v>
      </c>
      <c r="L1865" s="11" t="s">
        <v>914</v>
      </c>
      <c r="M1865" s="22">
        <v>1</v>
      </c>
      <c r="N1865" s="46">
        <f>O1865/M1865</f>
        <v>1080000</v>
      </c>
      <c r="O1865" s="49">
        <f>653143+426857</f>
        <v>1080000</v>
      </c>
      <c r="P1865" s="5" t="s">
        <v>506</v>
      </c>
      <c r="Q1865" s="15" t="s">
        <v>766</v>
      </c>
      <c r="R1865" s="11">
        <v>431000000</v>
      </c>
      <c r="S1865" s="22">
        <v>0</v>
      </c>
    </row>
    <row r="1866" spans="1:19" s="13" customFormat="1" ht="51">
      <c r="A1866" s="5">
        <v>1851</v>
      </c>
      <c r="B1866" s="56" t="s">
        <v>710</v>
      </c>
      <c r="C1866" s="5" t="s">
        <v>597</v>
      </c>
      <c r="D1866" s="31" t="s">
        <v>2324</v>
      </c>
      <c r="E1866" s="57" t="s">
        <v>2326</v>
      </c>
      <c r="F1866" s="57" t="s">
        <v>2325</v>
      </c>
      <c r="G1866" s="57" t="s">
        <v>2326</v>
      </c>
      <c r="H1866" s="57" t="s">
        <v>2325</v>
      </c>
      <c r="I1866" s="57" t="s">
        <v>2327</v>
      </c>
      <c r="J1866" s="57" t="s">
        <v>1513</v>
      </c>
      <c r="K1866" s="57" t="s">
        <v>591</v>
      </c>
      <c r="L1866" s="5" t="s">
        <v>914</v>
      </c>
      <c r="M1866" s="22">
        <v>1</v>
      </c>
      <c r="N1866" s="46">
        <v>3214286</v>
      </c>
      <c r="O1866" s="49">
        <f t="shared" si="48"/>
        <v>3214286</v>
      </c>
      <c r="P1866" s="5" t="s">
        <v>393</v>
      </c>
      <c r="Q1866" s="5" t="s">
        <v>766</v>
      </c>
      <c r="R1866" s="11" t="s">
        <v>2027</v>
      </c>
      <c r="S1866" s="22">
        <v>0</v>
      </c>
    </row>
    <row r="1867" spans="1:19" ht="89.25">
      <c r="A1867" s="5">
        <v>1852</v>
      </c>
      <c r="B1867" s="15" t="s">
        <v>710</v>
      </c>
      <c r="C1867" s="5" t="s">
        <v>597</v>
      </c>
      <c r="D1867" s="31" t="s">
        <v>918</v>
      </c>
      <c r="E1867" s="57" t="s">
        <v>2098</v>
      </c>
      <c r="F1867" s="57" t="s">
        <v>919</v>
      </c>
      <c r="G1867" s="57" t="s">
        <v>2098</v>
      </c>
      <c r="H1867" s="57" t="s">
        <v>920</v>
      </c>
      <c r="I1867" s="57" t="s">
        <v>2099</v>
      </c>
      <c r="J1867" s="57" t="s">
        <v>1514</v>
      </c>
      <c r="K1867" s="57" t="s">
        <v>591</v>
      </c>
      <c r="L1867" s="11" t="s">
        <v>914</v>
      </c>
      <c r="M1867" s="22">
        <v>1</v>
      </c>
      <c r="N1867" s="46">
        <f>O1867/M1867</f>
        <v>3433556</v>
      </c>
      <c r="O1867" s="49">
        <f>3600000-166444</f>
        <v>3433556</v>
      </c>
      <c r="P1867" s="5" t="s">
        <v>393</v>
      </c>
      <c r="Q1867" s="5" t="s">
        <v>766</v>
      </c>
      <c r="R1867" s="11" t="s">
        <v>2023</v>
      </c>
      <c r="S1867" s="22">
        <v>0</v>
      </c>
    </row>
    <row r="1868" spans="1:19" ht="76.5">
      <c r="A1868" s="5">
        <v>1853</v>
      </c>
      <c r="B1868" s="15" t="s">
        <v>710</v>
      </c>
      <c r="C1868" s="5" t="s">
        <v>597</v>
      </c>
      <c r="D1868" s="31" t="s">
        <v>868</v>
      </c>
      <c r="E1868" s="57" t="s">
        <v>1874</v>
      </c>
      <c r="F1868" s="57" t="s">
        <v>869</v>
      </c>
      <c r="G1868" s="57" t="s">
        <v>1875</v>
      </c>
      <c r="H1868" s="57" t="s">
        <v>870</v>
      </c>
      <c r="I1868" s="57" t="s">
        <v>1873</v>
      </c>
      <c r="J1868" s="57" t="s">
        <v>72</v>
      </c>
      <c r="K1868" s="57" t="s">
        <v>591</v>
      </c>
      <c r="L1868" s="11" t="s">
        <v>914</v>
      </c>
      <c r="M1868" s="22">
        <v>1</v>
      </c>
      <c r="N1868" s="46">
        <v>180000</v>
      </c>
      <c r="O1868" s="49">
        <f t="shared" si="48"/>
        <v>180000</v>
      </c>
      <c r="P1868" s="5" t="s">
        <v>393</v>
      </c>
      <c r="Q1868" s="5" t="s">
        <v>766</v>
      </c>
      <c r="R1868" s="11" t="s">
        <v>2023</v>
      </c>
      <c r="S1868" s="22">
        <v>0</v>
      </c>
    </row>
    <row r="1869" spans="1:19" ht="51">
      <c r="A1869" s="5">
        <v>1854</v>
      </c>
      <c r="B1869" s="15" t="s">
        <v>710</v>
      </c>
      <c r="C1869" s="5" t="s">
        <v>597</v>
      </c>
      <c r="D1869" s="31" t="s">
        <v>561</v>
      </c>
      <c r="E1869" s="57" t="s">
        <v>562</v>
      </c>
      <c r="F1869" s="57" t="s">
        <v>563</v>
      </c>
      <c r="G1869" s="57" t="s">
        <v>564</v>
      </c>
      <c r="H1869" s="57" t="s">
        <v>565</v>
      </c>
      <c r="I1869" s="57" t="s">
        <v>562</v>
      </c>
      <c r="J1869" s="57" t="s">
        <v>73</v>
      </c>
      <c r="K1869" s="57" t="s">
        <v>591</v>
      </c>
      <c r="L1869" s="11" t="s">
        <v>914</v>
      </c>
      <c r="M1869" s="22">
        <v>1</v>
      </c>
      <c r="N1869" s="46">
        <v>180000</v>
      </c>
      <c r="O1869" s="49">
        <f t="shared" si="48"/>
        <v>180000</v>
      </c>
      <c r="P1869" s="5" t="s">
        <v>393</v>
      </c>
      <c r="Q1869" s="5" t="s">
        <v>766</v>
      </c>
      <c r="R1869" s="11" t="s">
        <v>2023</v>
      </c>
      <c r="S1869" s="22">
        <v>0</v>
      </c>
    </row>
    <row r="1870" spans="1:19" s="12" customFormat="1" ht="51">
      <c r="A1870" s="5">
        <v>1855</v>
      </c>
      <c r="B1870" s="15" t="s">
        <v>941</v>
      </c>
      <c r="C1870" s="4" t="s">
        <v>597</v>
      </c>
      <c r="D1870" s="31" t="s">
        <v>494</v>
      </c>
      <c r="E1870" s="57" t="s">
        <v>2067</v>
      </c>
      <c r="F1870" s="57" t="s">
        <v>496</v>
      </c>
      <c r="G1870" s="57" t="s">
        <v>2068</v>
      </c>
      <c r="H1870" s="57" t="s">
        <v>856</v>
      </c>
      <c r="I1870" s="57" t="s">
        <v>2069</v>
      </c>
      <c r="J1870" s="57" t="s">
        <v>124</v>
      </c>
      <c r="K1870" s="57" t="s">
        <v>591</v>
      </c>
      <c r="L1870" s="11" t="s">
        <v>914</v>
      </c>
      <c r="M1870" s="6">
        <v>1</v>
      </c>
      <c r="N1870" s="46">
        <v>3000000</v>
      </c>
      <c r="O1870" s="49">
        <f t="shared" si="48"/>
        <v>3000000</v>
      </c>
      <c r="P1870" s="5" t="s">
        <v>393</v>
      </c>
      <c r="Q1870" s="5" t="s">
        <v>766</v>
      </c>
      <c r="R1870" s="11" t="s">
        <v>2023</v>
      </c>
      <c r="S1870" s="6">
        <v>0</v>
      </c>
    </row>
    <row r="1871" spans="1:19" s="12" customFormat="1" ht="51">
      <c r="A1871" s="5">
        <v>1856</v>
      </c>
      <c r="B1871" s="15" t="s">
        <v>941</v>
      </c>
      <c r="C1871" s="4" t="s">
        <v>597</v>
      </c>
      <c r="D1871" s="31" t="s">
        <v>494</v>
      </c>
      <c r="E1871" s="57" t="s">
        <v>2067</v>
      </c>
      <c r="F1871" s="57" t="s">
        <v>496</v>
      </c>
      <c r="G1871" s="57" t="s">
        <v>2068</v>
      </c>
      <c r="H1871" s="57" t="s">
        <v>856</v>
      </c>
      <c r="I1871" s="57" t="s">
        <v>2069</v>
      </c>
      <c r="J1871" s="57" t="s">
        <v>124</v>
      </c>
      <c r="K1871" s="57" t="s">
        <v>591</v>
      </c>
      <c r="L1871" s="11" t="s">
        <v>914</v>
      </c>
      <c r="M1871" s="6">
        <v>1</v>
      </c>
      <c r="N1871" s="46">
        <v>2678571</v>
      </c>
      <c r="O1871" s="49">
        <f t="shared" si="48"/>
        <v>2678571</v>
      </c>
      <c r="P1871" s="5" t="s">
        <v>393</v>
      </c>
      <c r="Q1871" s="5" t="s">
        <v>766</v>
      </c>
      <c r="R1871" s="11">
        <v>591000000</v>
      </c>
      <c r="S1871" s="6">
        <v>0</v>
      </c>
    </row>
    <row r="1872" spans="1:19" s="7" customFormat="1" ht="51">
      <c r="A1872" s="5">
        <v>1857</v>
      </c>
      <c r="B1872" s="29" t="s">
        <v>710</v>
      </c>
      <c r="C1872" s="5" t="s">
        <v>597</v>
      </c>
      <c r="D1872" s="31" t="s">
        <v>1515</v>
      </c>
      <c r="E1872" s="57" t="s">
        <v>1516</v>
      </c>
      <c r="F1872" s="57" t="s">
        <v>1512</v>
      </c>
      <c r="G1872" s="57" t="s">
        <v>1516</v>
      </c>
      <c r="H1872" s="57" t="s">
        <v>1512</v>
      </c>
      <c r="I1872" s="57" t="s">
        <v>1516</v>
      </c>
      <c r="J1872" s="57" t="s">
        <v>1512</v>
      </c>
      <c r="K1872" s="57" t="s">
        <v>591</v>
      </c>
      <c r="L1872" s="11" t="s">
        <v>914</v>
      </c>
      <c r="M1872" s="22">
        <v>1</v>
      </c>
      <c r="N1872" s="46">
        <v>96348</v>
      </c>
      <c r="O1872" s="49">
        <f t="shared" si="48"/>
        <v>96348</v>
      </c>
      <c r="P1872" s="5" t="s">
        <v>393</v>
      </c>
      <c r="Q1872" s="5" t="s">
        <v>766</v>
      </c>
      <c r="R1872" s="11">
        <v>591000000</v>
      </c>
      <c r="S1872" s="6">
        <v>0</v>
      </c>
    </row>
    <row r="1873" spans="1:19" ht="51">
      <c r="A1873" s="5">
        <v>1858</v>
      </c>
      <c r="B1873" s="56" t="s">
        <v>710</v>
      </c>
      <c r="C1873" s="4" t="s">
        <v>597</v>
      </c>
      <c r="D1873" s="31" t="s">
        <v>613</v>
      </c>
      <c r="E1873" s="76" t="s">
        <v>2019</v>
      </c>
      <c r="F1873" s="76" t="s">
        <v>614</v>
      </c>
      <c r="G1873" s="76" t="s">
        <v>2020</v>
      </c>
      <c r="H1873" s="76" t="s">
        <v>615</v>
      </c>
      <c r="I1873" s="76" t="s">
        <v>2021</v>
      </c>
      <c r="J1873" s="76" t="s">
        <v>1517</v>
      </c>
      <c r="K1873" s="57" t="s">
        <v>1485</v>
      </c>
      <c r="L1873" s="5" t="s">
        <v>914</v>
      </c>
      <c r="M1873" s="22">
        <v>1</v>
      </c>
      <c r="N1873" s="46">
        <f>O1873/M1873</f>
        <v>3142860</v>
      </c>
      <c r="O1873" s="49">
        <f>3142860+7777140-7777140</f>
        <v>3142860</v>
      </c>
      <c r="P1873" s="5" t="s">
        <v>515</v>
      </c>
      <c r="Q1873" s="5" t="s">
        <v>766</v>
      </c>
      <c r="R1873" s="11" t="s">
        <v>2022</v>
      </c>
      <c r="S1873" s="5">
        <v>0</v>
      </c>
    </row>
    <row r="1874" spans="1:19" s="47" customFormat="1" ht="54.75" customHeight="1">
      <c r="A1874" s="5">
        <v>1859</v>
      </c>
      <c r="B1874" s="56" t="s">
        <v>710</v>
      </c>
      <c r="C1874" s="4" t="s">
        <v>597</v>
      </c>
      <c r="D1874" s="31" t="s">
        <v>903</v>
      </c>
      <c r="E1874" s="57" t="s">
        <v>2336</v>
      </c>
      <c r="F1874" s="57" t="s">
        <v>2337</v>
      </c>
      <c r="G1874" s="57" t="s">
        <v>2338</v>
      </c>
      <c r="H1874" s="57" t="s">
        <v>904</v>
      </c>
      <c r="I1874" s="57" t="s">
        <v>2339</v>
      </c>
      <c r="J1874" s="57" t="s">
        <v>1526</v>
      </c>
      <c r="K1874" s="57" t="s">
        <v>591</v>
      </c>
      <c r="L1874" s="11" t="s">
        <v>914</v>
      </c>
      <c r="M1874" s="55">
        <v>1</v>
      </c>
      <c r="N1874" s="46">
        <v>107143</v>
      </c>
      <c r="O1874" s="49">
        <f>M1874*N1874</f>
        <v>107143</v>
      </c>
      <c r="P1874" s="8" t="s">
        <v>515</v>
      </c>
      <c r="Q1874" s="8" t="s">
        <v>612</v>
      </c>
      <c r="R1874" s="11">
        <v>551000000</v>
      </c>
      <c r="S1874" s="8">
        <v>30</v>
      </c>
    </row>
    <row r="1875" spans="1:19" s="47" customFormat="1" ht="57" customHeight="1">
      <c r="A1875" s="5">
        <v>1860</v>
      </c>
      <c r="B1875" s="56" t="s">
        <v>710</v>
      </c>
      <c r="C1875" s="4" t="s">
        <v>597</v>
      </c>
      <c r="D1875" s="31" t="s">
        <v>903</v>
      </c>
      <c r="E1875" s="57" t="s">
        <v>2336</v>
      </c>
      <c r="F1875" s="57" t="s">
        <v>2337</v>
      </c>
      <c r="G1875" s="57" t="s">
        <v>2338</v>
      </c>
      <c r="H1875" s="57" t="s">
        <v>904</v>
      </c>
      <c r="I1875" s="57" t="s">
        <v>2341</v>
      </c>
      <c r="J1875" s="57" t="s">
        <v>2340</v>
      </c>
      <c r="K1875" s="57" t="s">
        <v>591</v>
      </c>
      <c r="L1875" s="11" t="s">
        <v>914</v>
      </c>
      <c r="M1875" s="55">
        <v>1</v>
      </c>
      <c r="N1875" s="46">
        <v>124107</v>
      </c>
      <c r="O1875" s="49">
        <f>M1875*N1875</f>
        <v>124107</v>
      </c>
      <c r="P1875" s="8" t="s">
        <v>391</v>
      </c>
      <c r="Q1875" s="8" t="s">
        <v>391</v>
      </c>
      <c r="R1875" s="11">
        <v>551000000</v>
      </c>
      <c r="S1875" s="8">
        <v>30</v>
      </c>
    </row>
    <row r="1876" spans="1:19" s="47" customFormat="1" ht="57" customHeight="1">
      <c r="A1876" s="5">
        <v>1861</v>
      </c>
      <c r="B1876" s="56" t="s">
        <v>710</v>
      </c>
      <c r="C1876" s="4" t="s">
        <v>597</v>
      </c>
      <c r="D1876" s="31" t="s">
        <v>702</v>
      </c>
      <c r="E1876" s="31" t="s">
        <v>777</v>
      </c>
      <c r="F1876" s="31" t="s">
        <v>703</v>
      </c>
      <c r="G1876" s="31" t="s">
        <v>777</v>
      </c>
      <c r="H1876" s="31" t="s">
        <v>703</v>
      </c>
      <c r="I1876" s="31" t="s">
        <v>2385</v>
      </c>
      <c r="J1876" s="31" t="s">
        <v>2386</v>
      </c>
      <c r="K1876" s="57" t="s">
        <v>1485</v>
      </c>
      <c r="L1876" s="11" t="s">
        <v>914</v>
      </c>
      <c r="M1876" s="55">
        <v>1</v>
      </c>
      <c r="N1876" s="46">
        <v>3307000</v>
      </c>
      <c r="O1876" s="46">
        <f>3307000+5756250</f>
        <v>9063250</v>
      </c>
      <c r="P1876" s="8" t="s">
        <v>501</v>
      </c>
      <c r="Q1876" s="31" t="s">
        <v>766</v>
      </c>
      <c r="R1876" s="11" t="s">
        <v>2022</v>
      </c>
      <c r="S1876" s="8">
        <v>0</v>
      </c>
    </row>
    <row r="1877" spans="1:19" s="7" customFormat="1" ht="114.75">
      <c r="A1877" s="4">
        <v>1862</v>
      </c>
      <c r="B1877" s="29" t="s">
        <v>710</v>
      </c>
      <c r="C1877" s="35" t="s">
        <v>597</v>
      </c>
      <c r="D1877" s="5" t="s">
        <v>2392</v>
      </c>
      <c r="E1877" s="5" t="s">
        <v>2393</v>
      </c>
      <c r="F1877" s="5" t="s">
        <v>2394</v>
      </c>
      <c r="G1877" s="5" t="s">
        <v>2395</v>
      </c>
      <c r="H1877" s="31" t="s">
        <v>2396</v>
      </c>
      <c r="I1877" s="5" t="s">
        <v>2398</v>
      </c>
      <c r="J1877" s="5" t="s">
        <v>2397</v>
      </c>
      <c r="K1877" s="5" t="s">
        <v>591</v>
      </c>
      <c r="L1877" s="11" t="s">
        <v>914</v>
      </c>
      <c r="M1877" s="6">
        <v>1</v>
      </c>
      <c r="N1877" s="71">
        <f t="shared" ref="N1877:N1885" si="49">O1877</f>
        <v>2842411</v>
      </c>
      <c r="O1877" s="71">
        <v>2842411</v>
      </c>
      <c r="P1877" s="5" t="s">
        <v>393</v>
      </c>
      <c r="Q1877" s="5" t="s">
        <v>391</v>
      </c>
      <c r="R1877" s="11" t="s">
        <v>2029</v>
      </c>
      <c r="S1877" s="5">
        <v>30</v>
      </c>
    </row>
    <row r="1878" spans="1:19" ht="51" outlineLevel="1">
      <c r="A1878" s="5">
        <v>1863</v>
      </c>
      <c r="B1878" s="29" t="s">
        <v>710</v>
      </c>
      <c r="C1878" s="35" t="s">
        <v>597</v>
      </c>
      <c r="D1878" s="5" t="s">
        <v>702</v>
      </c>
      <c r="E1878" s="57" t="s">
        <v>777</v>
      </c>
      <c r="F1878" s="57" t="s">
        <v>703</v>
      </c>
      <c r="G1878" s="57" t="s">
        <v>777</v>
      </c>
      <c r="H1878" s="57" t="s">
        <v>703</v>
      </c>
      <c r="I1878" s="57" t="s">
        <v>777</v>
      </c>
      <c r="J1878" s="57" t="s">
        <v>703</v>
      </c>
      <c r="K1878" s="57" t="s">
        <v>591</v>
      </c>
      <c r="L1878" s="11" t="s">
        <v>914</v>
      </c>
      <c r="M1878" s="22">
        <v>1</v>
      </c>
      <c r="N1878" s="46">
        <f t="shared" si="49"/>
        <v>2153571.42</v>
      </c>
      <c r="O1878" s="49">
        <v>2153571.42</v>
      </c>
      <c r="P1878" s="5" t="s">
        <v>393</v>
      </c>
      <c r="Q1878" s="5" t="s">
        <v>2399</v>
      </c>
      <c r="R1878" s="11" t="s">
        <v>2022</v>
      </c>
      <c r="S1878" s="22">
        <v>0</v>
      </c>
    </row>
    <row r="1879" spans="1:19" s="7" customFormat="1" ht="35.25" customHeight="1">
      <c r="A1879" s="4">
        <v>1864</v>
      </c>
      <c r="B1879" s="29" t="s">
        <v>710</v>
      </c>
      <c r="C1879" s="35" t="s">
        <v>1464</v>
      </c>
      <c r="D1879" s="5" t="s">
        <v>2400</v>
      </c>
      <c r="E1879" s="5" t="s">
        <v>2401</v>
      </c>
      <c r="F1879" s="5" t="s">
        <v>2402</v>
      </c>
      <c r="G1879" s="5" t="s">
        <v>2401</v>
      </c>
      <c r="H1879" s="31" t="s">
        <v>2402</v>
      </c>
      <c r="I1879" s="5" t="s">
        <v>2401</v>
      </c>
      <c r="J1879" s="31" t="s">
        <v>2402</v>
      </c>
      <c r="K1879" s="5" t="s">
        <v>591</v>
      </c>
      <c r="L1879" s="4" t="s">
        <v>1464</v>
      </c>
      <c r="M1879" s="6">
        <v>1</v>
      </c>
      <c r="N1879" s="71">
        <f t="shared" si="49"/>
        <v>2950000</v>
      </c>
      <c r="O1879" s="71">
        <v>2950000</v>
      </c>
      <c r="P1879" s="5" t="s">
        <v>391</v>
      </c>
      <c r="Q1879" s="5" t="s">
        <v>391</v>
      </c>
      <c r="R1879" s="11">
        <v>231000000</v>
      </c>
      <c r="S1879" s="5">
        <v>50</v>
      </c>
    </row>
    <row r="1880" spans="1:19" ht="51" outlineLevel="1">
      <c r="A1880" s="5">
        <v>1865</v>
      </c>
      <c r="B1880" s="29" t="s">
        <v>710</v>
      </c>
      <c r="C1880" s="35" t="s">
        <v>597</v>
      </c>
      <c r="D1880" s="5" t="s">
        <v>702</v>
      </c>
      <c r="E1880" s="57" t="s">
        <v>777</v>
      </c>
      <c r="F1880" s="57" t="s">
        <v>703</v>
      </c>
      <c r="G1880" s="57" t="s">
        <v>777</v>
      </c>
      <c r="H1880" s="57" t="s">
        <v>703</v>
      </c>
      <c r="I1880" s="57" t="s">
        <v>777</v>
      </c>
      <c r="J1880" s="57" t="s">
        <v>703</v>
      </c>
      <c r="K1880" s="57" t="s">
        <v>591</v>
      </c>
      <c r="L1880" s="11" t="s">
        <v>914</v>
      </c>
      <c r="M1880" s="22">
        <v>1</v>
      </c>
      <c r="N1880" s="46">
        <f t="shared" si="49"/>
        <v>6647896.2699999996</v>
      </c>
      <c r="O1880" s="49">
        <f>10834285-4053304.73-133084</f>
        <v>6647896.2699999996</v>
      </c>
      <c r="P1880" s="5" t="s">
        <v>393</v>
      </c>
      <c r="Q1880" s="5" t="s">
        <v>766</v>
      </c>
      <c r="R1880" s="11">
        <v>351000000</v>
      </c>
      <c r="S1880" s="22">
        <v>0</v>
      </c>
    </row>
    <row r="1881" spans="1:19" s="1" customFormat="1" ht="51" collapsed="1">
      <c r="A1881" s="5">
        <v>1866</v>
      </c>
      <c r="B1881" s="56" t="s">
        <v>710</v>
      </c>
      <c r="C1881" s="4" t="s">
        <v>597</v>
      </c>
      <c r="D1881" s="31" t="s">
        <v>507</v>
      </c>
      <c r="E1881" s="57" t="s">
        <v>1945</v>
      </c>
      <c r="F1881" s="57" t="s">
        <v>509</v>
      </c>
      <c r="G1881" s="57" t="s">
        <v>2403</v>
      </c>
      <c r="H1881" s="57" t="s">
        <v>510</v>
      </c>
      <c r="I1881" s="57" t="s">
        <v>2405</v>
      </c>
      <c r="J1881" s="57" t="s">
        <v>2404</v>
      </c>
      <c r="K1881" s="57" t="s">
        <v>591</v>
      </c>
      <c r="L1881" s="11" t="s">
        <v>914</v>
      </c>
      <c r="M1881" s="53">
        <v>1</v>
      </c>
      <c r="N1881" s="46">
        <f t="shared" si="49"/>
        <v>1175000</v>
      </c>
      <c r="O1881" s="49">
        <f>127500+1047500</f>
        <v>1175000</v>
      </c>
      <c r="P1881" s="5" t="s">
        <v>391</v>
      </c>
      <c r="Q1881" s="5" t="s">
        <v>2406</v>
      </c>
      <c r="R1881" s="11" t="s">
        <v>1175</v>
      </c>
      <c r="S1881" s="6">
        <v>50</v>
      </c>
    </row>
    <row r="1882" spans="1:19" s="7" customFormat="1" ht="114.75">
      <c r="A1882" s="4">
        <v>1867</v>
      </c>
      <c r="B1882" s="29" t="s">
        <v>710</v>
      </c>
      <c r="C1882" s="35" t="s">
        <v>597</v>
      </c>
      <c r="D1882" s="5" t="s">
        <v>2407</v>
      </c>
      <c r="E1882" s="5" t="s">
        <v>2408</v>
      </c>
      <c r="F1882" s="5" t="s">
        <v>2409</v>
      </c>
      <c r="G1882" s="5" t="s">
        <v>2410</v>
      </c>
      <c r="H1882" s="31" t="s">
        <v>2411</v>
      </c>
      <c r="I1882" s="5" t="s">
        <v>2413</v>
      </c>
      <c r="J1882" s="5" t="s">
        <v>2412</v>
      </c>
      <c r="K1882" s="5" t="s">
        <v>591</v>
      </c>
      <c r="L1882" s="11" t="s">
        <v>914</v>
      </c>
      <c r="M1882" s="6">
        <v>1</v>
      </c>
      <c r="N1882" s="71">
        <f t="shared" si="49"/>
        <v>1985170</v>
      </c>
      <c r="O1882" s="71">
        <v>1985170</v>
      </c>
      <c r="P1882" s="5" t="s">
        <v>391</v>
      </c>
      <c r="Q1882" s="5" t="s">
        <v>2406</v>
      </c>
      <c r="R1882" s="11" t="s">
        <v>1175</v>
      </c>
      <c r="S1882" s="5">
        <v>50</v>
      </c>
    </row>
    <row r="1883" spans="1:19" s="7" customFormat="1" ht="114.75">
      <c r="A1883" s="4">
        <v>1868</v>
      </c>
      <c r="B1883" s="29" t="s">
        <v>710</v>
      </c>
      <c r="C1883" s="35" t="s">
        <v>597</v>
      </c>
      <c r="D1883" s="5" t="s">
        <v>2407</v>
      </c>
      <c r="E1883" s="5" t="s">
        <v>2408</v>
      </c>
      <c r="F1883" s="5" t="s">
        <v>2409</v>
      </c>
      <c r="G1883" s="5" t="s">
        <v>2410</v>
      </c>
      <c r="H1883" s="31" t="s">
        <v>2411</v>
      </c>
      <c r="I1883" s="5" t="s">
        <v>2415</v>
      </c>
      <c r="J1883" s="5" t="s">
        <v>2414</v>
      </c>
      <c r="K1883" s="5" t="s">
        <v>591</v>
      </c>
      <c r="L1883" s="11" t="s">
        <v>914</v>
      </c>
      <c r="M1883" s="6">
        <v>1</v>
      </c>
      <c r="N1883" s="71">
        <f t="shared" si="49"/>
        <v>3306991</v>
      </c>
      <c r="O1883" s="71">
        <v>3306991</v>
      </c>
      <c r="P1883" s="5" t="s">
        <v>391</v>
      </c>
      <c r="Q1883" s="5" t="s">
        <v>2406</v>
      </c>
      <c r="R1883" s="11" t="s">
        <v>1175</v>
      </c>
      <c r="S1883" s="5">
        <v>50</v>
      </c>
    </row>
    <row r="1884" spans="1:19" s="7" customFormat="1" ht="114.75">
      <c r="A1884" s="4">
        <v>1869</v>
      </c>
      <c r="B1884" s="29" t="s">
        <v>710</v>
      </c>
      <c r="C1884" s="35" t="s">
        <v>597</v>
      </c>
      <c r="D1884" s="5" t="s">
        <v>2407</v>
      </c>
      <c r="E1884" s="5" t="s">
        <v>2408</v>
      </c>
      <c r="F1884" s="5" t="s">
        <v>2409</v>
      </c>
      <c r="G1884" s="5" t="s">
        <v>2410</v>
      </c>
      <c r="H1884" s="31" t="s">
        <v>2411</v>
      </c>
      <c r="I1884" s="5" t="s">
        <v>2415</v>
      </c>
      <c r="J1884" s="5" t="s">
        <v>2414</v>
      </c>
      <c r="K1884" s="5" t="s">
        <v>591</v>
      </c>
      <c r="L1884" s="11" t="s">
        <v>914</v>
      </c>
      <c r="M1884" s="6">
        <v>1</v>
      </c>
      <c r="N1884" s="71">
        <f t="shared" si="49"/>
        <v>3306991</v>
      </c>
      <c r="O1884" s="71">
        <v>3306991</v>
      </c>
      <c r="P1884" s="5" t="s">
        <v>391</v>
      </c>
      <c r="Q1884" s="5" t="s">
        <v>2406</v>
      </c>
      <c r="R1884" s="11" t="s">
        <v>2027</v>
      </c>
      <c r="S1884" s="5">
        <v>50</v>
      </c>
    </row>
    <row r="1885" spans="1:19" s="7" customFormat="1" ht="76.5" outlineLevel="1">
      <c r="A1885" s="4">
        <v>1870</v>
      </c>
      <c r="B1885" s="29" t="s">
        <v>710</v>
      </c>
      <c r="C1885" s="35" t="s">
        <v>597</v>
      </c>
      <c r="D1885" s="5" t="s">
        <v>2416</v>
      </c>
      <c r="E1885" s="31" t="s">
        <v>2417</v>
      </c>
      <c r="F1885" s="31" t="s">
        <v>2418</v>
      </c>
      <c r="G1885" s="31" t="s">
        <v>2419</v>
      </c>
      <c r="H1885" s="5" t="s">
        <v>2420</v>
      </c>
      <c r="I1885" s="31" t="s">
        <v>2422</v>
      </c>
      <c r="J1885" s="31" t="s">
        <v>2421</v>
      </c>
      <c r="K1885" s="73" t="s">
        <v>591</v>
      </c>
      <c r="L1885" s="11" t="s">
        <v>914</v>
      </c>
      <c r="M1885" s="6">
        <v>1</v>
      </c>
      <c r="N1885" s="71">
        <f t="shared" si="49"/>
        <v>3035714</v>
      </c>
      <c r="O1885" s="71">
        <v>3035714</v>
      </c>
      <c r="P1885" s="5" t="s">
        <v>391</v>
      </c>
      <c r="Q1885" s="5" t="s">
        <v>766</v>
      </c>
      <c r="R1885" s="15" t="s">
        <v>1175</v>
      </c>
      <c r="S1885" s="5">
        <v>50</v>
      </c>
    </row>
    <row r="1886" spans="1:19" ht="51">
      <c r="A1886" s="5">
        <v>1871</v>
      </c>
      <c r="B1886" s="15" t="s">
        <v>710</v>
      </c>
      <c r="C1886" s="31" t="s">
        <v>597</v>
      </c>
      <c r="D1886" s="31" t="s">
        <v>1465</v>
      </c>
      <c r="E1886" s="57" t="s">
        <v>2005</v>
      </c>
      <c r="F1886" s="57" t="s">
        <v>1466</v>
      </c>
      <c r="G1886" s="57" t="s">
        <v>2005</v>
      </c>
      <c r="H1886" s="57" t="s">
        <v>1466</v>
      </c>
      <c r="I1886" s="57" t="s">
        <v>2424</v>
      </c>
      <c r="J1886" s="57" t="s">
        <v>2423</v>
      </c>
      <c r="K1886" s="73" t="s">
        <v>591</v>
      </c>
      <c r="L1886" s="11" t="s">
        <v>914</v>
      </c>
      <c r="M1886" s="22">
        <v>1</v>
      </c>
      <c r="N1886" s="46">
        <f>O1886</f>
        <v>1950000</v>
      </c>
      <c r="O1886" s="49">
        <v>1950000</v>
      </c>
      <c r="P1886" s="5" t="s">
        <v>393</v>
      </c>
      <c r="Q1886" s="5" t="s">
        <v>2425</v>
      </c>
      <c r="R1886" s="11" t="s">
        <v>1175</v>
      </c>
      <c r="S1886" s="22">
        <v>50</v>
      </c>
    </row>
    <row r="1887" spans="1:19" ht="54.75" customHeight="1">
      <c r="A1887" s="5">
        <v>1872</v>
      </c>
      <c r="B1887" s="15" t="s">
        <v>710</v>
      </c>
      <c r="C1887" s="31" t="s">
        <v>597</v>
      </c>
      <c r="D1887" s="31" t="s">
        <v>1465</v>
      </c>
      <c r="E1887" s="57" t="s">
        <v>2005</v>
      </c>
      <c r="F1887" s="57" t="s">
        <v>1466</v>
      </c>
      <c r="G1887" s="57" t="s">
        <v>2005</v>
      </c>
      <c r="H1887" s="57" t="s">
        <v>1466</v>
      </c>
      <c r="I1887" s="57" t="s">
        <v>2427</v>
      </c>
      <c r="J1887" s="57" t="s">
        <v>2426</v>
      </c>
      <c r="K1887" s="73" t="s">
        <v>591</v>
      </c>
      <c r="L1887" s="11" t="s">
        <v>914</v>
      </c>
      <c r="M1887" s="22">
        <v>1</v>
      </c>
      <c r="N1887" s="46">
        <f>O1887</f>
        <v>3180000</v>
      </c>
      <c r="O1887" s="49">
        <v>3180000</v>
      </c>
      <c r="P1887" s="5" t="s">
        <v>391</v>
      </c>
      <c r="Q1887" s="5" t="s">
        <v>2425</v>
      </c>
      <c r="R1887" s="11" t="s">
        <v>1175</v>
      </c>
      <c r="S1887" s="22">
        <v>50</v>
      </c>
    </row>
    <row r="1888" spans="1:19" ht="25.5" outlineLevel="1">
      <c r="A1888" s="5">
        <v>1873</v>
      </c>
      <c r="B1888" s="29" t="s">
        <v>710</v>
      </c>
      <c r="C1888" s="35" t="s">
        <v>597</v>
      </c>
      <c r="D1888" s="5" t="s">
        <v>2428</v>
      </c>
      <c r="E1888" s="57" t="s">
        <v>2430</v>
      </c>
      <c r="F1888" s="57" t="s">
        <v>2429</v>
      </c>
      <c r="G1888" s="57" t="s">
        <v>2430</v>
      </c>
      <c r="H1888" s="57" t="s">
        <v>2429</v>
      </c>
      <c r="I1888" s="57" t="s">
        <v>2430</v>
      </c>
      <c r="J1888" s="57" t="s">
        <v>2429</v>
      </c>
      <c r="K1888" s="57" t="s">
        <v>591</v>
      </c>
      <c r="L1888" s="11" t="s">
        <v>914</v>
      </c>
      <c r="M1888" s="22">
        <v>1</v>
      </c>
      <c r="N1888" s="46">
        <f>O1888</f>
        <v>800000</v>
      </c>
      <c r="O1888" s="49">
        <v>800000</v>
      </c>
      <c r="P1888" s="5" t="s">
        <v>391</v>
      </c>
      <c r="Q1888" s="5" t="s">
        <v>391</v>
      </c>
      <c r="R1888" s="11" t="s">
        <v>2022</v>
      </c>
      <c r="S1888" s="22">
        <v>100</v>
      </c>
    </row>
    <row r="1889" spans="1:19" ht="51" outlineLevel="1">
      <c r="A1889" s="5">
        <v>1874</v>
      </c>
      <c r="B1889" s="15" t="s">
        <v>710</v>
      </c>
      <c r="C1889" s="5" t="s">
        <v>597</v>
      </c>
      <c r="D1889" s="117" t="s">
        <v>493</v>
      </c>
      <c r="E1889" s="57" t="s">
        <v>2381</v>
      </c>
      <c r="F1889" s="57" t="s">
        <v>113</v>
      </c>
      <c r="G1889" s="57" t="s">
        <v>2381</v>
      </c>
      <c r="H1889" s="57" t="s">
        <v>113</v>
      </c>
      <c r="I1889" s="57" t="s">
        <v>2431</v>
      </c>
      <c r="J1889" s="57" t="s">
        <v>2432</v>
      </c>
      <c r="K1889" s="57" t="s">
        <v>591</v>
      </c>
      <c r="L1889" s="11" t="s">
        <v>914</v>
      </c>
      <c r="M1889" s="22">
        <v>1</v>
      </c>
      <c r="N1889" s="46">
        <f>O1889</f>
        <v>6785.5</v>
      </c>
      <c r="O1889" s="49">
        <v>6785.5</v>
      </c>
      <c r="P1889" s="5" t="s">
        <v>393</v>
      </c>
      <c r="Q1889" s="5" t="s">
        <v>766</v>
      </c>
      <c r="R1889" s="11">
        <v>351000000</v>
      </c>
      <c r="S1889" s="22">
        <v>100</v>
      </c>
    </row>
    <row r="1890" spans="1:19" s="7" customFormat="1" ht="96" customHeight="1" collapsed="1">
      <c r="A1890" s="4">
        <v>1875</v>
      </c>
      <c r="B1890" s="29" t="s">
        <v>710</v>
      </c>
      <c r="C1890" s="35" t="s">
        <v>2433</v>
      </c>
      <c r="D1890" s="5" t="s">
        <v>2434</v>
      </c>
      <c r="E1890" s="5" t="s">
        <v>730</v>
      </c>
      <c r="F1890" s="5" t="s">
        <v>2435</v>
      </c>
      <c r="G1890" s="5" t="s">
        <v>2437</v>
      </c>
      <c r="H1890" s="5" t="s">
        <v>2436</v>
      </c>
      <c r="I1890" s="5" t="s">
        <v>2450</v>
      </c>
      <c r="J1890" s="5" t="s">
        <v>2445</v>
      </c>
      <c r="K1890" s="5" t="s">
        <v>591</v>
      </c>
      <c r="L1890" s="31" t="s">
        <v>644</v>
      </c>
      <c r="M1890" s="6">
        <v>1</v>
      </c>
      <c r="N1890" s="71">
        <f t="shared" ref="N1890:N1897" si="50">O1890/M1890</f>
        <v>214300</v>
      </c>
      <c r="O1890" s="71">
        <v>214300</v>
      </c>
      <c r="P1890" s="5" t="s">
        <v>391</v>
      </c>
      <c r="Q1890" s="5" t="s">
        <v>2438</v>
      </c>
      <c r="R1890" s="11" t="s">
        <v>1175</v>
      </c>
      <c r="S1890" s="5">
        <v>50</v>
      </c>
    </row>
    <row r="1891" spans="1:19" s="7" customFormat="1" ht="51">
      <c r="A1891" s="4">
        <v>1876</v>
      </c>
      <c r="B1891" s="29" t="s">
        <v>710</v>
      </c>
      <c r="C1891" s="35" t="s">
        <v>2433</v>
      </c>
      <c r="D1891" s="5" t="s">
        <v>2434</v>
      </c>
      <c r="E1891" s="5" t="s">
        <v>730</v>
      </c>
      <c r="F1891" s="5" t="s">
        <v>2435</v>
      </c>
      <c r="G1891" s="5" t="s">
        <v>2437</v>
      </c>
      <c r="H1891" s="5" t="s">
        <v>2436</v>
      </c>
      <c r="I1891" s="5" t="s">
        <v>2451</v>
      </c>
      <c r="J1891" s="5" t="s">
        <v>2446</v>
      </c>
      <c r="K1891" s="5" t="s">
        <v>591</v>
      </c>
      <c r="L1891" s="31" t="s">
        <v>644</v>
      </c>
      <c r="M1891" s="6">
        <v>1</v>
      </c>
      <c r="N1891" s="71">
        <f t="shared" si="50"/>
        <v>158930</v>
      </c>
      <c r="O1891" s="71">
        <v>158930</v>
      </c>
      <c r="P1891" s="5" t="s">
        <v>391</v>
      </c>
      <c r="Q1891" s="5" t="s">
        <v>2438</v>
      </c>
      <c r="R1891" s="11" t="s">
        <v>1175</v>
      </c>
      <c r="S1891" s="5">
        <v>50</v>
      </c>
    </row>
    <row r="1892" spans="1:19" s="7" customFormat="1" ht="51">
      <c r="A1892" s="4">
        <v>1877</v>
      </c>
      <c r="B1892" s="29" t="s">
        <v>710</v>
      </c>
      <c r="C1892" s="35" t="s">
        <v>2433</v>
      </c>
      <c r="D1892" s="5" t="s">
        <v>2453</v>
      </c>
      <c r="E1892" s="4" t="s">
        <v>2454</v>
      </c>
      <c r="F1892" s="5" t="s">
        <v>2452</v>
      </c>
      <c r="G1892" s="5" t="s">
        <v>2456</v>
      </c>
      <c r="H1892" s="5" t="s">
        <v>2455</v>
      </c>
      <c r="I1892" s="5" t="s">
        <v>2456</v>
      </c>
      <c r="J1892" s="5" t="s">
        <v>2447</v>
      </c>
      <c r="K1892" s="5" t="s">
        <v>591</v>
      </c>
      <c r="L1892" s="31" t="s">
        <v>644</v>
      </c>
      <c r="M1892" s="6">
        <v>1</v>
      </c>
      <c r="N1892" s="71">
        <f t="shared" si="50"/>
        <v>62500</v>
      </c>
      <c r="O1892" s="71">
        <v>62500</v>
      </c>
      <c r="P1892" s="5" t="s">
        <v>391</v>
      </c>
      <c r="Q1892" s="5" t="s">
        <v>2438</v>
      </c>
      <c r="R1892" s="11" t="s">
        <v>1175</v>
      </c>
      <c r="S1892" s="5">
        <v>50</v>
      </c>
    </row>
    <row r="1893" spans="1:19" s="7" customFormat="1" ht="51">
      <c r="A1893" s="4">
        <v>1878</v>
      </c>
      <c r="B1893" s="29" t="s">
        <v>710</v>
      </c>
      <c r="C1893" s="35" t="s">
        <v>2433</v>
      </c>
      <c r="D1893" s="5" t="s">
        <v>2457</v>
      </c>
      <c r="E1893" s="5" t="s">
        <v>2459</v>
      </c>
      <c r="F1893" s="5" t="s">
        <v>2458</v>
      </c>
      <c r="G1893" s="5" t="s">
        <v>2461</v>
      </c>
      <c r="H1893" s="5" t="s">
        <v>2460</v>
      </c>
      <c r="I1893" s="5" t="s">
        <v>2462</v>
      </c>
      <c r="J1893" s="5" t="s">
        <v>2448</v>
      </c>
      <c r="K1893" s="5" t="s">
        <v>591</v>
      </c>
      <c r="L1893" s="31" t="s">
        <v>644</v>
      </c>
      <c r="M1893" s="6">
        <v>1</v>
      </c>
      <c r="N1893" s="71">
        <f t="shared" si="50"/>
        <v>39300</v>
      </c>
      <c r="O1893" s="71">
        <v>39300</v>
      </c>
      <c r="P1893" s="5" t="s">
        <v>391</v>
      </c>
      <c r="Q1893" s="5" t="s">
        <v>2438</v>
      </c>
      <c r="R1893" s="11" t="s">
        <v>1175</v>
      </c>
      <c r="S1893" s="5">
        <v>50</v>
      </c>
    </row>
    <row r="1894" spans="1:19" s="90" customFormat="1" ht="153">
      <c r="A1894" s="4">
        <v>1879</v>
      </c>
      <c r="B1894" s="29" t="s">
        <v>710</v>
      </c>
      <c r="C1894" s="30" t="s">
        <v>711</v>
      </c>
      <c r="D1894" s="5" t="s">
        <v>2439</v>
      </c>
      <c r="E1894" s="5" t="s">
        <v>2440</v>
      </c>
      <c r="F1894" s="5" t="s">
        <v>2441</v>
      </c>
      <c r="G1894" s="5" t="s">
        <v>2442</v>
      </c>
      <c r="H1894" s="5" t="s">
        <v>2443</v>
      </c>
      <c r="I1894" s="5" t="s">
        <v>2463</v>
      </c>
      <c r="J1894" s="5" t="s">
        <v>2449</v>
      </c>
      <c r="K1894" s="5" t="s">
        <v>591</v>
      </c>
      <c r="L1894" s="5" t="s">
        <v>1479</v>
      </c>
      <c r="M1894" s="5">
        <f>100+150+49</f>
        <v>299</v>
      </c>
      <c r="N1894" s="85">
        <f t="shared" si="50"/>
        <v>6814.0468227424753</v>
      </c>
      <c r="O1894" s="85">
        <f>714200+1025000-149400+150000+297600</f>
        <v>2037400</v>
      </c>
      <c r="P1894" s="5" t="s">
        <v>506</v>
      </c>
      <c r="Q1894" s="5" t="s">
        <v>2444</v>
      </c>
      <c r="R1894" s="11" t="s">
        <v>1175</v>
      </c>
      <c r="S1894" s="9">
        <v>50</v>
      </c>
    </row>
    <row r="1895" spans="1:19" ht="49.5" customHeight="1">
      <c r="A1895" s="5">
        <v>1880</v>
      </c>
      <c r="B1895" s="29" t="s">
        <v>710</v>
      </c>
      <c r="C1895" s="30" t="s">
        <v>711</v>
      </c>
      <c r="D1895" s="5" t="s">
        <v>1489</v>
      </c>
      <c r="E1895" s="57" t="s">
        <v>2464</v>
      </c>
      <c r="F1895" s="57" t="s">
        <v>97</v>
      </c>
      <c r="G1895" s="5" t="s">
        <v>2466</v>
      </c>
      <c r="H1895" s="57" t="s">
        <v>2465</v>
      </c>
      <c r="I1895" s="57" t="s">
        <v>2464</v>
      </c>
      <c r="J1895" s="57" t="s">
        <v>97</v>
      </c>
      <c r="K1895" s="57" t="s">
        <v>591</v>
      </c>
      <c r="L1895" s="31" t="s">
        <v>644</v>
      </c>
      <c r="M1895" s="22">
        <v>1</v>
      </c>
      <c r="N1895" s="46">
        <f t="shared" si="50"/>
        <v>998517.86</v>
      </c>
      <c r="O1895" s="49">
        <v>998517.86</v>
      </c>
      <c r="P1895" s="5" t="s">
        <v>391</v>
      </c>
      <c r="Q1895" s="5" t="s">
        <v>2438</v>
      </c>
      <c r="R1895" s="11" t="s">
        <v>1175</v>
      </c>
      <c r="S1895" s="22">
        <v>50</v>
      </c>
    </row>
    <row r="1896" spans="1:19" ht="96.75" customHeight="1">
      <c r="A1896" s="5">
        <v>1881</v>
      </c>
      <c r="B1896" s="29" t="s">
        <v>710</v>
      </c>
      <c r="C1896" s="30" t="s">
        <v>711</v>
      </c>
      <c r="D1896" s="5" t="s">
        <v>2467</v>
      </c>
      <c r="E1896" s="5" t="s">
        <v>2469</v>
      </c>
      <c r="F1896" s="57" t="s">
        <v>2468</v>
      </c>
      <c r="G1896" s="5" t="s">
        <v>2476</v>
      </c>
      <c r="H1896" s="57" t="s">
        <v>2470</v>
      </c>
      <c r="I1896" s="5" t="s">
        <v>2469</v>
      </c>
      <c r="J1896" s="57" t="s">
        <v>2468</v>
      </c>
      <c r="K1896" s="57" t="s">
        <v>591</v>
      </c>
      <c r="L1896" s="31" t="s">
        <v>638</v>
      </c>
      <c r="M1896" s="22">
        <v>1</v>
      </c>
      <c r="N1896" s="46">
        <f t="shared" si="50"/>
        <v>139383.92000000001</v>
      </c>
      <c r="O1896" s="49">
        <v>139383.92000000001</v>
      </c>
      <c r="P1896" s="5" t="s">
        <v>391</v>
      </c>
      <c r="Q1896" s="5" t="s">
        <v>2438</v>
      </c>
      <c r="R1896" s="11" t="s">
        <v>1175</v>
      </c>
      <c r="S1896" s="22">
        <v>50</v>
      </c>
    </row>
    <row r="1897" spans="1:19" ht="82.5" customHeight="1">
      <c r="A1897" s="5">
        <v>1882</v>
      </c>
      <c r="B1897" s="29" t="s">
        <v>710</v>
      </c>
      <c r="C1897" s="30" t="s">
        <v>711</v>
      </c>
      <c r="D1897" s="5" t="s">
        <v>2471</v>
      </c>
      <c r="E1897" s="5" t="s">
        <v>2474</v>
      </c>
      <c r="F1897" s="57" t="s">
        <v>2472</v>
      </c>
      <c r="G1897" s="5" t="s">
        <v>2475</v>
      </c>
      <c r="H1897" s="57" t="s">
        <v>2473</v>
      </c>
      <c r="I1897" s="5" t="s">
        <v>2469</v>
      </c>
      <c r="J1897" s="57" t="s">
        <v>2468</v>
      </c>
      <c r="K1897" s="57" t="s">
        <v>591</v>
      </c>
      <c r="L1897" s="31" t="s">
        <v>638</v>
      </c>
      <c r="M1897" s="22">
        <v>1</v>
      </c>
      <c r="N1897" s="46">
        <f t="shared" si="50"/>
        <v>308750</v>
      </c>
      <c r="O1897" s="49">
        <v>308750</v>
      </c>
      <c r="P1897" s="5" t="s">
        <v>391</v>
      </c>
      <c r="Q1897" s="5" t="s">
        <v>2438</v>
      </c>
      <c r="R1897" s="11" t="s">
        <v>1175</v>
      </c>
      <c r="S1897" s="22">
        <v>50</v>
      </c>
    </row>
    <row r="1898" spans="1:19" ht="51" outlineLevel="1">
      <c r="A1898" s="5">
        <v>1883</v>
      </c>
      <c r="B1898" s="15" t="s">
        <v>710</v>
      </c>
      <c r="C1898" s="5" t="s">
        <v>597</v>
      </c>
      <c r="D1898" s="11" t="s">
        <v>2477</v>
      </c>
      <c r="E1898" s="57" t="s">
        <v>2479</v>
      </c>
      <c r="F1898" s="57" t="s">
        <v>2478</v>
      </c>
      <c r="G1898" s="57" t="s">
        <v>2479</v>
      </c>
      <c r="H1898" s="57" t="s">
        <v>2478</v>
      </c>
      <c r="I1898" s="57" t="s">
        <v>2479</v>
      </c>
      <c r="J1898" s="57" t="s">
        <v>2478</v>
      </c>
      <c r="K1898" s="57" t="s">
        <v>591</v>
      </c>
      <c r="L1898" s="11" t="s">
        <v>914</v>
      </c>
      <c r="M1898" s="22">
        <v>1</v>
      </c>
      <c r="N1898" s="46">
        <f>O1898</f>
        <v>267643</v>
      </c>
      <c r="O1898" s="49">
        <v>267643</v>
      </c>
      <c r="P1898" s="5" t="s">
        <v>393</v>
      </c>
      <c r="Q1898" s="5" t="s">
        <v>766</v>
      </c>
      <c r="R1898" s="11">
        <v>311000000</v>
      </c>
      <c r="S1898" s="14">
        <v>0</v>
      </c>
    </row>
    <row r="1899" spans="1:19" s="7" customFormat="1" ht="102" collapsed="1">
      <c r="A1899" s="4">
        <v>1884</v>
      </c>
      <c r="B1899" s="29" t="s">
        <v>710</v>
      </c>
      <c r="C1899" s="35" t="s">
        <v>1464</v>
      </c>
      <c r="D1899" s="5" t="s">
        <v>2480</v>
      </c>
      <c r="E1899" s="5" t="s">
        <v>2482</v>
      </c>
      <c r="F1899" s="5" t="s">
        <v>2481</v>
      </c>
      <c r="G1899" s="5" t="s">
        <v>2484</v>
      </c>
      <c r="H1899" s="31" t="s">
        <v>2483</v>
      </c>
      <c r="I1899" s="5" t="s">
        <v>2486</v>
      </c>
      <c r="J1899" s="31" t="s">
        <v>2485</v>
      </c>
      <c r="K1899" s="5" t="s">
        <v>591</v>
      </c>
      <c r="L1899" s="4" t="s">
        <v>1464</v>
      </c>
      <c r="M1899" s="6">
        <v>1</v>
      </c>
      <c r="N1899" s="71">
        <f>O1899</f>
        <v>2578954</v>
      </c>
      <c r="O1899" s="71">
        <v>2578954</v>
      </c>
      <c r="P1899" s="5" t="s">
        <v>391</v>
      </c>
      <c r="Q1899" s="5" t="s">
        <v>2425</v>
      </c>
      <c r="R1899" s="11" t="s">
        <v>1175</v>
      </c>
      <c r="S1899" s="5">
        <v>0</v>
      </c>
    </row>
    <row r="1900" spans="1:19" s="7" customFormat="1" ht="51">
      <c r="A1900" s="4">
        <v>1885</v>
      </c>
      <c r="B1900" s="29" t="s">
        <v>710</v>
      </c>
      <c r="C1900" s="30" t="s">
        <v>711</v>
      </c>
      <c r="D1900" s="15" t="s">
        <v>2487</v>
      </c>
      <c r="E1900" s="31" t="s">
        <v>2488</v>
      </c>
      <c r="F1900" s="31" t="s">
        <v>2488</v>
      </c>
      <c r="G1900" s="31" t="s">
        <v>2489</v>
      </c>
      <c r="H1900" s="31" t="s">
        <v>2490</v>
      </c>
      <c r="I1900" s="31" t="s">
        <v>2488</v>
      </c>
      <c r="J1900" s="31" t="s">
        <v>2488</v>
      </c>
      <c r="K1900" s="5" t="s">
        <v>591</v>
      </c>
      <c r="L1900" s="31" t="s">
        <v>644</v>
      </c>
      <c r="M1900" s="6">
        <v>1</v>
      </c>
      <c r="N1900" s="71">
        <f>O1900/M1900</f>
        <v>334375</v>
      </c>
      <c r="O1900" s="71">
        <v>334375</v>
      </c>
      <c r="P1900" s="5" t="s">
        <v>391</v>
      </c>
      <c r="Q1900" s="5" t="s">
        <v>2491</v>
      </c>
      <c r="R1900" s="11" t="s">
        <v>1175</v>
      </c>
      <c r="S1900" s="5">
        <v>100</v>
      </c>
    </row>
    <row r="1901" spans="1:19" s="7" customFormat="1" ht="146.25" customHeight="1">
      <c r="A1901" s="4">
        <v>1886</v>
      </c>
      <c r="B1901" s="29" t="s">
        <v>710</v>
      </c>
      <c r="C1901" s="30" t="s">
        <v>711</v>
      </c>
      <c r="D1901" s="15" t="s">
        <v>2492</v>
      </c>
      <c r="E1901" s="31" t="s">
        <v>2495</v>
      </c>
      <c r="F1901" s="31" t="s">
        <v>2493</v>
      </c>
      <c r="G1901" s="31" t="s">
        <v>2496</v>
      </c>
      <c r="H1901" s="31" t="s">
        <v>2494</v>
      </c>
      <c r="I1901" s="31" t="s">
        <v>2495</v>
      </c>
      <c r="J1901" s="31" t="s">
        <v>2493</v>
      </c>
      <c r="K1901" s="5" t="s">
        <v>591</v>
      </c>
      <c r="L1901" s="31" t="s">
        <v>644</v>
      </c>
      <c r="M1901" s="6">
        <v>3</v>
      </c>
      <c r="N1901" s="71">
        <f>O1901/M1901</f>
        <v>657084</v>
      </c>
      <c r="O1901" s="71">
        <v>1971252</v>
      </c>
      <c r="P1901" s="5" t="s">
        <v>391</v>
      </c>
      <c r="Q1901" s="5" t="s">
        <v>2491</v>
      </c>
      <c r="R1901" s="11" t="s">
        <v>1175</v>
      </c>
      <c r="S1901" s="5">
        <v>50</v>
      </c>
    </row>
    <row r="1902" spans="1:19" s="7" customFormat="1" ht="75" customHeight="1">
      <c r="A1902" s="4">
        <v>1887</v>
      </c>
      <c r="B1902" s="29" t="s">
        <v>710</v>
      </c>
      <c r="C1902" s="35" t="s">
        <v>1464</v>
      </c>
      <c r="D1902" s="5" t="s">
        <v>2497</v>
      </c>
      <c r="E1902" s="5" t="s">
        <v>2501</v>
      </c>
      <c r="F1902" s="5" t="s">
        <v>2498</v>
      </c>
      <c r="G1902" s="5" t="s">
        <v>2501</v>
      </c>
      <c r="H1902" s="31" t="s">
        <v>2498</v>
      </c>
      <c r="I1902" s="5" t="s">
        <v>2502</v>
      </c>
      <c r="J1902" s="31" t="s">
        <v>2499</v>
      </c>
      <c r="K1902" s="57" t="s">
        <v>1485</v>
      </c>
      <c r="L1902" s="4" t="s">
        <v>1464</v>
      </c>
      <c r="M1902" s="6">
        <v>1</v>
      </c>
      <c r="N1902" s="71">
        <f t="shared" ref="N1902:N1907" si="51">O1902</f>
        <v>158168464</v>
      </c>
      <c r="O1902" s="71">
        <f>132605473+25562991</f>
        <v>158168464</v>
      </c>
      <c r="P1902" s="5" t="s">
        <v>391</v>
      </c>
      <c r="Q1902" s="5" t="s">
        <v>2500</v>
      </c>
      <c r="R1902" s="11" t="s">
        <v>1175</v>
      </c>
      <c r="S1902" s="5">
        <v>30</v>
      </c>
    </row>
    <row r="1903" spans="1:19" s="1" customFormat="1" ht="133.5" customHeight="1">
      <c r="A1903" s="5">
        <v>1888</v>
      </c>
      <c r="B1903" s="15" t="s">
        <v>710</v>
      </c>
      <c r="C1903" s="31" t="s">
        <v>597</v>
      </c>
      <c r="D1903" s="5" t="s">
        <v>1431</v>
      </c>
      <c r="E1903" s="57" t="s">
        <v>1949</v>
      </c>
      <c r="F1903" s="57" t="s">
        <v>1432</v>
      </c>
      <c r="G1903" s="57" t="s">
        <v>1950</v>
      </c>
      <c r="H1903" s="57" t="s">
        <v>1433</v>
      </c>
      <c r="I1903" s="57" t="s">
        <v>2506</v>
      </c>
      <c r="J1903" s="57" t="s">
        <v>2503</v>
      </c>
      <c r="K1903" s="5" t="s">
        <v>591</v>
      </c>
      <c r="L1903" s="11" t="s">
        <v>914</v>
      </c>
      <c r="M1903" s="22">
        <v>1</v>
      </c>
      <c r="N1903" s="46">
        <f t="shared" si="51"/>
        <v>1350000</v>
      </c>
      <c r="O1903" s="49">
        <v>1350000</v>
      </c>
      <c r="P1903" s="4" t="s">
        <v>393</v>
      </c>
      <c r="Q1903" s="5" t="s">
        <v>2425</v>
      </c>
      <c r="R1903" s="11" t="s">
        <v>1175</v>
      </c>
      <c r="S1903" s="5">
        <v>50</v>
      </c>
    </row>
    <row r="1904" spans="1:19" s="1" customFormat="1" ht="187.5" customHeight="1">
      <c r="A1904" s="5">
        <v>1889</v>
      </c>
      <c r="B1904" s="15" t="s">
        <v>710</v>
      </c>
      <c r="C1904" s="31" t="s">
        <v>597</v>
      </c>
      <c r="D1904" s="5" t="s">
        <v>1431</v>
      </c>
      <c r="E1904" s="57" t="s">
        <v>1949</v>
      </c>
      <c r="F1904" s="57" t="s">
        <v>1432</v>
      </c>
      <c r="G1904" s="57" t="s">
        <v>1950</v>
      </c>
      <c r="H1904" s="57" t="s">
        <v>1433</v>
      </c>
      <c r="I1904" s="57" t="s">
        <v>2505</v>
      </c>
      <c r="J1904" s="57" t="s">
        <v>2504</v>
      </c>
      <c r="K1904" s="5" t="s">
        <v>591</v>
      </c>
      <c r="L1904" s="11" t="s">
        <v>914</v>
      </c>
      <c r="M1904" s="22">
        <v>1</v>
      </c>
      <c r="N1904" s="46">
        <f t="shared" si="51"/>
        <v>1071429</v>
      </c>
      <c r="O1904" s="49">
        <v>1071429</v>
      </c>
      <c r="P1904" s="4" t="s">
        <v>393</v>
      </c>
      <c r="Q1904" s="5" t="s">
        <v>2425</v>
      </c>
      <c r="R1904" s="11" t="s">
        <v>1175</v>
      </c>
      <c r="S1904" s="5">
        <v>50</v>
      </c>
    </row>
    <row r="1905" spans="1:19" s="13" customFormat="1" ht="51">
      <c r="A1905" s="5">
        <v>1890</v>
      </c>
      <c r="B1905" s="29" t="s">
        <v>710</v>
      </c>
      <c r="C1905" s="42" t="s">
        <v>597</v>
      </c>
      <c r="D1905" s="31" t="s">
        <v>2515</v>
      </c>
      <c r="E1905" s="57" t="s">
        <v>2518</v>
      </c>
      <c r="F1905" s="57" t="s">
        <v>2516</v>
      </c>
      <c r="G1905" s="57" t="s">
        <v>2519</v>
      </c>
      <c r="H1905" s="57" t="s">
        <v>2517</v>
      </c>
      <c r="I1905" s="57" t="s">
        <v>2521</v>
      </c>
      <c r="J1905" s="57" t="s">
        <v>2520</v>
      </c>
      <c r="K1905" s="57" t="s">
        <v>591</v>
      </c>
      <c r="L1905" s="11" t="s">
        <v>914</v>
      </c>
      <c r="M1905" s="22">
        <v>1</v>
      </c>
      <c r="N1905" s="46">
        <f t="shared" si="51"/>
        <v>1652000</v>
      </c>
      <c r="O1905" s="49">
        <v>1652000</v>
      </c>
      <c r="P1905" s="5" t="s">
        <v>391</v>
      </c>
      <c r="Q1905" s="5" t="s">
        <v>766</v>
      </c>
      <c r="R1905" s="11" t="s">
        <v>1175</v>
      </c>
      <c r="S1905" s="22">
        <v>50</v>
      </c>
    </row>
    <row r="1906" spans="1:19" s="1" customFormat="1" ht="102">
      <c r="A1906" s="5">
        <v>1891</v>
      </c>
      <c r="B1906" s="15" t="s">
        <v>710</v>
      </c>
      <c r="C1906" s="31" t="s">
        <v>597</v>
      </c>
      <c r="D1906" s="5" t="s">
        <v>2528</v>
      </c>
      <c r="E1906" s="57" t="s">
        <v>2532</v>
      </c>
      <c r="F1906" s="57" t="s">
        <v>2529</v>
      </c>
      <c r="G1906" s="57" t="s">
        <v>2533</v>
      </c>
      <c r="H1906" s="57" t="s">
        <v>2530</v>
      </c>
      <c r="I1906" s="57" t="s">
        <v>2534</v>
      </c>
      <c r="J1906" s="57" t="s">
        <v>2531</v>
      </c>
      <c r="K1906" s="5" t="s">
        <v>591</v>
      </c>
      <c r="L1906" s="11" t="s">
        <v>914</v>
      </c>
      <c r="M1906" s="22">
        <v>1</v>
      </c>
      <c r="N1906" s="46">
        <f t="shared" si="51"/>
        <v>190000</v>
      </c>
      <c r="O1906" s="49">
        <v>190000</v>
      </c>
      <c r="P1906" s="4" t="s">
        <v>391</v>
      </c>
      <c r="Q1906" s="5" t="s">
        <v>391</v>
      </c>
      <c r="R1906" s="11" t="s">
        <v>2022</v>
      </c>
      <c r="S1906" s="5">
        <v>30</v>
      </c>
    </row>
    <row r="1907" spans="1:19" s="13" customFormat="1" ht="89.25">
      <c r="A1907" s="5">
        <v>1892</v>
      </c>
      <c r="B1907" s="29" t="s">
        <v>710</v>
      </c>
      <c r="C1907" s="35" t="s">
        <v>597</v>
      </c>
      <c r="D1907" s="31" t="s">
        <v>613</v>
      </c>
      <c r="E1907" s="57" t="s">
        <v>2019</v>
      </c>
      <c r="F1907" s="57" t="s">
        <v>614</v>
      </c>
      <c r="G1907" s="57" t="s">
        <v>2315</v>
      </c>
      <c r="H1907" s="57" t="s">
        <v>615</v>
      </c>
      <c r="I1907" s="57" t="s">
        <v>2551</v>
      </c>
      <c r="J1907" s="57" t="s">
        <v>2550</v>
      </c>
      <c r="K1907" s="57" t="s">
        <v>591</v>
      </c>
      <c r="L1907" s="11" t="s">
        <v>914</v>
      </c>
      <c r="M1907" s="22">
        <v>1</v>
      </c>
      <c r="N1907" s="46">
        <f t="shared" si="51"/>
        <v>360000</v>
      </c>
      <c r="O1907" s="49">
        <v>360000</v>
      </c>
      <c r="P1907" s="5" t="s">
        <v>391</v>
      </c>
      <c r="Q1907" s="5" t="s">
        <v>391</v>
      </c>
      <c r="R1907" s="11" t="s">
        <v>2022</v>
      </c>
      <c r="S1907" s="5">
        <v>0</v>
      </c>
    </row>
    <row r="1908" spans="1:19" s="7" customFormat="1" ht="51">
      <c r="A1908" s="5">
        <v>1893</v>
      </c>
      <c r="B1908" s="29" t="s">
        <v>710</v>
      </c>
      <c r="C1908" s="30" t="s">
        <v>711</v>
      </c>
      <c r="D1908" s="10" t="s">
        <v>2508</v>
      </c>
      <c r="E1908" s="31" t="s">
        <v>2509</v>
      </c>
      <c r="F1908" s="31" t="s">
        <v>2510</v>
      </c>
      <c r="G1908" s="31" t="s">
        <v>2511</v>
      </c>
      <c r="H1908" s="31" t="s">
        <v>2512</v>
      </c>
      <c r="I1908" s="31" t="s">
        <v>2509</v>
      </c>
      <c r="J1908" s="31" t="s">
        <v>2510</v>
      </c>
      <c r="K1908" s="5" t="s">
        <v>591</v>
      </c>
      <c r="L1908" s="31" t="s">
        <v>644</v>
      </c>
      <c r="M1908" s="6">
        <v>1</v>
      </c>
      <c r="N1908" s="71">
        <f>O1908/M1908</f>
        <v>62450</v>
      </c>
      <c r="O1908" s="71">
        <v>62450</v>
      </c>
      <c r="P1908" s="5" t="s">
        <v>391</v>
      </c>
      <c r="Q1908" s="5" t="s">
        <v>2513</v>
      </c>
      <c r="R1908" s="15">
        <v>111000000</v>
      </c>
      <c r="S1908" s="5">
        <v>100</v>
      </c>
    </row>
    <row r="1909" spans="1:19" ht="51" outlineLevel="1">
      <c r="A1909" s="5">
        <v>1894</v>
      </c>
      <c r="B1909" s="15" t="s">
        <v>710</v>
      </c>
      <c r="C1909" s="31" t="s">
        <v>597</v>
      </c>
      <c r="D1909" s="117" t="s">
        <v>1160</v>
      </c>
      <c r="E1909" s="57" t="s">
        <v>1923</v>
      </c>
      <c r="F1909" s="57" t="s">
        <v>1161</v>
      </c>
      <c r="G1909" s="57" t="s">
        <v>1924</v>
      </c>
      <c r="H1909" s="57" t="s">
        <v>1162</v>
      </c>
      <c r="I1909" s="57" t="s">
        <v>1925</v>
      </c>
      <c r="J1909" s="57" t="s">
        <v>84</v>
      </c>
      <c r="K1909" s="57" t="s">
        <v>591</v>
      </c>
      <c r="L1909" s="11" t="s">
        <v>914</v>
      </c>
      <c r="M1909" s="22">
        <v>1</v>
      </c>
      <c r="N1909" s="46">
        <v>312500</v>
      </c>
      <c r="O1909" s="49">
        <v>312500</v>
      </c>
      <c r="P1909" s="5" t="s">
        <v>515</v>
      </c>
      <c r="Q1909" s="5" t="s">
        <v>766</v>
      </c>
      <c r="R1909" s="11">
        <v>151000000</v>
      </c>
      <c r="S1909" s="22">
        <v>0</v>
      </c>
    </row>
    <row r="1910" spans="1:19" ht="25.5" outlineLevel="1">
      <c r="A1910" s="5">
        <v>1895</v>
      </c>
      <c r="B1910" s="15" t="s">
        <v>710</v>
      </c>
      <c r="C1910" s="31" t="s">
        <v>597</v>
      </c>
      <c r="D1910" s="117" t="s">
        <v>2536</v>
      </c>
      <c r="E1910" s="57" t="s">
        <v>2538</v>
      </c>
      <c r="F1910" s="57" t="s">
        <v>2535</v>
      </c>
      <c r="G1910" s="57" t="s">
        <v>2539</v>
      </c>
      <c r="H1910" s="57" t="s">
        <v>2537</v>
      </c>
      <c r="I1910" s="57" t="s">
        <v>2538</v>
      </c>
      <c r="J1910" s="57" t="s">
        <v>2535</v>
      </c>
      <c r="K1910" s="57" t="s">
        <v>591</v>
      </c>
      <c r="L1910" s="11" t="s">
        <v>914</v>
      </c>
      <c r="M1910" s="22">
        <v>1</v>
      </c>
      <c r="N1910" s="46">
        <f>O1910</f>
        <v>19156</v>
      </c>
      <c r="O1910" s="49">
        <v>19156</v>
      </c>
      <c r="P1910" s="5" t="s">
        <v>391</v>
      </c>
      <c r="Q1910" s="5" t="s">
        <v>391</v>
      </c>
      <c r="R1910" s="11">
        <v>151000000</v>
      </c>
      <c r="S1910" s="22">
        <v>0</v>
      </c>
    </row>
    <row r="1911" spans="1:19" ht="25.5" outlineLevel="1">
      <c r="A1911" s="5">
        <v>1896</v>
      </c>
      <c r="B1911" s="15" t="s">
        <v>710</v>
      </c>
      <c r="C1911" s="31" t="s">
        <v>597</v>
      </c>
      <c r="D1911" s="117" t="s">
        <v>2540</v>
      </c>
      <c r="E1911" s="57" t="s">
        <v>2543</v>
      </c>
      <c r="F1911" s="57" t="s">
        <v>2541</v>
      </c>
      <c r="G1911" s="57" t="s">
        <v>2544</v>
      </c>
      <c r="H1911" s="57" t="s">
        <v>2542</v>
      </c>
      <c r="I1911" s="57" t="s">
        <v>2543</v>
      </c>
      <c r="J1911" s="57" t="s">
        <v>2541</v>
      </c>
      <c r="K1911" s="57" t="s">
        <v>591</v>
      </c>
      <c r="L1911" s="11" t="s">
        <v>914</v>
      </c>
      <c r="M1911" s="22">
        <v>1</v>
      </c>
      <c r="N1911" s="46">
        <f>O1911</f>
        <v>59619</v>
      </c>
      <c r="O1911" s="49">
        <v>59619</v>
      </c>
      <c r="P1911" s="5" t="s">
        <v>391</v>
      </c>
      <c r="Q1911" s="5" t="s">
        <v>391</v>
      </c>
      <c r="R1911" s="11">
        <v>151000000</v>
      </c>
      <c r="S1911" s="22">
        <v>0</v>
      </c>
    </row>
    <row r="1912" spans="1:19" ht="153" outlineLevel="1">
      <c r="A1912" s="5">
        <v>1897</v>
      </c>
      <c r="B1912" s="15" t="s">
        <v>710</v>
      </c>
      <c r="C1912" s="31" t="s">
        <v>597</v>
      </c>
      <c r="D1912" s="117" t="s">
        <v>1319</v>
      </c>
      <c r="E1912" s="57" t="s">
        <v>1766</v>
      </c>
      <c r="F1912" s="57" t="s">
        <v>1320</v>
      </c>
      <c r="G1912" s="57" t="s">
        <v>1767</v>
      </c>
      <c r="H1912" s="57" t="s">
        <v>1321</v>
      </c>
      <c r="I1912" s="57" t="s">
        <v>1766</v>
      </c>
      <c r="J1912" s="57" t="s">
        <v>1320</v>
      </c>
      <c r="K1912" s="57" t="s">
        <v>591</v>
      </c>
      <c r="L1912" s="11" t="s">
        <v>914</v>
      </c>
      <c r="M1912" s="22">
        <v>1</v>
      </c>
      <c r="N1912" s="46">
        <f>O1912</f>
        <v>420000</v>
      </c>
      <c r="O1912" s="49">
        <v>420000</v>
      </c>
      <c r="P1912" s="5" t="s">
        <v>391</v>
      </c>
      <c r="Q1912" s="5" t="s">
        <v>766</v>
      </c>
      <c r="R1912" s="11">
        <v>151000000</v>
      </c>
      <c r="S1912" s="22">
        <v>0</v>
      </c>
    </row>
    <row r="1913" spans="1:19" ht="51" outlineLevel="1">
      <c r="A1913" s="5">
        <v>1898</v>
      </c>
      <c r="B1913" s="15" t="s">
        <v>710</v>
      </c>
      <c r="C1913" s="31" t="s">
        <v>597</v>
      </c>
      <c r="D1913" s="117" t="s">
        <v>2545</v>
      </c>
      <c r="E1913" s="57" t="s">
        <v>2548</v>
      </c>
      <c r="F1913" s="57" t="s">
        <v>2546</v>
      </c>
      <c r="G1913" s="57" t="s">
        <v>2549</v>
      </c>
      <c r="H1913" s="57" t="s">
        <v>2547</v>
      </c>
      <c r="I1913" s="57" t="s">
        <v>2548</v>
      </c>
      <c r="J1913" s="57" t="s">
        <v>2546</v>
      </c>
      <c r="K1913" s="57" t="s">
        <v>591</v>
      </c>
      <c r="L1913" s="11" t="s">
        <v>914</v>
      </c>
      <c r="M1913" s="22">
        <v>1</v>
      </c>
      <c r="N1913" s="46">
        <f>O1913</f>
        <v>178197</v>
      </c>
      <c r="O1913" s="49">
        <v>178197</v>
      </c>
      <c r="P1913" s="5" t="s">
        <v>391</v>
      </c>
      <c r="Q1913" s="5" t="s">
        <v>766</v>
      </c>
      <c r="R1913" s="11">
        <v>151000000</v>
      </c>
      <c r="S1913" s="22">
        <v>0</v>
      </c>
    </row>
    <row r="1914" spans="1:19" s="1" customFormat="1" ht="51">
      <c r="A1914" s="5">
        <v>1899</v>
      </c>
      <c r="B1914" s="15" t="s">
        <v>710</v>
      </c>
      <c r="C1914" s="4" t="s">
        <v>597</v>
      </c>
      <c r="D1914" s="31" t="s">
        <v>2522</v>
      </c>
      <c r="E1914" s="57" t="s">
        <v>2524</v>
      </c>
      <c r="F1914" s="57" t="s">
        <v>509</v>
      </c>
      <c r="G1914" s="57" t="s">
        <v>2525</v>
      </c>
      <c r="H1914" s="57" t="s">
        <v>2523</v>
      </c>
      <c r="I1914" s="57" t="s">
        <v>2527</v>
      </c>
      <c r="J1914" s="57" t="s">
        <v>2526</v>
      </c>
      <c r="K1914" s="57" t="s">
        <v>591</v>
      </c>
      <c r="L1914" s="11" t="s">
        <v>914</v>
      </c>
      <c r="M1914" s="22">
        <v>1</v>
      </c>
      <c r="N1914" s="46">
        <f>O1914</f>
        <v>130357</v>
      </c>
      <c r="O1914" s="49">
        <v>130357</v>
      </c>
      <c r="P1914" s="5" t="s">
        <v>515</v>
      </c>
      <c r="Q1914" s="5" t="s">
        <v>766</v>
      </c>
      <c r="R1914" s="11" t="s">
        <v>2514</v>
      </c>
      <c r="S1914" s="5">
        <v>30</v>
      </c>
    </row>
    <row r="1915" spans="1:19" ht="76.5" outlineLevel="1">
      <c r="A1915" s="5">
        <v>1900</v>
      </c>
      <c r="B1915" s="29" t="s">
        <v>710</v>
      </c>
      <c r="C1915" s="35" t="s">
        <v>597</v>
      </c>
      <c r="D1915" s="5" t="s">
        <v>519</v>
      </c>
      <c r="E1915" s="57" t="s">
        <v>520</v>
      </c>
      <c r="F1915" s="57" t="s">
        <v>521</v>
      </c>
      <c r="G1915" s="57" t="s">
        <v>522</v>
      </c>
      <c r="H1915" s="57" t="s">
        <v>523</v>
      </c>
      <c r="I1915" s="57" t="s">
        <v>2556</v>
      </c>
      <c r="J1915" s="57" t="s">
        <v>2555</v>
      </c>
      <c r="K1915" s="57" t="s">
        <v>591</v>
      </c>
      <c r="L1915" s="11" t="s">
        <v>914</v>
      </c>
      <c r="M1915" s="22">
        <v>1</v>
      </c>
      <c r="N1915" s="46">
        <f>O1915/M1915</f>
        <v>6600000</v>
      </c>
      <c r="O1915" s="49">
        <v>6600000</v>
      </c>
      <c r="P1915" s="5" t="s">
        <v>588</v>
      </c>
      <c r="Q1915" s="5" t="s">
        <v>394</v>
      </c>
      <c r="R1915" s="11" t="s">
        <v>1175</v>
      </c>
      <c r="S1915" s="22">
        <v>30</v>
      </c>
    </row>
    <row r="1916" spans="1:19" ht="76.5">
      <c r="A1916" s="5">
        <v>1901</v>
      </c>
      <c r="B1916" s="29" t="s">
        <v>710</v>
      </c>
      <c r="C1916" s="5" t="s">
        <v>711</v>
      </c>
      <c r="D1916" s="5" t="s">
        <v>799</v>
      </c>
      <c r="E1916" s="57" t="s">
        <v>730</v>
      </c>
      <c r="F1916" s="57" t="s">
        <v>731</v>
      </c>
      <c r="G1916" s="57" t="s">
        <v>800</v>
      </c>
      <c r="H1916" s="57" t="s">
        <v>801</v>
      </c>
      <c r="I1916" s="57" t="s">
        <v>2560</v>
      </c>
      <c r="J1916" s="57" t="s">
        <v>2557</v>
      </c>
      <c r="K1916" s="57" t="s">
        <v>591</v>
      </c>
      <c r="L1916" s="31" t="s">
        <v>644</v>
      </c>
      <c r="M1916" s="22">
        <v>1</v>
      </c>
      <c r="N1916" s="46">
        <f>O1916/M1916</f>
        <v>28000</v>
      </c>
      <c r="O1916" s="49">
        <v>28000</v>
      </c>
      <c r="P1916" s="5" t="s">
        <v>515</v>
      </c>
      <c r="Q1916" s="5" t="s">
        <v>1051</v>
      </c>
      <c r="R1916" s="15">
        <v>352410000</v>
      </c>
      <c r="S1916" s="22">
        <v>50</v>
      </c>
    </row>
    <row r="1917" spans="1:19" ht="102">
      <c r="A1917" s="5">
        <v>1902</v>
      </c>
      <c r="B1917" s="29" t="s">
        <v>710</v>
      </c>
      <c r="C1917" s="5" t="s">
        <v>711</v>
      </c>
      <c r="D1917" s="11" t="s">
        <v>748</v>
      </c>
      <c r="E1917" s="57" t="s">
        <v>979</v>
      </c>
      <c r="F1917" s="57" t="s">
        <v>979</v>
      </c>
      <c r="G1917" s="57" t="s">
        <v>2161</v>
      </c>
      <c r="H1917" s="57" t="s">
        <v>751</v>
      </c>
      <c r="I1917" s="57" t="s">
        <v>2570</v>
      </c>
      <c r="J1917" s="57" t="s">
        <v>2569</v>
      </c>
      <c r="K1917" s="57" t="s">
        <v>591</v>
      </c>
      <c r="L1917" s="31" t="s">
        <v>644</v>
      </c>
      <c r="M1917" s="22">
        <v>1</v>
      </c>
      <c r="N1917" s="46">
        <f t="shared" ref="N1917:N1925" si="52">O1917/M1917</f>
        <v>7000</v>
      </c>
      <c r="O1917" s="49">
        <v>7000</v>
      </c>
      <c r="P1917" s="5" t="s">
        <v>515</v>
      </c>
      <c r="Q1917" s="5" t="s">
        <v>1051</v>
      </c>
      <c r="R1917" s="15">
        <v>352410000</v>
      </c>
      <c r="S1917" s="5">
        <v>50</v>
      </c>
    </row>
    <row r="1918" spans="1:19" ht="55.15" customHeight="1">
      <c r="A1918" s="5">
        <v>1903</v>
      </c>
      <c r="B1918" s="29" t="s">
        <v>710</v>
      </c>
      <c r="C1918" s="5" t="s">
        <v>711</v>
      </c>
      <c r="D1918" s="11" t="s">
        <v>2584</v>
      </c>
      <c r="E1918" s="5" t="s">
        <v>1184</v>
      </c>
      <c r="F1918" s="57" t="s">
        <v>1184</v>
      </c>
      <c r="G1918" s="5" t="s">
        <v>2586</v>
      </c>
      <c r="H1918" s="57" t="s">
        <v>2585</v>
      </c>
      <c r="I1918" s="57" t="s">
        <v>2561</v>
      </c>
      <c r="J1918" s="57" t="s">
        <v>2558</v>
      </c>
      <c r="K1918" s="57" t="s">
        <v>591</v>
      </c>
      <c r="L1918" s="31" t="s">
        <v>644</v>
      </c>
      <c r="M1918" s="9">
        <v>3</v>
      </c>
      <c r="N1918" s="46">
        <f t="shared" si="52"/>
        <v>150000</v>
      </c>
      <c r="O1918" s="49">
        <v>450000</v>
      </c>
      <c r="P1918" s="14" t="s">
        <v>515</v>
      </c>
      <c r="Q1918" s="5" t="s">
        <v>1051</v>
      </c>
      <c r="R1918" s="11" t="s">
        <v>1175</v>
      </c>
      <c r="S1918" s="14">
        <v>50</v>
      </c>
    </row>
    <row r="1919" spans="1:19" ht="76.5">
      <c r="A1919" s="5">
        <v>1904</v>
      </c>
      <c r="B1919" s="29" t="s">
        <v>710</v>
      </c>
      <c r="C1919" s="5" t="s">
        <v>711</v>
      </c>
      <c r="D1919" s="5" t="s">
        <v>799</v>
      </c>
      <c r="E1919" s="57" t="s">
        <v>730</v>
      </c>
      <c r="F1919" s="57" t="s">
        <v>731</v>
      </c>
      <c r="G1919" s="57" t="s">
        <v>800</v>
      </c>
      <c r="H1919" s="57" t="s">
        <v>801</v>
      </c>
      <c r="I1919" s="57" t="s">
        <v>2559</v>
      </c>
      <c r="J1919" s="57" t="s">
        <v>2557</v>
      </c>
      <c r="K1919" s="57" t="s">
        <v>591</v>
      </c>
      <c r="L1919" s="31" t="s">
        <v>644</v>
      </c>
      <c r="M1919" s="22">
        <v>1</v>
      </c>
      <c r="N1919" s="46">
        <f t="shared" si="52"/>
        <v>28000</v>
      </c>
      <c r="O1919" s="49">
        <v>28000</v>
      </c>
      <c r="P1919" s="5" t="s">
        <v>515</v>
      </c>
      <c r="Q1919" s="5" t="s">
        <v>1051</v>
      </c>
      <c r="R1919" s="15">
        <v>552210000</v>
      </c>
      <c r="S1919" s="22">
        <v>50</v>
      </c>
    </row>
    <row r="1920" spans="1:19" ht="102">
      <c r="A1920" s="5">
        <v>1905</v>
      </c>
      <c r="B1920" s="29" t="s">
        <v>710</v>
      </c>
      <c r="C1920" s="5" t="s">
        <v>711</v>
      </c>
      <c r="D1920" s="11" t="s">
        <v>748</v>
      </c>
      <c r="E1920" s="57" t="s">
        <v>979</v>
      </c>
      <c r="F1920" s="57" t="s">
        <v>979</v>
      </c>
      <c r="G1920" s="57" t="s">
        <v>2161</v>
      </c>
      <c r="H1920" s="57" t="s">
        <v>751</v>
      </c>
      <c r="I1920" s="57" t="s">
        <v>2570</v>
      </c>
      <c r="J1920" s="57" t="s">
        <v>2569</v>
      </c>
      <c r="K1920" s="57" t="s">
        <v>591</v>
      </c>
      <c r="L1920" s="31" t="s">
        <v>644</v>
      </c>
      <c r="M1920" s="22">
        <v>1</v>
      </c>
      <c r="N1920" s="46">
        <f t="shared" si="52"/>
        <v>7000</v>
      </c>
      <c r="O1920" s="49">
        <v>7000</v>
      </c>
      <c r="P1920" s="5" t="s">
        <v>515</v>
      </c>
      <c r="Q1920" s="5" t="s">
        <v>1051</v>
      </c>
      <c r="R1920" s="15">
        <v>552210000</v>
      </c>
      <c r="S1920" s="5">
        <v>50</v>
      </c>
    </row>
    <row r="1921" spans="1:19" ht="76.5">
      <c r="A1921" s="5">
        <v>1906</v>
      </c>
      <c r="B1921" s="29" t="s">
        <v>710</v>
      </c>
      <c r="C1921" s="5" t="s">
        <v>711</v>
      </c>
      <c r="D1921" s="5" t="s">
        <v>799</v>
      </c>
      <c r="E1921" s="57" t="s">
        <v>730</v>
      </c>
      <c r="F1921" s="57" t="s">
        <v>731</v>
      </c>
      <c r="G1921" s="57" t="s">
        <v>800</v>
      </c>
      <c r="H1921" s="57" t="s">
        <v>801</v>
      </c>
      <c r="I1921" s="57" t="s">
        <v>2559</v>
      </c>
      <c r="J1921" s="57" t="s">
        <v>2557</v>
      </c>
      <c r="K1921" s="57" t="s">
        <v>591</v>
      </c>
      <c r="L1921" s="31" t="s">
        <v>644</v>
      </c>
      <c r="M1921" s="22">
        <v>1</v>
      </c>
      <c r="N1921" s="46">
        <f t="shared" si="52"/>
        <v>28000</v>
      </c>
      <c r="O1921" s="49">
        <v>28000</v>
      </c>
      <c r="P1921" s="5" t="s">
        <v>515</v>
      </c>
      <c r="Q1921" s="5" t="s">
        <v>1051</v>
      </c>
      <c r="R1921" s="11" t="s">
        <v>2026</v>
      </c>
      <c r="S1921" s="22">
        <v>50</v>
      </c>
    </row>
    <row r="1922" spans="1:19" ht="102">
      <c r="A1922" s="5">
        <v>1907</v>
      </c>
      <c r="B1922" s="29" t="s">
        <v>710</v>
      </c>
      <c r="C1922" s="5" t="s">
        <v>711</v>
      </c>
      <c r="D1922" s="11" t="s">
        <v>748</v>
      </c>
      <c r="E1922" s="57" t="s">
        <v>979</v>
      </c>
      <c r="F1922" s="57" t="s">
        <v>979</v>
      </c>
      <c r="G1922" s="57" t="s">
        <v>2161</v>
      </c>
      <c r="H1922" s="57" t="s">
        <v>751</v>
      </c>
      <c r="I1922" s="57" t="s">
        <v>2570</v>
      </c>
      <c r="J1922" s="57" t="s">
        <v>2569</v>
      </c>
      <c r="K1922" s="57" t="s">
        <v>591</v>
      </c>
      <c r="L1922" s="31" t="s">
        <v>644</v>
      </c>
      <c r="M1922" s="22">
        <v>1</v>
      </c>
      <c r="N1922" s="46">
        <f t="shared" si="52"/>
        <v>7000</v>
      </c>
      <c r="O1922" s="49">
        <v>7000</v>
      </c>
      <c r="P1922" s="5" t="s">
        <v>515</v>
      </c>
      <c r="Q1922" s="5" t="s">
        <v>1051</v>
      </c>
      <c r="R1922" s="11" t="s">
        <v>2026</v>
      </c>
      <c r="S1922" s="5">
        <v>50</v>
      </c>
    </row>
    <row r="1923" spans="1:19" ht="76.5">
      <c r="A1923" s="5">
        <v>1908</v>
      </c>
      <c r="B1923" s="29" t="s">
        <v>710</v>
      </c>
      <c r="C1923" s="35" t="s">
        <v>597</v>
      </c>
      <c r="D1923" s="5" t="s">
        <v>598</v>
      </c>
      <c r="E1923" s="57" t="s">
        <v>599</v>
      </c>
      <c r="F1923" s="57" t="s">
        <v>600</v>
      </c>
      <c r="G1923" s="57" t="s">
        <v>1020</v>
      </c>
      <c r="H1923" s="57" t="s">
        <v>602</v>
      </c>
      <c r="I1923" s="57" t="s">
        <v>2562</v>
      </c>
      <c r="J1923" s="57" t="s">
        <v>95</v>
      </c>
      <c r="K1923" s="57" t="s">
        <v>591</v>
      </c>
      <c r="L1923" s="11" t="s">
        <v>914</v>
      </c>
      <c r="M1923" s="22">
        <v>1</v>
      </c>
      <c r="N1923" s="46">
        <f t="shared" si="52"/>
        <v>1590000</v>
      </c>
      <c r="O1923" s="46">
        <v>1590000</v>
      </c>
      <c r="P1923" s="5" t="s">
        <v>515</v>
      </c>
      <c r="Q1923" s="5" t="s">
        <v>766</v>
      </c>
      <c r="R1923" s="11">
        <v>392410000</v>
      </c>
      <c r="S1923" s="5">
        <v>0</v>
      </c>
    </row>
    <row r="1924" spans="1:19" ht="76.5">
      <c r="A1924" s="5">
        <v>1909</v>
      </c>
      <c r="B1924" s="29" t="s">
        <v>710</v>
      </c>
      <c r="C1924" s="35" t="s">
        <v>597</v>
      </c>
      <c r="D1924" s="5" t="s">
        <v>598</v>
      </c>
      <c r="E1924" s="57" t="s">
        <v>599</v>
      </c>
      <c r="F1924" s="57" t="s">
        <v>600</v>
      </c>
      <c r="G1924" s="57" t="s">
        <v>1020</v>
      </c>
      <c r="H1924" s="57" t="s">
        <v>602</v>
      </c>
      <c r="I1924" s="57" t="s">
        <v>2562</v>
      </c>
      <c r="J1924" s="57" t="s">
        <v>95</v>
      </c>
      <c r="K1924" s="57" t="s">
        <v>591</v>
      </c>
      <c r="L1924" s="11" t="s">
        <v>914</v>
      </c>
      <c r="M1924" s="22">
        <v>1</v>
      </c>
      <c r="N1924" s="46">
        <f t="shared" si="52"/>
        <v>1590000</v>
      </c>
      <c r="O1924" s="46">
        <v>1590000</v>
      </c>
      <c r="P1924" s="5" t="s">
        <v>515</v>
      </c>
      <c r="Q1924" s="5" t="s">
        <v>766</v>
      </c>
      <c r="R1924" s="15">
        <v>552210000</v>
      </c>
      <c r="S1924" s="5">
        <v>0</v>
      </c>
    </row>
    <row r="1925" spans="1:19" ht="76.5">
      <c r="A1925" s="5">
        <v>1910</v>
      </c>
      <c r="B1925" s="29" t="s">
        <v>710</v>
      </c>
      <c r="C1925" s="35" t="s">
        <v>597</v>
      </c>
      <c r="D1925" s="5" t="s">
        <v>598</v>
      </c>
      <c r="E1925" s="57" t="s">
        <v>599</v>
      </c>
      <c r="F1925" s="57" t="s">
        <v>600</v>
      </c>
      <c r="G1925" s="57" t="s">
        <v>1020</v>
      </c>
      <c r="H1925" s="57" t="s">
        <v>602</v>
      </c>
      <c r="I1925" s="57" t="s">
        <v>2562</v>
      </c>
      <c r="J1925" s="57" t="s">
        <v>95</v>
      </c>
      <c r="K1925" s="57" t="s">
        <v>591</v>
      </c>
      <c r="L1925" s="11" t="s">
        <v>914</v>
      </c>
      <c r="M1925" s="22">
        <v>1</v>
      </c>
      <c r="N1925" s="46">
        <f t="shared" si="52"/>
        <v>1590000</v>
      </c>
      <c r="O1925" s="46">
        <v>1590000</v>
      </c>
      <c r="P1925" s="5" t="s">
        <v>515</v>
      </c>
      <c r="Q1925" s="5" t="s">
        <v>766</v>
      </c>
      <c r="R1925" s="15">
        <v>352410000</v>
      </c>
      <c r="S1925" s="5">
        <v>0</v>
      </c>
    </row>
    <row r="1926" spans="1:19" ht="51">
      <c r="A1926" s="5">
        <v>1911</v>
      </c>
      <c r="B1926" s="15" t="s">
        <v>710</v>
      </c>
      <c r="C1926" s="31" t="s">
        <v>597</v>
      </c>
      <c r="D1926" s="31" t="s">
        <v>1465</v>
      </c>
      <c r="E1926" s="57" t="s">
        <v>2005</v>
      </c>
      <c r="F1926" s="57" t="s">
        <v>1466</v>
      </c>
      <c r="G1926" s="57" t="s">
        <v>2005</v>
      </c>
      <c r="H1926" s="57" t="s">
        <v>1466</v>
      </c>
      <c r="I1926" s="57" t="s">
        <v>2565</v>
      </c>
      <c r="J1926" s="57" t="s">
        <v>2563</v>
      </c>
      <c r="K1926" s="57" t="s">
        <v>591</v>
      </c>
      <c r="L1926" s="11" t="s">
        <v>914</v>
      </c>
      <c r="M1926" s="22">
        <v>1</v>
      </c>
      <c r="N1926" s="46">
        <f>O1926/M1926</f>
        <v>0</v>
      </c>
      <c r="O1926" s="49">
        <f>8928571-8928571</f>
        <v>0</v>
      </c>
      <c r="P1926" s="5" t="s">
        <v>698</v>
      </c>
      <c r="Q1926" s="15" t="s">
        <v>586</v>
      </c>
      <c r="R1926" s="11" t="s">
        <v>1175</v>
      </c>
      <c r="S1926" s="22">
        <v>30</v>
      </c>
    </row>
    <row r="1927" spans="1:19" ht="38.25">
      <c r="A1927" s="5">
        <v>1912</v>
      </c>
      <c r="B1927" s="15" t="s">
        <v>710</v>
      </c>
      <c r="C1927" s="31" t="s">
        <v>597</v>
      </c>
      <c r="D1927" s="31" t="s">
        <v>1465</v>
      </c>
      <c r="E1927" s="57" t="s">
        <v>2005</v>
      </c>
      <c r="F1927" s="57" t="s">
        <v>1466</v>
      </c>
      <c r="G1927" s="57" t="s">
        <v>2005</v>
      </c>
      <c r="H1927" s="57" t="s">
        <v>1466</v>
      </c>
      <c r="I1927" s="57" t="s">
        <v>2566</v>
      </c>
      <c r="J1927" s="57" t="s">
        <v>2564</v>
      </c>
      <c r="K1927" s="57" t="s">
        <v>591</v>
      </c>
      <c r="L1927" s="11" t="s">
        <v>914</v>
      </c>
      <c r="M1927" s="22">
        <v>1</v>
      </c>
      <c r="N1927" s="46">
        <f>O1927/M1927</f>
        <v>0</v>
      </c>
      <c r="O1927" s="49">
        <f>2412632-2412632</f>
        <v>0</v>
      </c>
      <c r="P1927" s="5" t="s">
        <v>612</v>
      </c>
      <c r="Q1927" s="15" t="s">
        <v>502</v>
      </c>
      <c r="R1927" s="11" t="s">
        <v>1175</v>
      </c>
      <c r="S1927" s="22">
        <v>50</v>
      </c>
    </row>
    <row r="1928" spans="1:19" ht="25.5">
      <c r="A1928" s="5">
        <v>1913</v>
      </c>
      <c r="B1928" s="29" t="s">
        <v>710</v>
      </c>
      <c r="C1928" s="30" t="s">
        <v>711</v>
      </c>
      <c r="D1928" s="11" t="s">
        <v>931</v>
      </c>
      <c r="E1928" s="57" t="s">
        <v>2579</v>
      </c>
      <c r="F1928" s="57" t="s">
        <v>463</v>
      </c>
      <c r="G1928" s="57" t="s">
        <v>1719</v>
      </c>
      <c r="H1928" s="57" t="s">
        <v>465</v>
      </c>
      <c r="I1928" s="57" t="s">
        <v>2580</v>
      </c>
      <c r="J1928" s="57" t="s">
        <v>932</v>
      </c>
      <c r="K1928" s="57" t="s">
        <v>591</v>
      </c>
      <c r="L1928" s="31" t="s">
        <v>644</v>
      </c>
      <c r="M1928" s="22">
        <v>14000</v>
      </c>
      <c r="N1928" s="46">
        <v>80</v>
      </c>
      <c r="O1928" s="49">
        <v>1120000</v>
      </c>
      <c r="P1928" s="5" t="s">
        <v>391</v>
      </c>
      <c r="Q1928" s="5" t="s">
        <v>515</v>
      </c>
      <c r="R1928" s="11" t="s">
        <v>1175</v>
      </c>
      <c r="S1928" s="22">
        <v>50</v>
      </c>
    </row>
    <row r="1929" spans="1:19" ht="51">
      <c r="A1929" s="5">
        <v>1914</v>
      </c>
      <c r="B1929" s="29" t="s">
        <v>710</v>
      </c>
      <c r="C1929" s="30" t="s">
        <v>711</v>
      </c>
      <c r="D1929" s="31" t="s">
        <v>2582</v>
      </c>
      <c r="E1929" s="57" t="s">
        <v>119</v>
      </c>
      <c r="F1929" s="57" t="s">
        <v>119</v>
      </c>
      <c r="G1929" s="57" t="s">
        <v>2583</v>
      </c>
      <c r="H1929" s="57" t="s">
        <v>2581</v>
      </c>
      <c r="I1929" s="57" t="s">
        <v>2583</v>
      </c>
      <c r="J1929" s="57" t="s">
        <v>2581</v>
      </c>
      <c r="K1929" s="57" t="s">
        <v>591</v>
      </c>
      <c r="L1929" s="31" t="s">
        <v>644</v>
      </c>
      <c r="M1929" s="22">
        <v>14000</v>
      </c>
      <c r="N1929" s="46">
        <v>61</v>
      </c>
      <c r="O1929" s="49">
        <v>854000</v>
      </c>
      <c r="P1929" s="5" t="s">
        <v>391</v>
      </c>
      <c r="Q1929" s="5" t="s">
        <v>515</v>
      </c>
      <c r="R1929" s="11" t="s">
        <v>1175</v>
      </c>
      <c r="S1929" s="22">
        <v>50</v>
      </c>
    </row>
    <row r="1930" spans="1:19" s="13" customFormat="1" ht="102">
      <c r="A1930" s="5">
        <v>1915</v>
      </c>
      <c r="B1930" s="29" t="s">
        <v>710</v>
      </c>
      <c r="C1930" s="42" t="s">
        <v>597</v>
      </c>
      <c r="D1930" s="31" t="s">
        <v>2571</v>
      </c>
      <c r="E1930" s="57" t="s">
        <v>2573</v>
      </c>
      <c r="F1930" s="57" t="s">
        <v>2572</v>
      </c>
      <c r="G1930" s="57" t="s">
        <v>2573</v>
      </c>
      <c r="H1930" s="57" t="s">
        <v>2572</v>
      </c>
      <c r="I1930" s="57" t="s">
        <v>2573</v>
      </c>
      <c r="J1930" s="57" t="s">
        <v>2572</v>
      </c>
      <c r="K1930" s="57" t="s">
        <v>591</v>
      </c>
      <c r="L1930" s="11" t="s">
        <v>914</v>
      </c>
      <c r="M1930" s="22">
        <v>1</v>
      </c>
      <c r="N1930" s="46">
        <f t="shared" ref="N1930:N1993" si="53">O1930/M1930</f>
        <v>35200</v>
      </c>
      <c r="O1930" s="49">
        <v>35200</v>
      </c>
      <c r="P1930" s="5" t="s">
        <v>391</v>
      </c>
      <c r="Q1930" s="5" t="s">
        <v>391</v>
      </c>
      <c r="R1930" s="11" t="s">
        <v>2029</v>
      </c>
      <c r="S1930" s="5">
        <v>100</v>
      </c>
    </row>
    <row r="1931" spans="1:19" s="13" customFormat="1" ht="63.75">
      <c r="A1931" s="5">
        <v>1916</v>
      </c>
      <c r="B1931" s="29" t="s">
        <v>710</v>
      </c>
      <c r="C1931" s="42" t="s">
        <v>597</v>
      </c>
      <c r="D1931" s="31" t="s">
        <v>2574</v>
      </c>
      <c r="E1931" s="48" t="s">
        <v>2577</v>
      </c>
      <c r="F1931" s="57" t="s">
        <v>2575</v>
      </c>
      <c r="G1931" s="48" t="s">
        <v>2578</v>
      </c>
      <c r="H1931" s="57" t="s">
        <v>2576</v>
      </c>
      <c r="I1931" s="48" t="s">
        <v>2577</v>
      </c>
      <c r="J1931" s="57" t="s">
        <v>2575</v>
      </c>
      <c r="K1931" s="57" t="s">
        <v>591</v>
      </c>
      <c r="L1931" s="11" t="s">
        <v>914</v>
      </c>
      <c r="M1931" s="22">
        <v>1</v>
      </c>
      <c r="N1931" s="46">
        <f t="shared" si="53"/>
        <v>200000</v>
      </c>
      <c r="O1931" s="49">
        <v>200000</v>
      </c>
      <c r="P1931" s="5" t="s">
        <v>515</v>
      </c>
      <c r="Q1931" s="5" t="s">
        <v>515</v>
      </c>
      <c r="R1931" s="11" t="s">
        <v>2029</v>
      </c>
      <c r="S1931" s="5">
        <v>30</v>
      </c>
    </row>
    <row r="1932" spans="1:19" s="26" customFormat="1" ht="331.5">
      <c r="A1932" s="5">
        <v>1917</v>
      </c>
      <c r="B1932" s="5" t="s">
        <v>710</v>
      </c>
      <c r="C1932" s="42" t="s">
        <v>597</v>
      </c>
      <c r="D1932" s="11" t="s">
        <v>942</v>
      </c>
      <c r="E1932" s="5" t="s">
        <v>1155</v>
      </c>
      <c r="F1932" s="76" t="s">
        <v>943</v>
      </c>
      <c r="G1932" s="5" t="s">
        <v>1969</v>
      </c>
      <c r="H1932" s="76" t="s">
        <v>944</v>
      </c>
      <c r="I1932" s="5" t="s">
        <v>2706</v>
      </c>
      <c r="J1932" s="5" t="s">
        <v>2704</v>
      </c>
      <c r="K1932" s="5" t="s">
        <v>591</v>
      </c>
      <c r="L1932" s="5" t="s">
        <v>914</v>
      </c>
      <c r="M1932" s="5">
        <v>1</v>
      </c>
      <c r="N1932" s="46">
        <f t="shared" si="53"/>
        <v>32302731</v>
      </c>
      <c r="O1932" s="46">
        <f>22763150+9539581</f>
        <v>32302731</v>
      </c>
      <c r="P1932" s="5" t="s">
        <v>515</v>
      </c>
      <c r="Q1932" s="5" t="s">
        <v>766</v>
      </c>
      <c r="R1932" s="15">
        <v>710000000</v>
      </c>
      <c r="S1932" s="5">
        <v>30</v>
      </c>
    </row>
    <row r="1933" spans="1:19" s="26" customFormat="1" ht="331.5">
      <c r="A1933" s="5">
        <v>1918</v>
      </c>
      <c r="B1933" s="5" t="s">
        <v>710</v>
      </c>
      <c r="C1933" s="42" t="s">
        <v>597</v>
      </c>
      <c r="D1933" s="11" t="s">
        <v>942</v>
      </c>
      <c r="E1933" s="5" t="s">
        <v>1155</v>
      </c>
      <c r="F1933" s="76" t="s">
        <v>943</v>
      </c>
      <c r="G1933" s="5" t="s">
        <v>1969</v>
      </c>
      <c r="H1933" s="76" t="s">
        <v>944</v>
      </c>
      <c r="I1933" s="5" t="s">
        <v>2707</v>
      </c>
      <c r="J1933" s="5" t="s">
        <v>2705</v>
      </c>
      <c r="K1933" s="5" t="s">
        <v>591</v>
      </c>
      <c r="L1933" s="5" t="s">
        <v>914</v>
      </c>
      <c r="M1933" s="5">
        <v>1</v>
      </c>
      <c r="N1933" s="46">
        <f t="shared" si="53"/>
        <v>32302731</v>
      </c>
      <c r="O1933" s="46">
        <f>22763150+9539581</f>
        <v>32302731</v>
      </c>
      <c r="P1933" s="5" t="s">
        <v>515</v>
      </c>
      <c r="Q1933" s="5" t="s">
        <v>766</v>
      </c>
      <c r="R1933" s="15">
        <v>751110000</v>
      </c>
      <c r="S1933" s="5">
        <v>30</v>
      </c>
    </row>
    <row r="1934" spans="1:19" s="26" customFormat="1" ht="140.25">
      <c r="A1934" s="5">
        <v>1919</v>
      </c>
      <c r="B1934" s="5" t="s">
        <v>710</v>
      </c>
      <c r="C1934" s="42" t="s">
        <v>597</v>
      </c>
      <c r="D1934" s="11" t="s">
        <v>589</v>
      </c>
      <c r="E1934" s="5" t="s">
        <v>2360</v>
      </c>
      <c r="F1934" s="76" t="s">
        <v>590</v>
      </c>
      <c r="G1934" s="5" t="s">
        <v>2361</v>
      </c>
      <c r="H1934" s="76" t="s">
        <v>590</v>
      </c>
      <c r="I1934" s="5" t="s">
        <v>2648</v>
      </c>
      <c r="J1934" s="5" t="s">
        <v>2627</v>
      </c>
      <c r="K1934" s="5" t="s">
        <v>591</v>
      </c>
      <c r="L1934" s="5" t="s">
        <v>914</v>
      </c>
      <c r="M1934" s="5">
        <v>1</v>
      </c>
      <c r="N1934" s="46">
        <f t="shared" si="53"/>
        <v>4958287</v>
      </c>
      <c r="O1934" s="46">
        <v>4958287</v>
      </c>
      <c r="P1934" s="5" t="s">
        <v>515</v>
      </c>
      <c r="Q1934" s="5" t="s">
        <v>766</v>
      </c>
      <c r="R1934" s="15">
        <v>751110000</v>
      </c>
      <c r="S1934" s="5">
        <v>30</v>
      </c>
    </row>
    <row r="1935" spans="1:19" s="26" customFormat="1" ht="115.5" customHeight="1">
      <c r="A1935" s="5">
        <v>1920</v>
      </c>
      <c r="B1935" s="5" t="s">
        <v>710</v>
      </c>
      <c r="C1935" s="42" t="s">
        <v>597</v>
      </c>
      <c r="D1935" s="11" t="s">
        <v>589</v>
      </c>
      <c r="E1935" s="5" t="s">
        <v>2360</v>
      </c>
      <c r="F1935" s="76" t="s">
        <v>590</v>
      </c>
      <c r="G1935" s="5" t="s">
        <v>2361</v>
      </c>
      <c r="H1935" s="76" t="s">
        <v>590</v>
      </c>
      <c r="I1935" s="5" t="s">
        <v>2649</v>
      </c>
      <c r="J1935" s="5" t="s">
        <v>2626</v>
      </c>
      <c r="K1935" s="5" t="s">
        <v>591</v>
      </c>
      <c r="L1935" s="5" t="s">
        <v>914</v>
      </c>
      <c r="M1935" s="5">
        <v>1</v>
      </c>
      <c r="N1935" s="46">
        <f t="shared" si="53"/>
        <v>4958287</v>
      </c>
      <c r="O1935" s="46">
        <v>4958287</v>
      </c>
      <c r="P1935" s="5" t="s">
        <v>515</v>
      </c>
      <c r="Q1935" s="5" t="s">
        <v>766</v>
      </c>
      <c r="R1935" s="15">
        <v>710000000</v>
      </c>
      <c r="S1935" s="5">
        <v>30</v>
      </c>
    </row>
    <row r="1936" spans="1:19" s="26" customFormat="1" ht="63.75">
      <c r="A1936" s="5">
        <v>1921</v>
      </c>
      <c r="B1936" s="5" t="s">
        <v>710</v>
      </c>
      <c r="C1936" s="42" t="s">
        <v>597</v>
      </c>
      <c r="D1936" s="118" t="s">
        <v>2594</v>
      </c>
      <c r="E1936" s="5" t="s">
        <v>2618</v>
      </c>
      <c r="F1936" s="119" t="s">
        <v>2595</v>
      </c>
      <c r="G1936" s="5" t="s">
        <v>2618</v>
      </c>
      <c r="H1936" s="119" t="s">
        <v>2595</v>
      </c>
      <c r="I1936" s="5" t="s">
        <v>2650</v>
      </c>
      <c r="J1936" s="5" t="s">
        <v>2628</v>
      </c>
      <c r="K1936" s="5" t="s">
        <v>591</v>
      </c>
      <c r="L1936" s="5" t="s">
        <v>914</v>
      </c>
      <c r="M1936" s="5">
        <v>1</v>
      </c>
      <c r="N1936" s="46">
        <f t="shared" si="53"/>
        <v>2044643</v>
      </c>
      <c r="O1936" s="46">
        <v>2044643</v>
      </c>
      <c r="P1936" s="5" t="s">
        <v>515</v>
      </c>
      <c r="Q1936" s="5" t="s">
        <v>766</v>
      </c>
      <c r="R1936" s="15">
        <v>751110000</v>
      </c>
      <c r="S1936" s="5">
        <v>30</v>
      </c>
    </row>
    <row r="1937" spans="1:19" s="26" customFormat="1" ht="76.5">
      <c r="A1937" s="5">
        <v>1922</v>
      </c>
      <c r="B1937" s="5" t="s">
        <v>710</v>
      </c>
      <c r="C1937" s="42" t="s">
        <v>597</v>
      </c>
      <c r="D1937" s="11" t="s">
        <v>2630</v>
      </c>
      <c r="E1937" s="5" t="s">
        <v>517</v>
      </c>
      <c r="F1937" s="76" t="s">
        <v>2631</v>
      </c>
      <c r="G1937" s="5" t="s">
        <v>2651</v>
      </c>
      <c r="H1937" s="76" t="s">
        <v>2632</v>
      </c>
      <c r="I1937" s="5" t="s">
        <v>2652</v>
      </c>
      <c r="J1937" s="5" t="s">
        <v>2629</v>
      </c>
      <c r="K1937" s="5" t="s">
        <v>591</v>
      </c>
      <c r="L1937" s="5" t="s">
        <v>914</v>
      </c>
      <c r="M1937" s="5">
        <v>1</v>
      </c>
      <c r="N1937" s="46">
        <f t="shared" si="53"/>
        <v>0</v>
      </c>
      <c r="O1937" s="46">
        <f>13428571-13428571</f>
        <v>0</v>
      </c>
      <c r="P1937" s="5" t="s">
        <v>612</v>
      </c>
      <c r="Q1937" s="5" t="s">
        <v>766</v>
      </c>
      <c r="R1937" s="15">
        <v>751110000</v>
      </c>
      <c r="S1937" s="5">
        <v>30</v>
      </c>
    </row>
    <row r="1938" spans="1:19" s="26" customFormat="1" ht="178.5">
      <c r="A1938" s="5">
        <v>1923</v>
      </c>
      <c r="B1938" s="5" t="s">
        <v>710</v>
      </c>
      <c r="C1938" s="42" t="s">
        <v>597</v>
      </c>
      <c r="D1938" s="11" t="s">
        <v>942</v>
      </c>
      <c r="E1938" s="5" t="s">
        <v>1155</v>
      </c>
      <c r="F1938" s="76" t="s">
        <v>943</v>
      </c>
      <c r="G1938" s="5" t="s">
        <v>1969</v>
      </c>
      <c r="H1938" s="76" t="s">
        <v>944</v>
      </c>
      <c r="I1938" s="5" t="s">
        <v>2653</v>
      </c>
      <c r="J1938" s="5" t="s">
        <v>2633</v>
      </c>
      <c r="K1938" s="5" t="s">
        <v>591</v>
      </c>
      <c r="L1938" s="5" t="s">
        <v>914</v>
      </c>
      <c r="M1938" s="5">
        <v>1</v>
      </c>
      <c r="N1938" s="46">
        <f t="shared" si="53"/>
        <v>3515200</v>
      </c>
      <c r="O1938" s="46">
        <f>2246658+753342+2015200-1500000</f>
        <v>3515200</v>
      </c>
      <c r="P1938" s="5" t="s">
        <v>502</v>
      </c>
      <c r="Q1938" s="5" t="s">
        <v>766</v>
      </c>
      <c r="R1938" s="15">
        <v>751110000</v>
      </c>
      <c r="S1938" s="5">
        <v>30</v>
      </c>
    </row>
    <row r="1939" spans="1:19" s="26" customFormat="1" ht="216.75">
      <c r="A1939" s="5">
        <v>1924</v>
      </c>
      <c r="B1939" s="5" t="s">
        <v>710</v>
      </c>
      <c r="C1939" s="42" t="s">
        <v>597</v>
      </c>
      <c r="D1939" s="11" t="s">
        <v>1442</v>
      </c>
      <c r="E1939" s="5" t="s">
        <v>1963</v>
      </c>
      <c r="F1939" s="76" t="s">
        <v>1443</v>
      </c>
      <c r="G1939" s="5" t="s">
        <v>1964</v>
      </c>
      <c r="H1939" s="76" t="s">
        <v>1444</v>
      </c>
      <c r="I1939" s="5" t="s">
        <v>2654</v>
      </c>
      <c r="J1939" s="5" t="s">
        <v>2696</v>
      </c>
      <c r="K1939" s="5" t="s">
        <v>591</v>
      </c>
      <c r="L1939" s="5" t="s">
        <v>914</v>
      </c>
      <c r="M1939" s="5">
        <v>1</v>
      </c>
      <c r="N1939" s="46">
        <f t="shared" si="53"/>
        <v>0</v>
      </c>
      <c r="O1939" s="46">
        <f>9539581-9539581</f>
        <v>0</v>
      </c>
      <c r="P1939" s="5" t="s">
        <v>515</v>
      </c>
      <c r="Q1939" s="5" t="s">
        <v>766</v>
      </c>
      <c r="R1939" s="15">
        <v>710000000</v>
      </c>
      <c r="S1939" s="5">
        <v>50</v>
      </c>
    </row>
    <row r="1940" spans="1:19" s="26" customFormat="1" ht="216.75">
      <c r="A1940" s="5">
        <v>1925</v>
      </c>
      <c r="B1940" s="5" t="s">
        <v>710</v>
      </c>
      <c r="C1940" s="42" t="s">
        <v>597</v>
      </c>
      <c r="D1940" s="11" t="s">
        <v>1442</v>
      </c>
      <c r="E1940" s="5" t="s">
        <v>1963</v>
      </c>
      <c r="F1940" s="76" t="s">
        <v>1443</v>
      </c>
      <c r="G1940" s="5" t="s">
        <v>1964</v>
      </c>
      <c r="H1940" s="76" t="s">
        <v>1444</v>
      </c>
      <c r="I1940" s="5" t="s">
        <v>2654</v>
      </c>
      <c r="J1940" s="5" t="s">
        <v>2697</v>
      </c>
      <c r="K1940" s="5" t="s">
        <v>591</v>
      </c>
      <c r="L1940" s="5" t="s">
        <v>914</v>
      </c>
      <c r="M1940" s="5">
        <v>1</v>
      </c>
      <c r="N1940" s="46">
        <f t="shared" si="53"/>
        <v>0</v>
      </c>
      <c r="O1940" s="46">
        <f>9539581-9539581</f>
        <v>0</v>
      </c>
      <c r="P1940" s="5" t="s">
        <v>515</v>
      </c>
      <c r="Q1940" s="5" t="s">
        <v>766</v>
      </c>
      <c r="R1940" s="15">
        <v>751110000</v>
      </c>
      <c r="S1940" s="5">
        <v>50</v>
      </c>
    </row>
    <row r="1941" spans="1:19" s="26" customFormat="1" ht="187.5" customHeight="1">
      <c r="A1941" s="5">
        <v>1926</v>
      </c>
      <c r="B1941" s="5" t="s">
        <v>710</v>
      </c>
      <c r="C1941" s="42" t="s">
        <v>597</v>
      </c>
      <c r="D1941" s="11" t="s">
        <v>966</v>
      </c>
      <c r="E1941" s="5" t="s">
        <v>1953</v>
      </c>
      <c r="F1941" s="76" t="s">
        <v>916</v>
      </c>
      <c r="G1941" s="5" t="s">
        <v>1834</v>
      </c>
      <c r="H1941" s="76" t="s">
        <v>1498</v>
      </c>
      <c r="I1941" s="5" t="s">
        <v>2711</v>
      </c>
      <c r="J1941" s="5" t="s">
        <v>2710</v>
      </c>
      <c r="K1941" s="5" t="s">
        <v>591</v>
      </c>
      <c r="L1941" s="5" t="s">
        <v>914</v>
      </c>
      <c r="M1941" s="5">
        <v>1</v>
      </c>
      <c r="N1941" s="46">
        <f t="shared" si="53"/>
        <v>3800000</v>
      </c>
      <c r="O1941" s="46">
        <f>7600000-3800000</f>
        <v>3800000</v>
      </c>
      <c r="P1941" s="5" t="s">
        <v>515</v>
      </c>
      <c r="Q1941" s="5" t="s">
        <v>766</v>
      </c>
      <c r="R1941" s="15">
        <v>751110000</v>
      </c>
      <c r="S1941" s="5">
        <v>30</v>
      </c>
    </row>
    <row r="1942" spans="1:19" s="26" customFormat="1" ht="99.75" customHeight="1">
      <c r="A1942" s="5">
        <v>1927</v>
      </c>
      <c r="B1942" s="5" t="s">
        <v>710</v>
      </c>
      <c r="C1942" s="42" t="s">
        <v>597</v>
      </c>
      <c r="D1942" s="11" t="s">
        <v>2714</v>
      </c>
      <c r="E1942" s="5" t="s">
        <v>2717</v>
      </c>
      <c r="F1942" s="76" t="s">
        <v>2716</v>
      </c>
      <c r="G1942" s="5" t="s">
        <v>2717</v>
      </c>
      <c r="H1942" s="76" t="s">
        <v>2715</v>
      </c>
      <c r="I1942" s="5" t="s">
        <v>2656</v>
      </c>
      <c r="J1942" s="5" t="s">
        <v>2634</v>
      </c>
      <c r="K1942" s="5" t="s">
        <v>591</v>
      </c>
      <c r="L1942" s="5" t="s">
        <v>914</v>
      </c>
      <c r="M1942" s="5">
        <v>1</v>
      </c>
      <c r="N1942" s="46">
        <f t="shared" si="53"/>
        <v>23394648</v>
      </c>
      <c r="O1942" s="46">
        <v>23394648</v>
      </c>
      <c r="P1942" s="5" t="s">
        <v>515</v>
      </c>
      <c r="Q1942" s="5" t="s">
        <v>766</v>
      </c>
      <c r="R1942" s="15">
        <v>751110000</v>
      </c>
      <c r="S1942" s="5">
        <v>50</v>
      </c>
    </row>
    <row r="1943" spans="1:19" s="26" customFormat="1" ht="237" customHeight="1">
      <c r="A1943" s="5">
        <v>1928</v>
      </c>
      <c r="B1943" s="5" t="s">
        <v>710</v>
      </c>
      <c r="C1943" s="42" t="s">
        <v>597</v>
      </c>
      <c r="D1943" s="11" t="s">
        <v>2635</v>
      </c>
      <c r="E1943" s="5" t="s">
        <v>2658</v>
      </c>
      <c r="F1943" s="5" t="s">
        <v>2636</v>
      </c>
      <c r="G1943" s="5" t="s">
        <v>2658</v>
      </c>
      <c r="H1943" s="5" t="s">
        <v>2636</v>
      </c>
      <c r="I1943" s="5" t="s">
        <v>2657</v>
      </c>
      <c r="J1943" s="5" t="s">
        <v>2712</v>
      </c>
      <c r="K1943" s="5" t="s">
        <v>591</v>
      </c>
      <c r="L1943" s="5" t="s">
        <v>914</v>
      </c>
      <c r="M1943" s="5">
        <v>1</v>
      </c>
      <c r="N1943" s="46">
        <f t="shared" si="53"/>
        <v>4573007</v>
      </c>
      <c r="O1943" s="46">
        <f>9146014-4573007</f>
        <v>4573007</v>
      </c>
      <c r="P1943" s="5" t="s">
        <v>515</v>
      </c>
      <c r="Q1943" s="5" t="s">
        <v>766</v>
      </c>
      <c r="R1943" s="15">
        <v>751110000</v>
      </c>
      <c r="S1943" s="5">
        <v>30</v>
      </c>
    </row>
    <row r="1944" spans="1:19" s="26" customFormat="1" ht="115.5" customHeight="1">
      <c r="A1944" s="5">
        <v>1929</v>
      </c>
      <c r="B1944" s="5" t="s">
        <v>710</v>
      </c>
      <c r="C1944" s="42" t="s">
        <v>597</v>
      </c>
      <c r="D1944" s="77" t="s">
        <v>2587</v>
      </c>
      <c r="E1944" s="78" t="s">
        <v>2613</v>
      </c>
      <c r="F1944" s="57" t="s">
        <v>2588</v>
      </c>
      <c r="G1944" s="5" t="s">
        <v>2613</v>
      </c>
      <c r="H1944" s="57" t="s">
        <v>2588</v>
      </c>
      <c r="I1944" s="5" t="s">
        <v>2615</v>
      </c>
      <c r="J1944" s="5" t="s">
        <v>2589</v>
      </c>
      <c r="K1944" s="5" t="s">
        <v>591</v>
      </c>
      <c r="L1944" s="5" t="s">
        <v>914</v>
      </c>
      <c r="M1944" s="5">
        <v>1</v>
      </c>
      <c r="N1944" s="46">
        <f t="shared" si="53"/>
        <v>3108929</v>
      </c>
      <c r="O1944" s="46">
        <v>3108929</v>
      </c>
      <c r="P1944" s="5" t="s">
        <v>515</v>
      </c>
      <c r="Q1944" s="5" t="s">
        <v>766</v>
      </c>
      <c r="R1944" s="110">
        <v>751110000</v>
      </c>
      <c r="S1944" s="5">
        <v>50</v>
      </c>
    </row>
    <row r="1945" spans="1:19" s="26" customFormat="1" ht="108.75" customHeight="1">
      <c r="A1945" s="5">
        <v>1930</v>
      </c>
      <c r="B1945" s="5" t="s">
        <v>710</v>
      </c>
      <c r="C1945" s="42" t="s">
        <v>597</v>
      </c>
      <c r="D1945" s="80" t="s">
        <v>2637</v>
      </c>
      <c r="E1945" s="5" t="s">
        <v>2640</v>
      </c>
      <c r="F1945" s="81" t="s">
        <v>2638</v>
      </c>
      <c r="G1945" s="5" t="s">
        <v>2641</v>
      </c>
      <c r="H1945" s="57" t="s">
        <v>2639</v>
      </c>
      <c r="I1945" s="5" t="s">
        <v>2616</v>
      </c>
      <c r="J1945" s="5" t="s">
        <v>2591</v>
      </c>
      <c r="K1945" s="5" t="s">
        <v>591</v>
      </c>
      <c r="L1945" s="5" t="s">
        <v>914</v>
      </c>
      <c r="M1945" s="5">
        <v>1</v>
      </c>
      <c r="N1945" s="46">
        <f t="shared" si="53"/>
        <v>3128571</v>
      </c>
      <c r="O1945" s="82">
        <v>3128571</v>
      </c>
      <c r="P1945" s="5" t="s">
        <v>515</v>
      </c>
      <c r="Q1945" s="5" t="s">
        <v>766</v>
      </c>
      <c r="R1945" s="110">
        <v>751110000</v>
      </c>
      <c r="S1945" s="5">
        <v>50</v>
      </c>
    </row>
    <row r="1946" spans="1:19" s="26" customFormat="1" ht="108.75" customHeight="1">
      <c r="A1946" s="5">
        <v>1931</v>
      </c>
      <c r="B1946" s="5" t="s">
        <v>710</v>
      </c>
      <c r="C1946" s="42" t="s">
        <v>597</v>
      </c>
      <c r="D1946" s="80" t="s">
        <v>2637</v>
      </c>
      <c r="E1946" s="5" t="s">
        <v>2640</v>
      </c>
      <c r="F1946" s="81" t="s">
        <v>2638</v>
      </c>
      <c r="G1946" s="5" t="s">
        <v>2641</v>
      </c>
      <c r="H1946" s="57" t="s">
        <v>2639</v>
      </c>
      <c r="I1946" s="5" t="s">
        <v>2616</v>
      </c>
      <c r="J1946" s="5" t="s">
        <v>2591</v>
      </c>
      <c r="K1946" s="5" t="s">
        <v>591</v>
      </c>
      <c r="L1946" s="5" t="s">
        <v>914</v>
      </c>
      <c r="M1946" s="5">
        <v>1</v>
      </c>
      <c r="N1946" s="46">
        <f t="shared" si="53"/>
        <v>1785714</v>
      </c>
      <c r="O1946" s="82">
        <v>1785714</v>
      </c>
      <c r="P1946" s="5" t="s">
        <v>515</v>
      </c>
      <c r="Q1946" s="5" t="s">
        <v>766</v>
      </c>
      <c r="R1946" s="110">
        <v>751710000</v>
      </c>
      <c r="S1946" s="5">
        <v>50</v>
      </c>
    </row>
    <row r="1947" spans="1:19" s="26" customFormat="1" ht="98.25" customHeight="1">
      <c r="A1947" s="5">
        <v>1932</v>
      </c>
      <c r="B1947" s="5" t="s">
        <v>710</v>
      </c>
      <c r="C1947" s="42" t="s">
        <v>597</v>
      </c>
      <c r="D1947" s="77" t="s">
        <v>2590</v>
      </c>
      <c r="E1947" s="78" t="s">
        <v>2643</v>
      </c>
      <c r="F1947" s="57" t="s">
        <v>2642</v>
      </c>
      <c r="G1947" s="5" t="s">
        <v>2614</v>
      </c>
      <c r="H1947" s="57" t="s">
        <v>2644</v>
      </c>
      <c r="I1947" s="5" t="s">
        <v>2646</v>
      </c>
      <c r="J1947" s="5" t="s">
        <v>2645</v>
      </c>
      <c r="K1947" s="5" t="s">
        <v>591</v>
      </c>
      <c r="L1947" s="5" t="s">
        <v>914</v>
      </c>
      <c r="M1947" s="5">
        <v>1</v>
      </c>
      <c r="N1947" s="46">
        <f t="shared" si="53"/>
        <v>3128571</v>
      </c>
      <c r="O1947" s="82">
        <v>3128571</v>
      </c>
      <c r="P1947" s="5" t="s">
        <v>515</v>
      </c>
      <c r="Q1947" s="5" t="s">
        <v>766</v>
      </c>
      <c r="R1947" s="110">
        <v>751110000</v>
      </c>
      <c r="S1947" s="5">
        <v>50</v>
      </c>
    </row>
    <row r="1948" spans="1:19" s="26" customFormat="1" ht="102" customHeight="1">
      <c r="A1948" s="5">
        <v>1933</v>
      </c>
      <c r="B1948" s="5" t="s">
        <v>710</v>
      </c>
      <c r="C1948" s="42" t="s">
        <v>597</v>
      </c>
      <c r="D1948" s="77" t="s">
        <v>2416</v>
      </c>
      <c r="E1948" s="78" t="s">
        <v>2417</v>
      </c>
      <c r="F1948" s="57" t="s">
        <v>2418</v>
      </c>
      <c r="G1948" s="5" t="s">
        <v>2419</v>
      </c>
      <c r="H1948" s="57" t="s">
        <v>2420</v>
      </c>
      <c r="I1948" s="5" t="s">
        <v>2616</v>
      </c>
      <c r="J1948" s="5" t="s">
        <v>2592</v>
      </c>
      <c r="K1948" s="5" t="s">
        <v>591</v>
      </c>
      <c r="L1948" s="5" t="s">
        <v>914</v>
      </c>
      <c r="M1948" s="5">
        <v>1</v>
      </c>
      <c r="N1948" s="46">
        <f t="shared" si="53"/>
        <v>2858929</v>
      </c>
      <c r="O1948" s="82">
        <v>2858929</v>
      </c>
      <c r="P1948" s="5" t="s">
        <v>515</v>
      </c>
      <c r="Q1948" s="5" t="s">
        <v>766</v>
      </c>
      <c r="R1948" s="110">
        <v>751110000</v>
      </c>
      <c r="S1948" s="5">
        <v>50</v>
      </c>
    </row>
    <row r="1949" spans="1:19" s="26" customFormat="1" ht="102" customHeight="1">
      <c r="A1949" s="5">
        <v>1934</v>
      </c>
      <c r="B1949" s="5" t="s">
        <v>710</v>
      </c>
      <c r="C1949" s="42" t="s">
        <v>597</v>
      </c>
      <c r="D1949" s="77" t="s">
        <v>2416</v>
      </c>
      <c r="E1949" s="78" t="s">
        <v>2417</v>
      </c>
      <c r="F1949" s="57" t="s">
        <v>2418</v>
      </c>
      <c r="G1949" s="5" t="s">
        <v>2419</v>
      </c>
      <c r="H1949" s="57" t="s">
        <v>2420</v>
      </c>
      <c r="I1949" s="5" t="s">
        <v>2617</v>
      </c>
      <c r="J1949" s="5" t="s">
        <v>2593</v>
      </c>
      <c r="K1949" s="5" t="s">
        <v>591</v>
      </c>
      <c r="L1949" s="5" t="s">
        <v>914</v>
      </c>
      <c r="M1949" s="5">
        <v>1</v>
      </c>
      <c r="N1949" s="46">
        <f t="shared" si="53"/>
        <v>1607143</v>
      </c>
      <c r="O1949" s="82">
        <v>1607143</v>
      </c>
      <c r="P1949" s="5" t="s">
        <v>515</v>
      </c>
      <c r="Q1949" s="5" t="s">
        <v>766</v>
      </c>
      <c r="R1949" s="110">
        <v>751710000</v>
      </c>
      <c r="S1949" s="5">
        <v>50</v>
      </c>
    </row>
    <row r="1950" spans="1:19" s="26" customFormat="1" ht="51">
      <c r="A1950" s="5">
        <v>1935</v>
      </c>
      <c r="B1950" s="5" t="s">
        <v>710</v>
      </c>
      <c r="C1950" s="42" t="s">
        <v>597</v>
      </c>
      <c r="D1950" s="120" t="s">
        <v>2594</v>
      </c>
      <c r="E1950" s="5" t="s">
        <v>2618</v>
      </c>
      <c r="F1950" s="121" t="s">
        <v>2595</v>
      </c>
      <c r="G1950" s="5" t="s">
        <v>2618</v>
      </c>
      <c r="H1950" s="121" t="s">
        <v>2595</v>
      </c>
      <c r="I1950" s="5" t="s">
        <v>2619</v>
      </c>
      <c r="J1950" s="5" t="s">
        <v>2596</v>
      </c>
      <c r="K1950" s="5" t="s">
        <v>591</v>
      </c>
      <c r="L1950" s="5" t="s">
        <v>914</v>
      </c>
      <c r="M1950" s="5">
        <v>1</v>
      </c>
      <c r="N1950" s="46">
        <f t="shared" si="53"/>
        <v>1300000</v>
      </c>
      <c r="O1950" s="46">
        <v>1300000</v>
      </c>
      <c r="P1950" s="5" t="s">
        <v>515</v>
      </c>
      <c r="Q1950" s="5" t="s">
        <v>766</v>
      </c>
      <c r="R1950" s="110">
        <v>751710000</v>
      </c>
      <c r="S1950" s="5">
        <v>50</v>
      </c>
    </row>
    <row r="1951" spans="1:19" s="26" customFormat="1" ht="51">
      <c r="A1951" s="5">
        <v>1936</v>
      </c>
      <c r="B1951" s="5" t="s">
        <v>710</v>
      </c>
      <c r="C1951" s="42" t="s">
        <v>597</v>
      </c>
      <c r="D1951" s="120" t="s">
        <v>2594</v>
      </c>
      <c r="E1951" s="5" t="s">
        <v>2618</v>
      </c>
      <c r="F1951" s="121" t="s">
        <v>2595</v>
      </c>
      <c r="G1951" s="5" t="s">
        <v>2618</v>
      </c>
      <c r="H1951" s="121" t="s">
        <v>2595</v>
      </c>
      <c r="I1951" s="5" t="s">
        <v>2619</v>
      </c>
      <c r="J1951" s="5" t="s">
        <v>2596</v>
      </c>
      <c r="K1951" s="5" t="s">
        <v>591</v>
      </c>
      <c r="L1951" s="5" t="s">
        <v>914</v>
      </c>
      <c r="M1951" s="5">
        <v>1</v>
      </c>
      <c r="N1951" s="46">
        <f t="shared" si="53"/>
        <v>1157143</v>
      </c>
      <c r="O1951" s="46">
        <v>1157143</v>
      </c>
      <c r="P1951" s="5" t="s">
        <v>515</v>
      </c>
      <c r="Q1951" s="5" t="s">
        <v>766</v>
      </c>
      <c r="R1951" s="122" t="s">
        <v>2597</v>
      </c>
      <c r="S1951" s="5">
        <v>50</v>
      </c>
    </row>
    <row r="1952" spans="1:19" s="26" customFormat="1" ht="51">
      <c r="A1952" s="5">
        <v>1937</v>
      </c>
      <c r="B1952" s="5" t="s">
        <v>710</v>
      </c>
      <c r="C1952" s="42" t="s">
        <v>597</v>
      </c>
      <c r="D1952" s="120" t="s">
        <v>2594</v>
      </c>
      <c r="E1952" s="5" t="s">
        <v>2618</v>
      </c>
      <c r="F1952" s="121" t="s">
        <v>2595</v>
      </c>
      <c r="G1952" s="5" t="s">
        <v>2618</v>
      </c>
      <c r="H1952" s="121" t="s">
        <v>2595</v>
      </c>
      <c r="I1952" s="5" t="s">
        <v>2619</v>
      </c>
      <c r="J1952" s="5" t="s">
        <v>2596</v>
      </c>
      <c r="K1952" s="5" t="s">
        <v>591</v>
      </c>
      <c r="L1952" s="5" t="s">
        <v>914</v>
      </c>
      <c r="M1952" s="5">
        <v>1</v>
      </c>
      <c r="N1952" s="46">
        <f t="shared" si="53"/>
        <v>1157143</v>
      </c>
      <c r="O1952" s="46">
        <v>1157143</v>
      </c>
      <c r="P1952" s="5" t="s">
        <v>515</v>
      </c>
      <c r="Q1952" s="5" t="s">
        <v>766</v>
      </c>
      <c r="R1952" s="110">
        <v>391000000</v>
      </c>
      <c r="S1952" s="5">
        <v>50</v>
      </c>
    </row>
    <row r="1953" spans="1:19" s="26" customFormat="1" ht="51">
      <c r="A1953" s="5">
        <v>1938</v>
      </c>
      <c r="B1953" s="5" t="s">
        <v>710</v>
      </c>
      <c r="C1953" s="42" t="s">
        <v>597</v>
      </c>
      <c r="D1953" s="120" t="s">
        <v>2594</v>
      </c>
      <c r="E1953" s="5" t="s">
        <v>2618</v>
      </c>
      <c r="F1953" s="121" t="s">
        <v>2595</v>
      </c>
      <c r="G1953" s="5" t="s">
        <v>2618</v>
      </c>
      <c r="H1953" s="121" t="s">
        <v>2595</v>
      </c>
      <c r="I1953" s="5" t="s">
        <v>2619</v>
      </c>
      <c r="J1953" s="5" t="s">
        <v>2596</v>
      </c>
      <c r="K1953" s="5" t="s">
        <v>591</v>
      </c>
      <c r="L1953" s="5" t="s">
        <v>914</v>
      </c>
      <c r="M1953" s="5">
        <v>1</v>
      </c>
      <c r="N1953" s="46">
        <f t="shared" si="53"/>
        <v>1157143</v>
      </c>
      <c r="O1953" s="46">
        <v>1157143</v>
      </c>
      <c r="P1953" s="5" t="s">
        <v>515</v>
      </c>
      <c r="Q1953" s="5" t="s">
        <v>766</v>
      </c>
      <c r="R1953" s="122" t="s">
        <v>2024</v>
      </c>
      <c r="S1953" s="5">
        <v>50</v>
      </c>
    </row>
    <row r="1954" spans="1:19" s="26" customFormat="1" ht="51">
      <c r="A1954" s="5">
        <v>1939</v>
      </c>
      <c r="B1954" s="5" t="s">
        <v>710</v>
      </c>
      <c r="C1954" s="42" t="s">
        <v>597</v>
      </c>
      <c r="D1954" s="120" t="s">
        <v>2594</v>
      </c>
      <c r="E1954" s="5" t="s">
        <v>2618</v>
      </c>
      <c r="F1954" s="121" t="s">
        <v>2595</v>
      </c>
      <c r="G1954" s="5" t="s">
        <v>2618</v>
      </c>
      <c r="H1954" s="121" t="s">
        <v>2595</v>
      </c>
      <c r="I1954" s="5" t="s">
        <v>2619</v>
      </c>
      <c r="J1954" s="5" t="s">
        <v>2596</v>
      </c>
      <c r="K1954" s="5" t="s">
        <v>591</v>
      </c>
      <c r="L1954" s="5" t="s">
        <v>914</v>
      </c>
      <c r="M1954" s="5">
        <v>1</v>
      </c>
      <c r="N1954" s="46">
        <f t="shared" si="53"/>
        <v>1157143</v>
      </c>
      <c r="O1954" s="46">
        <v>1157143</v>
      </c>
      <c r="P1954" s="5" t="s">
        <v>515</v>
      </c>
      <c r="Q1954" s="5" t="s">
        <v>766</v>
      </c>
      <c r="R1954" s="122" t="s">
        <v>902</v>
      </c>
      <c r="S1954" s="5">
        <v>50</v>
      </c>
    </row>
    <row r="1955" spans="1:19" s="26" customFormat="1" ht="51">
      <c r="A1955" s="5">
        <v>1940</v>
      </c>
      <c r="B1955" s="5" t="s">
        <v>710</v>
      </c>
      <c r="C1955" s="42" t="s">
        <v>597</v>
      </c>
      <c r="D1955" s="120" t="s">
        <v>2594</v>
      </c>
      <c r="E1955" s="5" t="s">
        <v>2618</v>
      </c>
      <c r="F1955" s="121" t="s">
        <v>2595</v>
      </c>
      <c r="G1955" s="5" t="s">
        <v>2618</v>
      </c>
      <c r="H1955" s="121" t="s">
        <v>2595</v>
      </c>
      <c r="I1955" s="5" t="s">
        <v>2619</v>
      </c>
      <c r="J1955" s="5" t="s">
        <v>2596</v>
      </c>
      <c r="K1955" s="5" t="s">
        <v>591</v>
      </c>
      <c r="L1955" s="5" t="s">
        <v>914</v>
      </c>
      <c r="M1955" s="5">
        <v>1</v>
      </c>
      <c r="N1955" s="46">
        <f t="shared" si="53"/>
        <v>1157143</v>
      </c>
      <c r="O1955" s="46">
        <v>1157143</v>
      </c>
      <c r="P1955" s="5" t="s">
        <v>515</v>
      </c>
      <c r="Q1955" s="5" t="s">
        <v>766</v>
      </c>
      <c r="R1955" s="110">
        <v>111000000</v>
      </c>
      <c r="S1955" s="5">
        <v>50</v>
      </c>
    </row>
    <row r="1956" spans="1:19" s="26" customFormat="1" ht="51">
      <c r="A1956" s="5">
        <v>1941</v>
      </c>
      <c r="B1956" s="5" t="s">
        <v>710</v>
      </c>
      <c r="C1956" s="42" t="s">
        <v>597</v>
      </c>
      <c r="D1956" s="120" t="s">
        <v>2594</v>
      </c>
      <c r="E1956" s="5" t="s">
        <v>2618</v>
      </c>
      <c r="F1956" s="121" t="s">
        <v>2595</v>
      </c>
      <c r="G1956" s="5" t="s">
        <v>2618</v>
      </c>
      <c r="H1956" s="121" t="s">
        <v>2595</v>
      </c>
      <c r="I1956" s="5" t="s">
        <v>2619</v>
      </c>
      <c r="J1956" s="5" t="s">
        <v>2596</v>
      </c>
      <c r="K1956" s="5" t="s">
        <v>591</v>
      </c>
      <c r="L1956" s="5" t="s">
        <v>914</v>
      </c>
      <c r="M1956" s="5">
        <v>1</v>
      </c>
      <c r="N1956" s="46">
        <f t="shared" si="53"/>
        <v>1157143</v>
      </c>
      <c r="O1956" s="46">
        <v>1157143</v>
      </c>
      <c r="P1956" s="5" t="s">
        <v>515</v>
      </c>
      <c r="Q1956" s="5" t="s">
        <v>766</v>
      </c>
      <c r="R1956" s="110">
        <v>591000000</v>
      </c>
      <c r="S1956" s="5">
        <v>50</v>
      </c>
    </row>
    <row r="1957" spans="1:19" s="26" customFormat="1" ht="51">
      <c r="A1957" s="5">
        <v>1942</v>
      </c>
      <c r="B1957" s="5" t="s">
        <v>710</v>
      </c>
      <c r="C1957" s="42" t="s">
        <v>597</v>
      </c>
      <c r="D1957" s="120" t="s">
        <v>2594</v>
      </c>
      <c r="E1957" s="5" t="s">
        <v>2618</v>
      </c>
      <c r="F1957" s="121" t="s">
        <v>2595</v>
      </c>
      <c r="G1957" s="5" t="s">
        <v>2618</v>
      </c>
      <c r="H1957" s="121" t="s">
        <v>2595</v>
      </c>
      <c r="I1957" s="5" t="s">
        <v>2619</v>
      </c>
      <c r="J1957" s="5" t="s">
        <v>2596</v>
      </c>
      <c r="K1957" s="57" t="s">
        <v>591</v>
      </c>
      <c r="L1957" s="5" t="s">
        <v>914</v>
      </c>
      <c r="M1957" s="5">
        <v>1</v>
      </c>
      <c r="N1957" s="46">
        <f t="shared" si="53"/>
        <v>1157143</v>
      </c>
      <c r="O1957" s="46">
        <v>1157143</v>
      </c>
      <c r="P1957" s="5" t="s">
        <v>515</v>
      </c>
      <c r="Q1957" s="5" t="s">
        <v>766</v>
      </c>
      <c r="R1957" s="122" t="s">
        <v>2514</v>
      </c>
      <c r="S1957" s="5">
        <v>50</v>
      </c>
    </row>
    <row r="1958" spans="1:19" s="26" customFormat="1" ht="51">
      <c r="A1958" s="5">
        <v>1943</v>
      </c>
      <c r="B1958" s="5" t="s">
        <v>710</v>
      </c>
      <c r="C1958" s="42" t="s">
        <v>597</v>
      </c>
      <c r="D1958" s="120" t="s">
        <v>2594</v>
      </c>
      <c r="E1958" s="5" t="s">
        <v>2618</v>
      </c>
      <c r="F1958" s="121" t="s">
        <v>2595</v>
      </c>
      <c r="G1958" s="5" t="s">
        <v>2618</v>
      </c>
      <c r="H1958" s="121" t="s">
        <v>2595</v>
      </c>
      <c r="I1958" s="5" t="s">
        <v>2619</v>
      </c>
      <c r="J1958" s="5" t="s">
        <v>2596</v>
      </c>
      <c r="K1958" s="57" t="s">
        <v>591</v>
      </c>
      <c r="L1958" s="5" t="s">
        <v>914</v>
      </c>
      <c r="M1958" s="5">
        <v>1</v>
      </c>
      <c r="N1958" s="46">
        <f t="shared" si="53"/>
        <v>1157143</v>
      </c>
      <c r="O1958" s="46">
        <v>1157143</v>
      </c>
      <c r="P1958" s="5" t="s">
        <v>515</v>
      </c>
      <c r="Q1958" s="5" t="s">
        <v>766</v>
      </c>
      <c r="R1958" s="122">
        <v>231000000</v>
      </c>
      <c r="S1958" s="5">
        <v>50</v>
      </c>
    </row>
    <row r="1959" spans="1:19" s="26" customFormat="1" ht="51">
      <c r="A1959" s="5">
        <v>1944</v>
      </c>
      <c r="B1959" s="5" t="s">
        <v>710</v>
      </c>
      <c r="C1959" s="42" t="s">
        <v>597</v>
      </c>
      <c r="D1959" s="120" t="s">
        <v>2594</v>
      </c>
      <c r="E1959" s="5" t="s">
        <v>2618</v>
      </c>
      <c r="F1959" s="121" t="s">
        <v>2595</v>
      </c>
      <c r="G1959" s="5" t="s">
        <v>2618</v>
      </c>
      <c r="H1959" s="121" t="s">
        <v>2595</v>
      </c>
      <c r="I1959" s="5" t="s">
        <v>2619</v>
      </c>
      <c r="J1959" s="5" t="s">
        <v>2596</v>
      </c>
      <c r="K1959" s="57" t="s">
        <v>591</v>
      </c>
      <c r="L1959" s="5" t="s">
        <v>914</v>
      </c>
      <c r="M1959" s="5">
        <v>1</v>
      </c>
      <c r="N1959" s="46">
        <f t="shared" si="53"/>
        <v>1157143</v>
      </c>
      <c r="O1959" s="46">
        <v>1157143</v>
      </c>
      <c r="P1959" s="5" t="s">
        <v>515</v>
      </c>
      <c r="Q1959" s="5" t="s">
        <v>766</v>
      </c>
      <c r="R1959" s="122" t="s">
        <v>2029</v>
      </c>
      <c r="S1959" s="5">
        <v>50</v>
      </c>
    </row>
    <row r="1960" spans="1:19" s="26" customFormat="1" ht="51">
      <c r="A1960" s="5">
        <v>1945</v>
      </c>
      <c r="B1960" s="5" t="s">
        <v>710</v>
      </c>
      <c r="C1960" s="42" t="s">
        <v>597</v>
      </c>
      <c r="D1960" s="120" t="s">
        <v>2594</v>
      </c>
      <c r="E1960" s="5" t="s">
        <v>2618</v>
      </c>
      <c r="F1960" s="121" t="s">
        <v>2595</v>
      </c>
      <c r="G1960" s="5" t="s">
        <v>2618</v>
      </c>
      <c r="H1960" s="121" t="s">
        <v>2595</v>
      </c>
      <c r="I1960" s="5" t="s">
        <v>2619</v>
      </c>
      <c r="J1960" s="5" t="s">
        <v>2596</v>
      </c>
      <c r="K1960" s="57" t="s">
        <v>591</v>
      </c>
      <c r="L1960" s="5" t="s">
        <v>914</v>
      </c>
      <c r="M1960" s="5">
        <v>1</v>
      </c>
      <c r="N1960" s="46">
        <f t="shared" si="53"/>
        <v>1157143</v>
      </c>
      <c r="O1960" s="46">
        <v>1157143</v>
      </c>
      <c r="P1960" s="5" t="s">
        <v>515</v>
      </c>
      <c r="Q1960" s="5" t="s">
        <v>766</v>
      </c>
      <c r="R1960" s="122" t="s">
        <v>2507</v>
      </c>
      <c r="S1960" s="5">
        <v>50</v>
      </c>
    </row>
    <row r="1961" spans="1:19" s="26" customFormat="1" ht="51">
      <c r="A1961" s="5">
        <v>1946</v>
      </c>
      <c r="B1961" s="5" t="s">
        <v>710</v>
      </c>
      <c r="C1961" s="42" t="s">
        <v>597</v>
      </c>
      <c r="D1961" s="120" t="s">
        <v>2594</v>
      </c>
      <c r="E1961" s="5" t="s">
        <v>2618</v>
      </c>
      <c r="F1961" s="121" t="s">
        <v>2595</v>
      </c>
      <c r="G1961" s="5" t="s">
        <v>2618</v>
      </c>
      <c r="H1961" s="121" t="s">
        <v>2595</v>
      </c>
      <c r="I1961" s="5" t="s">
        <v>2619</v>
      </c>
      <c r="J1961" s="5" t="s">
        <v>2596</v>
      </c>
      <c r="K1961" s="57" t="s">
        <v>591</v>
      </c>
      <c r="L1961" s="5" t="s">
        <v>914</v>
      </c>
      <c r="M1961" s="5">
        <v>1</v>
      </c>
      <c r="N1961" s="46">
        <f t="shared" si="53"/>
        <v>2314286</v>
      </c>
      <c r="O1961" s="46">
        <v>2314286</v>
      </c>
      <c r="P1961" s="5" t="s">
        <v>515</v>
      </c>
      <c r="Q1961" s="5" t="s">
        <v>766</v>
      </c>
      <c r="R1961" s="110">
        <v>631000000</v>
      </c>
      <c r="S1961" s="5">
        <v>50</v>
      </c>
    </row>
    <row r="1962" spans="1:19" s="26" customFormat="1" ht="51">
      <c r="A1962" s="5">
        <v>1947</v>
      </c>
      <c r="B1962" s="5" t="s">
        <v>710</v>
      </c>
      <c r="C1962" s="42" t="s">
        <v>597</v>
      </c>
      <c r="D1962" s="120" t="s">
        <v>2594</v>
      </c>
      <c r="E1962" s="5" t="s">
        <v>2618</v>
      </c>
      <c r="F1962" s="121" t="s">
        <v>2595</v>
      </c>
      <c r="G1962" s="5" t="s">
        <v>2618</v>
      </c>
      <c r="H1962" s="121" t="s">
        <v>2595</v>
      </c>
      <c r="I1962" s="5" t="s">
        <v>2619</v>
      </c>
      <c r="J1962" s="5" t="s">
        <v>2596</v>
      </c>
      <c r="K1962" s="57" t="s">
        <v>591</v>
      </c>
      <c r="L1962" s="5" t="s">
        <v>914</v>
      </c>
      <c r="M1962" s="5">
        <v>1</v>
      </c>
      <c r="N1962" s="46">
        <f t="shared" si="53"/>
        <v>1157143</v>
      </c>
      <c r="O1962" s="46">
        <v>1157143</v>
      </c>
      <c r="P1962" s="5" t="s">
        <v>515</v>
      </c>
      <c r="Q1962" s="5" t="s">
        <v>766</v>
      </c>
      <c r="R1962" s="122" t="s">
        <v>715</v>
      </c>
      <c r="S1962" s="5">
        <v>50</v>
      </c>
    </row>
    <row r="1963" spans="1:19" s="26" customFormat="1" ht="63.75">
      <c r="A1963" s="5">
        <v>1948</v>
      </c>
      <c r="B1963" s="5" t="s">
        <v>710</v>
      </c>
      <c r="C1963" s="42" t="s">
        <v>597</v>
      </c>
      <c r="D1963" s="77" t="s">
        <v>2598</v>
      </c>
      <c r="E1963" s="57" t="s">
        <v>2620</v>
      </c>
      <c r="F1963" s="57" t="s">
        <v>2621</v>
      </c>
      <c r="G1963" s="57" t="s">
        <v>2622</v>
      </c>
      <c r="H1963" s="57" t="s">
        <v>2623</v>
      </c>
      <c r="I1963" s="5" t="s">
        <v>2624</v>
      </c>
      <c r="J1963" s="5" t="s">
        <v>2599</v>
      </c>
      <c r="K1963" s="57" t="s">
        <v>591</v>
      </c>
      <c r="L1963" s="5" t="s">
        <v>914</v>
      </c>
      <c r="M1963" s="5">
        <v>1</v>
      </c>
      <c r="N1963" s="46">
        <f t="shared" si="53"/>
        <v>892857</v>
      </c>
      <c r="O1963" s="46">
        <v>892857</v>
      </c>
      <c r="P1963" s="5" t="s">
        <v>502</v>
      </c>
      <c r="Q1963" s="5" t="s">
        <v>3281</v>
      </c>
      <c r="R1963" s="110">
        <v>751110000</v>
      </c>
      <c r="S1963" s="5">
        <v>50</v>
      </c>
    </row>
    <row r="1964" spans="1:19" s="26" customFormat="1" ht="63.75">
      <c r="A1964" s="5">
        <v>1949</v>
      </c>
      <c r="B1964" s="5" t="s">
        <v>710</v>
      </c>
      <c r="C1964" s="42" t="s">
        <v>597</v>
      </c>
      <c r="D1964" s="77" t="s">
        <v>1934</v>
      </c>
      <c r="E1964" s="5" t="s">
        <v>508</v>
      </c>
      <c r="F1964" s="57" t="s">
        <v>509</v>
      </c>
      <c r="G1964" s="5" t="s">
        <v>1935</v>
      </c>
      <c r="H1964" s="57" t="s">
        <v>1041</v>
      </c>
      <c r="I1964" s="5" t="s">
        <v>2625</v>
      </c>
      <c r="J1964" s="5" t="s">
        <v>2600</v>
      </c>
      <c r="K1964" s="57" t="s">
        <v>591</v>
      </c>
      <c r="L1964" s="5" t="s">
        <v>914</v>
      </c>
      <c r="M1964" s="5">
        <v>1</v>
      </c>
      <c r="N1964" s="46">
        <f t="shared" si="53"/>
        <v>2901786</v>
      </c>
      <c r="O1964" s="46">
        <v>2901786</v>
      </c>
      <c r="P1964" s="5" t="s">
        <v>515</v>
      </c>
      <c r="Q1964" s="5" t="s">
        <v>766</v>
      </c>
      <c r="R1964" s="110">
        <v>751110000</v>
      </c>
      <c r="S1964" s="5">
        <v>50</v>
      </c>
    </row>
    <row r="1965" spans="1:19" s="26" customFormat="1" ht="63.75">
      <c r="A1965" s="5">
        <v>1950</v>
      </c>
      <c r="B1965" s="5" t="s">
        <v>710</v>
      </c>
      <c r="C1965" s="42" t="s">
        <v>597</v>
      </c>
      <c r="D1965" s="77" t="s">
        <v>1934</v>
      </c>
      <c r="E1965" s="5" t="s">
        <v>508</v>
      </c>
      <c r="F1965" s="57" t="s">
        <v>509</v>
      </c>
      <c r="G1965" s="5" t="s">
        <v>1935</v>
      </c>
      <c r="H1965" s="57" t="s">
        <v>1041</v>
      </c>
      <c r="I1965" s="5" t="s">
        <v>2625</v>
      </c>
      <c r="J1965" s="5" t="s">
        <v>2600</v>
      </c>
      <c r="K1965" s="57" t="s">
        <v>591</v>
      </c>
      <c r="L1965" s="5" t="s">
        <v>914</v>
      </c>
      <c r="M1965" s="5">
        <v>1</v>
      </c>
      <c r="N1965" s="46">
        <f t="shared" si="53"/>
        <v>2732143</v>
      </c>
      <c r="O1965" s="46">
        <v>2732143</v>
      </c>
      <c r="P1965" s="5" t="s">
        <v>515</v>
      </c>
      <c r="Q1965" s="5" t="s">
        <v>766</v>
      </c>
      <c r="R1965" s="110">
        <v>751710000</v>
      </c>
      <c r="S1965" s="5">
        <v>50</v>
      </c>
    </row>
    <row r="1966" spans="1:19" s="26" customFormat="1" ht="76.5">
      <c r="A1966" s="5">
        <v>1951</v>
      </c>
      <c r="B1966" s="5" t="s">
        <v>710</v>
      </c>
      <c r="C1966" s="42" t="s">
        <v>597</v>
      </c>
      <c r="D1966" s="77" t="s">
        <v>2601</v>
      </c>
      <c r="E1966" s="57" t="s">
        <v>2659</v>
      </c>
      <c r="F1966" s="57" t="s">
        <v>2602</v>
      </c>
      <c r="G1966" s="5" t="s">
        <v>2660</v>
      </c>
      <c r="H1966" s="57" t="s">
        <v>2603</v>
      </c>
      <c r="I1966" s="5" t="s">
        <v>2661</v>
      </c>
      <c r="J1966" s="5" t="s">
        <v>2604</v>
      </c>
      <c r="K1966" s="57" t="s">
        <v>591</v>
      </c>
      <c r="L1966" s="5" t="s">
        <v>914</v>
      </c>
      <c r="M1966" s="5">
        <v>1</v>
      </c>
      <c r="N1966" s="46">
        <f t="shared" si="53"/>
        <v>3214285</v>
      </c>
      <c r="O1966" s="46">
        <v>3214285</v>
      </c>
      <c r="P1966" s="5" t="s">
        <v>515</v>
      </c>
      <c r="Q1966" s="5" t="s">
        <v>766</v>
      </c>
      <c r="R1966" s="110">
        <v>751110000</v>
      </c>
      <c r="S1966" s="5">
        <v>50</v>
      </c>
    </row>
    <row r="1967" spans="1:19" s="26" customFormat="1" ht="57.75" customHeight="1">
      <c r="A1967" s="5">
        <v>1952</v>
      </c>
      <c r="B1967" s="5" t="s">
        <v>710</v>
      </c>
      <c r="C1967" s="42" t="s">
        <v>597</v>
      </c>
      <c r="D1967" s="77" t="s">
        <v>2605</v>
      </c>
      <c r="E1967" s="5" t="s">
        <v>2662</v>
      </c>
      <c r="F1967" s="57" t="s">
        <v>2606</v>
      </c>
      <c r="G1967" s="5" t="s">
        <v>2663</v>
      </c>
      <c r="H1967" s="57" t="s">
        <v>2607</v>
      </c>
      <c r="I1967" s="5" t="s">
        <v>2664</v>
      </c>
      <c r="J1967" s="5" t="s">
        <v>2608</v>
      </c>
      <c r="K1967" s="57" t="s">
        <v>591</v>
      </c>
      <c r="L1967" s="5" t="s">
        <v>914</v>
      </c>
      <c r="M1967" s="5">
        <v>1</v>
      </c>
      <c r="N1967" s="46">
        <f t="shared" si="53"/>
        <v>2812500</v>
      </c>
      <c r="O1967" s="46">
        <v>2812500</v>
      </c>
      <c r="P1967" s="5" t="s">
        <v>515</v>
      </c>
      <c r="Q1967" s="5" t="s">
        <v>766</v>
      </c>
      <c r="R1967" s="110">
        <v>751710000</v>
      </c>
      <c r="S1967" s="5">
        <v>50</v>
      </c>
    </row>
    <row r="1968" spans="1:19" s="26" customFormat="1" ht="57.75" customHeight="1">
      <c r="A1968" s="5">
        <v>1953</v>
      </c>
      <c r="B1968" s="5" t="s">
        <v>710</v>
      </c>
      <c r="C1968" s="42" t="s">
        <v>597</v>
      </c>
      <c r="D1968" s="77" t="s">
        <v>2605</v>
      </c>
      <c r="E1968" s="5" t="s">
        <v>2662</v>
      </c>
      <c r="F1968" s="57" t="s">
        <v>2606</v>
      </c>
      <c r="G1968" s="5" t="s">
        <v>2663</v>
      </c>
      <c r="H1968" s="57" t="s">
        <v>2607</v>
      </c>
      <c r="I1968" s="5" t="s">
        <v>2664</v>
      </c>
      <c r="J1968" s="5" t="s">
        <v>2608</v>
      </c>
      <c r="K1968" s="57" t="s">
        <v>591</v>
      </c>
      <c r="L1968" s="5" t="s">
        <v>914</v>
      </c>
      <c r="M1968" s="5">
        <v>1</v>
      </c>
      <c r="N1968" s="46">
        <f t="shared" si="53"/>
        <v>2812500</v>
      </c>
      <c r="O1968" s="46">
        <v>2812500</v>
      </c>
      <c r="P1968" s="5" t="s">
        <v>515</v>
      </c>
      <c r="Q1968" s="5" t="s">
        <v>766</v>
      </c>
      <c r="R1968" s="110">
        <v>710000000</v>
      </c>
      <c r="S1968" s="5">
        <v>50</v>
      </c>
    </row>
    <row r="1969" spans="1:19" s="26" customFormat="1" ht="57.75" customHeight="1">
      <c r="A1969" s="5">
        <v>1954</v>
      </c>
      <c r="B1969" s="5" t="s">
        <v>710</v>
      </c>
      <c r="C1969" s="42" t="s">
        <v>597</v>
      </c>
      <c r="D1969" s="77" t="s">
        <v>2605</v>
      </c>
      <c r="E1969" s="5" t="s">
        <v>2662</v>
      </c>
      <c r="F1969" s="57" t="s">
        <v>2606</v>
      </c>
      <c r="G1969" s="5" t="s">
        <v>2663</v>
      </c>
      <c r="H1969" s="57" t="s">
        <v>2607</v>
      </c>
      <c r="I1969" s="5" t="s">
        <v>2664</v>
      </c>
      <c r="J1969" s="5" t="s">
        <v>2608</v>
      </c>
      <c r="K1969" s="57" t="s">
        <v>591</v>
      </c>
      <c r="L1969" s="5" t="s">
        <v>914</v>
      </c>
      <c r="M1969" s="5">
        <v>1</v>
      </c>
      <c r="N1969" s="46">
        <f t="shared" si="53"/>
        <v>2812500</v>
      </c>
      <c r="O1969" s="46">
        <v>2812500</v>
      </c>
      <c r="P1969" s="5" t="s">
        <v>515</v>
      </c>
      <c r="Q1969" s="5" t="s">
        <v>766</v>
      </c>
      <c r="R1969" s="110">
        <v>111000000</v>
      </c>
      <c r="S1969" s="5">
        <v>50</v>
      </c>
    </row>
    <row r="1970" spans="1:19" s="26" customFormat="1" ht="57.75" customHeight="1">
      <c r="A1970" s="5">
        <v>1955</v>
      </c>
      <c r="B1970" s="5" t="s">
        <v>710</v>
      </c>
      <c r="C1970" s="42" t="s">
        <v>597</v>
      </c>
      <c r="D1970" s="77" t="s">
        <v>2605</v>
      </c>
      <c r="E1970" s="5" t="s">
        <v>2662</v>
      </c>
      <c r="F1970" s="57" t="s">
        <v>2606</v>
      </c>
      <c r="G1970" s="5" t="s">
        <v>2663</v>
      </c>
      <c r="H1970" s="57" t="s">
        <v>2607</v>
      </c>
      <c r="I1970" s="5" t="s">
        <v>2664</v>
      </c>
      <c r="J1970" s="5" t="s">
        <v>2608</v>
      </c>
      <c r="K1970" s="57" t="s">
        <v>591</v>
      </c>
      <c r="L1970" s="5" t="s">
        <v>914</v>
      </c>
      <c r="M1970" s="5">
        <v>1</v>
      </c>
      <c r="N1970" s="46">
        <f t="shared" si="53"/>
        <v>2812500</v>
      </c>
      <c r="O1970" s="46">
        <v>2812500</v>
      </c>
      <c r="P1970" s="5" t="s">
        <v>515</v>
      </c>
      <c r="Q1970" s="5" t="s">
        <v>766</v>
      </c>
      <c r="R1970" s="122" t="s">
        <v>1021</v>
      </c>
      <c r="S1970" s="5">
        <v>50</v>
      </c>
    </row>
    <row r="1971" spans="1:19" s="26" customFormat="1" ht="57.75" customHeight="1">
      <c r="A1971" s="5">
        <v>1956</v>
      </c>
      <c r="B1971" s="5" t="s">
        <v>710</v>
      </c>
      <c r="C1971" s="42" t="s">
        <v>597</v>
      </c>
      <c r="D1971" s="77" t="s">
        <v>2605</v>
      </c>
      <c r="E1971" s="5" t="s">
        <v>2662</v>
      </c>
      <c r="F1971" s="57" t="s">
        <v>2606</v>
      </c>
      <c r="G1971" s="5" t="s">
        <v>2663</v>
      </c>
      <c r="H1971" s="57" t="s">
        <v>2607</v>
      </c>
      <c r="I1971" s="5" t="s">
        <v>2664</v>
      </c>
      <c r="J1971" s="5" t="s">
        <v>2608</v>
      </c>
      <c r="K1971" s="57" t="s">
        <v>591</v>
      </c>
      <c r="L1971" s="5" t="s">
        <v>914</v>
      </c>
      <c r="M1971" s="5">
        <v>1</v>
      </c>
      <c r="N1971" s="46">
        <f t="shared" si="53"/>
        <v>2812500</v>
      </c>
      <c r="O1971" s="46">
        <v>2812500</v>
      </c>
      <c r="P1971" s="5" t="s">
        <v>515</v>
      </c>
      <c r="Q1971" s="5" t="s">
        <v>766</v>
      </c>
      <c r="R1971" s="122" t="s">
        <v>789</v>
      </c>
      <c r="S1971" s="5">
        <v>50</v>
      </c>
    </row>
    <row r="1972" spans="1:19" s="26" customFormat="1" ht="57.75" customHeight="1">
      <c r="A1972" s="5">
        <v>1957</v>
      </c>
      <c r="B1972" s="5" t="s">
        <v>710</v>
      </c>
      <c r="C1972" s="42" t="s">
        <v>597</v>
      </c>
      <c r="D1972" s="77" t="s">
        <v>2605</v>
      </c>
      <c r="E1972" s="5" t="s">
        <v>2662</v>
      </c>
      <c r="F1972" s="57" t="s">
        <v>2606</v>
      </c>
      <c r="G1972" s="5" t="s">
        <v>2663</v>
      </c>
      <c r="H1972" s="57" t="s">
        <v>2607</v>
      </c>
      <c r="I1972" s="5" t="s">
        <v>2664</v>
      </c>
      <c r="J1972" s="5" t="s">
        <v>2608</v>
      </c>
      <c r="K1972" s="57" t="s">
        <v>591</v>
      </c>
      <c r="L1972" s="5" t="s">
        <v>914</v>
      </c>
      <c r="M1972" s="5">
        <v>1</v>
      </c>
      <c r="N1972" s="46">
        <f t="shared" si="53"/>
        <v>2625000</v>
      </c>
      <c r="O1972" s="46">
        <v>2625000</v>
      </c>
      <c r="P1972" s="5" t="s">
        <v>515</v>
      </c>
      <c r="Q1972" s="5" t="s">
        <v>766</v>
      </c>
      <c r="R1972" s="122">
        <v>231000000</v>
      </c>
      <c r="S1972" s="5">
        <v>50</v>
      </c>
    </row>
    <row r="1973" spans="1:19" s="26" customFormat="1" ht="57.75" customHeight="1">
      <c r="A1973" s="5">
        <v>1958</v>
      </c>
      <c r="B1973" s="5" t="s">
        <v>710</v>
      </c>
      <c r="C1973" s="42" t="s">
        <v>597</v>
      </c>
      <c r="D1973" s="77" t="s">
        <v>2605</v>
      </c>
      <c r="E1973" s="5" t="s">
        <v>2662</v>
      </c>
      <c r="F1973" s="57" t="s">
        <v>2606</v>
      </c>
      <c r="G1973" s="5" t="s">
        <v>2663</v>
      </c>
      <c r="H1973" s="57" t="s">
        <v>2607</v>
      </c>
      <c r="I1973" s="5" t="s">
        <v>2664</v>
      </c>
      <c r="J1973" s="5" t="s">
        <v>2608</v>
      </c>
      <c r="K1973" s="57" t="s">
        <v>591</v>
      </c>
      <c r="L1973" s="5" t="s">
        <v>914</v>
      </c>
      <c r="M1973" s="5">
        <v>1</v>
      </c>
      <c r="N1973" s="46">
        <f t="shared" si="53"/>
        <v>2687500</v>
      </c>
      <c r="O1973" s="46">
        <v>2687500</v>
      </c>
      <c r="P1973" s="5" t="s">
        <v>515</v>
      </c>
      <c r="Q1973" s="5" t="s">
        <v>766</v>
      </c>
      <c r="R1973" s="110">
        <v>631000000</v>
      </c>
      <c r="S1973" s="5">
        <v>50</v>
      </c>
    </row>
    <row r="1974" spans="1:19" s="26" customFormat="1" ht="57.75" customHeight="1">
      <c r="A1974" s="5">
        <v>1959</v>
      </c>
      <c r="B1974" s="5" t="s">
        <v>710</v>
      </c>
      <c r="C1974" s="42" t="s">
        <v>597</v>
      </c>
      <c r="D1974" s="77" t="s">
        <v>2605</v>
      </c>
      <c r="E1974" s="5" t="s">
        <v>2662</v>
      </c>
      <c r="F1974" s="57" t="s">
        <v>2606</v>
      </c>
      <c r="G1974" s="5" t="s">
        <v>2663</v>
      </c>
      <c r="H1974" s="57" t="s">
        <v>2607</v>
      </c>
      <c r="I1974" s="5" t="s">
        <v>2664</v>
      </c>
      <c r="J1974" s="5" t="s">
        <v>2608</v>
      </c>
      <c r="K1974" s="57" t="s">
        <v>591</v>
      </c>
      <c r="L1974" s="5" t="s">
        <v>914</v>
      </c>
      <c r="M1974" s="5">
        <v>1</v>
      </c>
      <c r="N1974" s="46">
        <f t="shared" si="53"/>
        <v>2625000</v>
      </c>
      <c r="O1974" s="46">
        <v>2625000</v>
      </c>
      <c r="P1974" s="5" t="s">
        <v>515</v>
      </c>
      <c r="Q1974" s="5" t="s">
        <v>766</v>
      </c>
      <c r="R1974" s="122" t="s">
        <v>2514</v>
      </c>
      <c r="S1974" s="5">
        <v>50</v>
      </c>
    </row>
    <row r="1975" spans="1:19" s="26" customFormat="1" ht="57.75" customHeight="1">
      <c r="A1975" s="5">
        <v>1960</v>
      </c>
      <c r="B1975" s="5" t="s">
        <v>710</v>
      </c>
      <c r="C1975" s="42" t="s">
        <v>597</v>
      </c>
      <c r="D1975" s="77" t="s">
        <v>2605</v>
      </c>
      <c r="E1975" s="5" t="s">
        <v>2662</v>
      </c>
      <c r="F1975" s="57" t="s">
        <v>2606</v>
      </c>
      <c r="G1975" s="5" t="s">
        <v>2663</v>
      </c>
      <c r="H1975" s="57" t="s">
        <v>2607</v>
      </c>
      <c r="I1975" s="5" t="s">
        <v>2664</v>
      </c>
      <c r="J1975" s="5" t="s">
        <v>2608</v>
      </c>
      <c r="K1975" s="57" t="s">
        <v>591</v>
      </c>
      <c r="L1975" s="5" t="s">
        <v>914</v>
      </c>
      <c r="M1975" s="5">
        <v>1</v>
      </c>
      <c r="N1975" s="46">
        <f t="shared" si="53"/>
        <v>2625000</v>
      </c>
      <c r="O1975" s="46">
        <v>2625000</v>
      </c>
      <c r="P1975" s="5" t="s">
        <v>515</v>
      </c>
      <c r="Q1975" s="5" t="s">
        <v>766</v>
      </c>
      <c r="R1975" s="122" t="s">
        <v>2024</v>
      </c>
      <c r="S1975" s="5">
        <v>50</v>
      </c>
    </row>
    <row r="1976" spans="1:19" s="26" customFormat="1" ht="57.75" customHeight="1">
      <c r="A1976" s="5">
        <v>1961</v>
      </c>
      <c r="B1976" s="5" t="s">
        <v>710</v>
      </c>
      <c r="C1976" s="42" t="s">
        <v>597</v>
      </c>
      <c r="D1976" s="77" t="s">
        <v>2605</v>
      </c>
      <c r="E1976" s="5" t="s">
        <v>2662</v>
      </c>
      <c r="F1976" s="57" t="s">
        <v>2606</v>
      </c>
      <c r="G1976" s="5" t="s">
        <v>2663</v>
      </c>
      <c r="H1976" s="57" t="s">
        <v>2607</v>
      </c>
      <c r="I1976" s="5" t="s">
        <v>2664</v>
      </c>
      <c r="J1976" s="5" t="s">
        <v>2608</v>
      </c>
      <c r="K1976" s="57" t="s">
        <v>591</v>
      </c>
      <c r="L1976" s="5" t="s">
        <v>914</v>
      </c>
      <c r="M1976" s="5">
        <v>1</v>
      </c>
      <c r="N1976" s="46">
        <f t="shared" si="53"/>
        <v>2625000</v>
      </c>
      <c r="O1976" s="46">
        <v>2625000</v>
      </c>
      <c r="P1976" s="5" t="s">
        <v>515</v>
      </c>
      <c r="Q1976" s="5" t="s">
        <v>766</v>
      </c>
      <c r="R1976" s="122" t="s">
        <v>2597</v>
      </c>
      <c r="S1976" s="5">
        <v>50</v>
      </c>
    </row>
    <row r="1977" spans="1:19" s="26" customFormat="1" ht="57.75" customHeight="1">
      <c r="A1977" s="5">
        <v>1962</v>
      </c>
      <c r="B1977" s="5" t="s">
        <v>710</v>
      </c>
      <c r="C1977" s="42" t="s">
        <v>597</v>
      </c>
      <c r="D1977" s="77" t="s">
        <v>2605</v>
      </c>
      <c r="E1977" s="5" t="s">
        <v>2662</v>
      </c>
      <c r="F1977" s="57" t="s">
        <v>2606</v>
      </c>
      <c r="G1977" s="5" t="s">
        <v>2663</v>
      </c>
      <c r="H1977" s="57" t="s">
        <v>2607</v>
      </c>
      <c r="I1977" s="5" t="s">
        <v>2664</v>
      </c>
      <c r="J1977" s="5" t="s">
        <v>2608</v>
      </c>
      <c r="K1977" s="57" t="s">
        <v>591</v>
      </c>
      <c r="L1977" s="5" t="s">
        <v>914</v>
      </c>
      <c r="M1977" s="5">
        <v>1</v>
      </c>
      <c r="N1977" s="46">
        <f t="shared" si="53"/>
        <v>2625000</v>
      </c>
      <c r="O1977" s="46">
        <v>2625000</v>
      </c>
      <c r="P1977" s="5" t="s">
        <v>515</v>
      </c>
      <c r="Q1977" s="5" t="s">
        <v>766</v>
      </c>
      <c r="R1977" s="110">
        <v>391000000</v>
      </c>
      <c r="S1977" s="5">
        <v>50</v>
      </c>
    </row>
    <row r="1978" spans="1:19" s="26" customFormat="1" ht="57.75" customHeight="1">
      <c r="A1978" s="5">
        <v>1963</v>
      </c>
      <c r="B1978" s="5" t="s">
        <v>710</v>
      </c>
      <c r="C1978" s="42" t="s">
        <v>597</v>
      </c>
      <c r="D1978" s="77" t="s">
        <v>2605</v>
      </c>
      <c r="E1978" s="5" t="s">
        <v>2662</v>
      </c>
      <c r="F1978" s="57" t="s">
        <v>2606</v>
      </c>
      <c r="G1978" s="5" t="s">
        <v>2663</v>
      </c>
      <c r="H1978" s="57" t="s">
        <v>2607</v>
      </c>
      <c r="I1978" s="5" t="s">
        <v>2664</v>
      </c>
      <c r="J1978" s="5" t="s">
        <v>2608</v>
      </c>
      <c r="K1978" s="57" t="s">
        <v>591</v>
      </c>
      <c r="L1978" s="5" t="s">
        <v>914</v>
      </c>
      <c r="M1978" s="5">
        <v>1</v>
      </c>
      <c r="N1978" s="46">
        <f t="shared" si="53"/>
        <v>2107143</v>
      </c>
      <c r="O1978" s="46">
        <v>2107143</v>
      </c>
      <c r="P1978" s="5" t="s">
        <v>515</v>
      </c>
      <c r="Q1978" s="5" t="s">
        <v>766</v>
      </c>
      <c r="R1978" s="122" t="s">
        <v>2507</v>
      </c>
      <c r="S1978" s="5">
        <v>50</v>
      </c>
    </row>
    <row r="1979" spans="1:19" s="26" customFormat="1" ht="57.75" customHeight="1">
      <c r="A1979" s="5">
        <v>1964</v>
      </c>
      <c r="B1979" s="5" t="s">
        <v>710</v>
      </c>
      <c r="C1979" s="42" t="s">
        <v>597</v>
      </c>
      <c r="D1979" s="77" t="s">
        <v>2605</v>
      </c>
      <c r="E1979" s="5" t="s">
        <v>2662</v>
      </c>
      <c r="F1979" s="57" t="s">
        <v>2606</v>
      </c>
      <c r="G1979" s="5" t="s">
        <v>2663</v>
      </c>
      <c r="H1979" s="57" t="s">
        <v>2607</v>
      </c>
      <c r="I1979" s="5" t="s">
        <v>2664</v>
      </c>
      <c r="J1979" s="5" t="s">
        <v>2608</v>
      </c>
      <c r="K1979" s="57" t="s">
        <v>591</v>
      </c>
      <c r="L1979" s="5" t="s">
        <v>914</v>
      </c>
      <c r="M1979" s="5">
        <v>1</v>
      </c>
      <c r="N1979" s="46">
        <f t="shared" si="53"/>
        <v>2089286</v>
      </c>
      <c r="O1979" s="46">
        <v>2089286</v>
      </c>
      <c r="P1979" s="5" t="s">
        <v>515</v>
      </c>
      <c r="Q1979" s="5" t="s">
        <v>766</v>
      </c>
      <c r="R1979" s="122" t="s">
        <v>715</v>
      </c>
      <c r="S1979" s="5">
        <v>50</v>
      </c>
    </row>
    <row r="1980" spans="1:19" s="26" customFormat="1" ht="57.75" customHeight="1">
      <c r="A1980" s="5">
        <v>1965</v>
      </c>
      <c r="B1980" s="5" t="s">
        <v>710</v>
      </c>
      <c r="C1980" s="42" t="s">
        <v>597</v>
      </c>
      <c r="D1980" s="77" t="s">
        <v>2605</v>
      </c>
      <c r="E1980" s="5" t="s">
        <v>2662</v>
      </c>
      <c r="F1980" s="57" t="s">
        <v>2606</v>
      </c>
      <c r="G1980" s="5" t="s">
        <v>2663</v>
      </c>
      <c r="H1980" s="57" t="s">
        <v>2607</v>
      </c>
      <c r="I1980" s="5" t="s">
        <v>2664</v>
      </c>
      <c r="J1980" s="5" t="s">
        <v>2608</v>
      </c>
      <c r="K1980" s="57" t="s">
        <v>591</v>
      </c>
      <c r="L1980" s="5" t="s">
        <v>914</v>
      </c>
      <c r="M1980" s="5">
        <v>1</v>
      </c>
      <c r="N1980" s="46">
        <f t="shared" si="53"/>
        <v>2089286</v>
      </c>
      <c r="O1980" s="46">
        <v>2089286</v>
      </c>
      <c r="P1980" s="5" t="s">
        <v>515</v>
      </c>
      <c r="Q1980" s="5" t="s">
        <v>766</v>
      </c>
      <c r="R1980" s="122" t="s">
        <v>902</v>
      </c>
      <c r="S1980" s="5">
        <v>50</v>
      </c>
    </row>
    <row r="1981" spans="1:19" s="26" customFormat="1" ht="57.75" customHeight="1">
      <c r="A1981" s="5">
        <v>1966</v>
      </c>
      <c r="B1981" s="5" t="s">
        <v>710</v>
      </c>
      <c r="C1981" s="42" t="s">
        <v>597</v>
      </c>
      <c r="D1981" s="77" t="s">
        <v>2605</v>
      </c>
      <c r="E1981" s="5" t="s">
        <v>2662</v>
      </c>
      <c r="F1981" s="57" t="s">
        <v>2606</v>
      </c>
      <c r="G1981" s="5" t="s">
        <v>2663</v>
      </c>
      <c r="H1981" s="57" t="s">
        <v>2607</v>
      </c>
      <c r="I1981" s="5" t="s">
        <v>2664</v>
      </c>
      <c r="J1981" s="5" t="s">
        <v>2608</v>
      </c>
      <c r="K1981" s="57" t="s">
        <v>591</v>
      </c>
      <c r="L1981" s="5" t="s">
        <v>914</v>
      </c>
      <c r="M1981" s="5">
        <v>1</v>
      </c>
      <c r="N1981" s="46">
        <f t="shared" si="53"/>
        <v>2089286</v>
      </c>
      <c r="O1981" s="46">
        <v>2089286</v>
      </c>
      <c r="P1981" s="5" t="s">
        <v>515</v>
      </c>
      <c r="Q1981" s="5" t="s">
        <v>766</v>
      </c>
      <c r="R1981" s="110">
        <v>591000000</v>
      </c>
      <c r="S1981" s="5">
        <v>50</v>
      </c>
    </row>
    <row r="1982" spans="1:19" s="26" customFormat="1" ht="62.25" customHeight="1">
      <c r="A1982" s="5">
        <v>1967</v>
      </c>
      <c r="B1982" s="5" t="s">
        <v>710</v>
      </c>
      <c r="C1982" s="42" t="s">
        <v>597</v>
      </c>
      <c r="D1982" s="77" t="s">
        <v>2605</v>
      </c>
      <c r="E1982" s="5" t="s">
        <v>2662</v>
      </c>
      <c r="F1982" s="57" t="s">
        <v>2606</v>
      </c>
      <c r="G1982" s="5" t="s">
        <v>2663</v>
      </c>
      <c r="H1982" s="57" t="s">
        <v>2607</v>
      </c>
      <c r="I1982" s="5" t="s">
        <v>2664</v>
      </c>
      <c r="J1982" s="5" t="s">
        <v>2608</v>
      </c>
      <c r="K1982" s="57" t="s">
        <v>591</v>
      </c>
      <c r="L1982" s="5" t="s">
        <v>914</v>
      </c>
      <c r="M1982" s="5">
        <v>1</v>
      </c>
      <c r="N1982" s="46">
        <f t="shared" si="53"/>
        <v>2107143</v>
      </c>
      <c r="O1982" s="46">
        <v>2107143</v>
      </c>
      <c r="P1982" s="5" t="s">
        <v>515</v>
      </c>
      <c r="Q1982" s="5" t="s">
        <v>766</v>
      </c>
      <c r="R1982" s="122" t="s">
        <v>2029</v>
      </c>
      <c r="S1982" s="5">
        <v>50</v>
      </c>
    </row>
    <row r="1983" spans="1:19" s="26" customFormat="1" ht="115.5" customHeight="1">
      <c r="A1983" s="5">
        <v>1968</v>
      </c>
      <c r="B1983" s="5" t="s">
        <v>710</v>
      </c>
      <c r="C1983" s="42" t="s">
        <v>597</v>
      </c>
      <c r="D1983" s="77" t="s">
        <v>1431</v>
      </c>
      <c r="E1983" s="5" t="s">
        <v>2665</v>
      </c>
      <c r="F1983" s="57" t="s">
        <v>1432</v>
      </c>
      <c r="G1983" s="5" t="s">
        <v>2666</v>
      </c>
      <c r="H1983" s="57" t="s">
        <v>1433</v>
      </c>
      <c r="I1983" s="5" t="s">
        <v>2667</v>
      </c>
      <c r="J1983" s="5" t="s">
        <v>2609</v>
      </c>
      <c r="K1983" s="57" t="s">
        <v>591</v>
      </c>
      <c r="L1983" s="5" t="s">
        <v>914</v>
      </c>
      <c r="M1983" s="5">
        <v>1</v>
      </c>
      <c r="N1983" s="46">
        <f t="shared" si="53"/>
        <v>2053571</v>
      </c>
      <c r="O1983" s="46">
        <v>2053571</v>
      </c>
      <c r="P1983" s="5" t="s">
        <v>515</v>
      </c>
      <c r="Q1983" s="5" t="s">
        <v>766</v>
      </c>
      <c r="R1983" s="110">
        <v>751110000</v>
      </c>
      <c r="S1983" s="5">
        <v>50</v>
      </c>
    </row>
    <row r="1984" spans="1:19" s="26" customFormat="1" ht="102">
      <c r="A1984" s="5">
        <v>1969</v>
      </c>
      <c r="B1984" s="5" t="s">
        <v>710</v>
      </c>
      <c r="C1984" s="42" t="s">
        <v>597</v>
      </c>
      <c r="D1984" s="77" t="s">
        <v>1431</v>
      </c>
      <c r="E1984" s="5" t="s">
        <v>2665</v>
      </c>
      <c r="F1984" s="57" t="s">
        <v>1432</v>
      </c>
      <c r="G1984" s="5" t="s">
        <v>2666</v>
      </c>
      <c r="H1984" s="57" t="s">
        <v>1433</v>
      </c>
      <c r="I1984" s="5" t="s">
        <v>2667</v>
      </c>
      <c r="J1984" s="5" t="s">
        <v>2609</v>
      </c>
      <c r="K1984" s="57" t="s">
        <v>591</v>
      </c>
      <c r="L1984" s="5" t="s">
        <v>914</v>
      </c>
      <c r="M1984" s="5">
        <v>1</v>
      </c>
      <c r="N1984" s="46">
        <f t="shared" si="53"/>
        <v>2053571</v>
      </c>
      <c r="O1984" s="46">
        <v>2053571</v>
      </c>
      <c r="P1984" s="5" t="s">
        <v>515</v>
      </c>
      <c r="Q1984" s="5" t="s">
        <v>766</v>
      </c>
      <c r="R1984" s="110">
        <v>751710000</v>
      </c>
      <c r="S1984" s="5">
        <v>50</v>
      </c>
    </row>
    <row r="1985" spans="1:19" s="26" customFormat="1" ht="102">
      <c r="A1985" s="5">
        <v>1970</v>
      </c>
      <c r="B1985" s="5" t="s">
        <v>710</v>
      </c>
      <c r="C1985" s="42" t="s">
        <v>597</v>
      </c>
      <c r="D1985" s="77" t="s">
        <v>1431</v>
      </c>
      <c r="E1985" s="5" t="s">
        <v>2665</v>
      </c>
      <c r="F1985" s="57" t="s">
        <v>1432</v>
      </c>
      <c r="G1985" s="5" t="s">
        <v>2666</v>
      </c>
      <c r="H1985" s="57" t="s">
        <v>1433</v>
      </c>
      <c r="I1985" s="5" t="s">
        <v>2667</v>
      </c>
      <c r="J1985" s="5" t="s">
        <v>2609</v>
      </c>
      <c r="K1985" s="57" t="s">
        <v>591</v>
      </c>
      <c r="L1985" s="5" t="s">
        <v>914</v>
      </c>
      <c r="M1985" s="5">
        <v>1</v>
      </c>
      <c r="N1985" s="46">
        <f t="shared" si="53"/>
        <v>2053571</v>
      </c>
      <c r="O1985" s="46">
        <v>2053571</v>
      </c>
      <c r="P1985" s="5" t="s">
        <v>515</v>
      </c>
      <c r="Q1985" s="5" t="s">
        <v>766</v>
      </c>
      <c r="R1985" s="110">
        <v>710000000</v>
      </c>
      <c r="S1985" s="5">
        <v>50</v>
      </c>
    </row>
    <row r="1986" spans="1:19" s="26" customFormat="1" ht="102">
      <c r="A1986" s="5">
        <v>1971</v>
      </c>
      <c r="B1986" s="5" t="s">
        <v>710</v>
      </c>
      <c r="C1986" s="42" t="s">
        <v>597</v>
      </c>
      <c r="D1986" s="77" t="s">
        <v>1431</v>
      </c>
      <c r="E1986" s="5" t="s">
        <v>2665</v>
      </c>
      <c r="F1986" s="57" t="s">
        <v>1432</v>
      </c>
      <c r="G1986" s="5" t="s">
        <v>2666</v>
      </c>
      <c r="H1986" s="57" t="s">
        <v>1433</v>
      </c>
      <c r="I1986" s="5" t="s">
        <v>2667</v>
      </c>
      <c r="J1986" s="5" t="s">
        <v>2609</v>
      </c>
      <c r="K1986" s="57" t="s">
        <v>591</v>
      </c>
      <c r="L1986" s="5" t="s">
        <v>914</v>
      </c>
      <c r="M1986" s="5">
        <v>1</v>
      </c>
      <c r="N1986" s="46">
        <f t="shared" si="53"/>
        <v>2053571</v>
      </c>
      <c r="O1986" s="46">
        <v>2053571</v>
      </c>
      <c r="P1986" s="5" t="s">
        <v>515</v>
      </c>
      <c r="Q1986" s="5" t="s">
        <v>766</v>
      </c>
      <c r="R1986" s="122">
        <v>231000000</v>
      </c>
      <c r="S1986" s="5">
        <v>50</v>
      </c>
    </row>
    <row r="1987" spans="1:19" s="26" customFormat="1" ht="102">
      <c r="A1987" s="5">
        <v>1972</v>
      </c>
      <c r="B1987" s="5" t="s">
        <v>710</v>
      </c>
      <c r="C1987" s="42" t="s">
        <v>597</v>
      </c>
      <c r="D1987" s="77" t="s">
        <v>1431</v>
      </c>
      <c r="E1987" s="5" t="s">
        <v>2665</v>
      </c>
      <c r="F1987" s="57" t="s">
        <v>1432</v>
      </c>
      <c r="G1987" s="5" t="s">
        <v>2666</v>
      </c>
      <c r="H1987" s="57" t="s">
        <v>1433</v>
      </c>
      <c r="I1987" s="5" t="s">
        <v>2667</v>
      </c>
      <c r="J1987" s="5" t="s">
        <v>2609</v>
      </c>
      <c r="K1987" s="57" t="s">
        <v>591</v>
      </c>
      <c r="L1987" s="5" t="s">
        <v>914</v>
      </c>
      <c r="M1987" s="5">
        <v>1</v>
      </c>
      <c r="N1987" s="46">
        <f t="shared" si="53"/>
        <v>2053571</v>
      </c>
      <c r="O1987" s="46">
        <v>2053571</v>
      </c>
      <c r="P1987" s="5" t="s">
        <v>515</v>
      </c>
      <c r="Q1987" s="5" t="s">
        <v>766</v>
      </c>
      <c r="R1987" s="122" t="s">
        <v>2514</v>
      </c>
      <c r="S1987" s="5">
        <v>50</v>
      </c>
    </row>
    <row r="1988" spans="1:19" s="26" customFormat="1" ht="95.25" customHeight="1">
      <c r="A1988" s="5">
        <v>1973</v>
      </c>
      <c r="B1988" s="5" t="s">
        <v>710</v>
      </c>
      <c r="C1988" s="42" t="s">
        <v>597</v>
      </c>
      <c r="D1988" s="77" t="s">
        <v>2610</v>
      </c>
      <c r="E1988" s="78" t="s">
        <v>2668</v>
      </c>
      <c r="F1988" s="57" t="s">
        <v>2611</v>
      </c>
      <c r="G1988" s="78" t="s">
        <v>2668</v>
      </c>
      <c r="H1988" s="57" t="s">
        <v>2611</v>
      </c>
      <c r="I1988" s="5" t="s">
        <v>2669</v>
      </c>
      <c r="J1988" s="5" t="s">
        <v>2612</v>
      </c>
      <c r="K1988" s="57" t="s">
        <v>591</v>
      </c>
      <c r="L1988" s="5" t="s">
        <v>914</v>
      </c>
      <c r="M1988" s="5">
        <v>1</v>
      </c>
      <c r="N1988" s="46">
        <f t="shared" si="53"/>
        <v>3171429</v>
      </c>
      <c r="O1988" s="46">
        <v>3171429</v>
      </c>
      <c r="P1988" s="5" t="s">
        <v>698</v>
      </c>
      <c r="Q1988" s="5" t="s">
        <v>3281</v>
      </c>
      <c r="R1988" s="110">
        <v>751110000</v>
      </c>
      <c r="S1988" s="5">
        <v>50</v>
      </c>
    </row>
    <row r="1989" spans="1:19" s="26" customFormat="1" ht="130.5" customHeight="1">
      <c r="A1989" s="5">
        <v>1974</v>
      </c>
      <c r="B1989" s="5" t="s">
        <v>710</v>
      </c>
      <c r="C1989" s="42" t="s">
        <v>597</v>
      </c>
      <c r="D1989" s="31" t="s">
        <v>2407</v>
      </c>
      <c r="E1989" s="31" t="s">
        <v>2408</v>
      </c>
      <c r="F1989" s="31" t="s">
        <v>2409</v>
      </c>
      <c r="G1989" s="31" t="s">
        <v>2410</v>
      </c>
      <c r="H1989" s="31" t="s">
        <v>2411</v>
      </c>
      <c r="I1989" s="35" t="s">
        <v>2670</v>
      </c>
      <c r="J1989" s="5" t="s">
        <v>2647</v>
      </c>
      <c r="K1989" s="57" t="s">
        <v>591</v>
      </c>
      <c r="L1989" s="5" t="s">
        <v>914</v>
      </c>
      <c r="M1989" s="5">
        <v>1</v>
      </c>
      <c r="N1989" s="46">
        <f t="shared" si="53"/>
        <v>170000</v>
      </c>
      <c r="O1989" s="83">
        <v>170000</v>
      </c>
      <c r="P1989" s="5" t="s">
        <v>515</v>
      </c>
      <c r="Q1989" s="5" t="s">
        <v>766</v>
      </c>
      <c r="R1989" s="122" t="s">
        <v>789</v>
      </c>
      <c r="S1989" s="5">
        <v>50</v>
      </c>
    </row>
    <row r="1990" spans="1:19" s="26" customFormat="1" ht="93.75" customHeight="1">
      <c r="A1990" s="5">
        <v>1975</v>
      </c>
      <c r="B1990" s="5" t="s">
        <v>710</v>
      </c>
      <c r="C1990" s="42" t="s">
        <v>597</v>
      </c>
      <c r="D1990" s="31" t="s">
        <v>1452</v>
      </c>
      <c r="E1990" s="31" t="s">
        <v>1973</v>
      </c>
      <c r="F1990" s="31" t="s">
        <v>1453</v>
      </c>
      <c r="G1990" s="31" t="s">
        <v>1974</v>
      </c>
      <c r="H1990" s="31" t="s">
        <v>1454</v>
      </c>
      <c r="I1990" s="31" t="s">
        <v>2673</v>
      </c>
      <c r="J1990" s="5" t="s">
        <v>2671</v>
      </c>
      <c r="K1990" s="57" t="s">
        <v>591</v>
      </c>
      <c r="L1990" s="5" t="s">
        <v>914</v>
      </c>
      <c r="M1990" s="5">
        <v>1</v>
      </c>
      <c r="N1990" s="46">
        <f t="shared" si="53"/>
        <v>446429</v>
      </c>
      <c r="O1990" s="83">
        <v>446429</v>
      </c>
      <c r="P1990" s="5" t="s">
        <v>515</v>
      </c>
      <c r="Q1990" s="5" t="s">
        <v>766</v>
      </c>
      <c r="R1990" s="110">
        <v>751110000</v>
      </c>
      <c r="S1990" s="5">
        <v>50</v>
      </c>
    </row>
    <row r="1991" spans="1:19" ht="68.25" customHeight="1">
      <c r="A1991" s="5">
        <v>1976</v>
      </c>
      <c r="B1991" s="5" t="s">
        <v>710</v>
      </c>
      <c r="C1991" s="42" t="s">
        <v>597</v>
      </c>
      <c r="D1991" s="31" t="s">
        <v>1338</v>
      </c>
      <c r="E1991" s="5" t="s">
        <v>1984</v>
      </c>
      <c r="F1991" s="31" t="s">
        <v>1339</v>
      </c>
      <c r="G1991" s="31" t="s">
        <v>1985</v>
      </c>
      <c r="H1991" s="31" t="s">
        <v>2674</v>
      </c>
      <c r="I1991" s="31" t="s">
        <v>2675</v>
      </c>
      <c r="J1991" s="5" t="s">
        <v>2672</v>
      </c>
      <c r="K1991" s="57" t="s">
        <v>591</v>
      </c>
      <c r="L1991" s="5" t="s">
        <v>914</v>
      </c>
      <c r="M1991" s="5">
        <v>1</v>
      </c>
      <c r="N1991" s="46">
        <f t="shared" si="53"/>
        <v>1785714</v>
      </c>
      <c r="O1991" s="83">
        <v>1785714</v>
      </c>
      <c r="P1991" s="5" t="s">
        <v>502</v>
      </c>
      <c r="Q1991" s="5" t="s">
        <v>766</v>
      </c>
      <c r="R1991" s="110">
        <v>751110000</v>
      </c>
      <c r="S1991" s="5">
        <v>30</v>
      </c>
    </row>
    <row r="1992" spans="1:19" ht="127.5" outlineLevel="1">
      <c r="A1992" s="5">
        <v>1977</v>
      </c>
      <c r="B1992" s="15" t="s">
        <v>710</v>
      </c>
      <c r="C1992" s="5" t="s">
        <v>597</v>
      </c>
      <c r="D1992" s="11" t="s">
        <v>2676</v>
      </c>
      <c r="E1992" s="57" t="s">
        <v>2681</v>
      </c>
      <c r="F1992" s="57" t="s">
        <v>2677</v>
      </c>
      <c r="G1992" s="57" t="s">
        <v>2682</v>
      </c>
      <c r="H1992" s="57" t="s">
        <v>2678</v>
      </c>
      <c r="I1992" s="57" t="s">
        <v>2683</v>
      </c>
      <c r="J1992" s="57" t="s">
        <v>2679</v>
      </c>
      <c r="K1992" s="57" t="s">
        <v>591</v>
      </c>
      <c r="L1992" s="11" t="s">
        <v>914</v>
      </c>
      <c r="M1992" s="9">
        <v>1</v>
      </c>
      <c r="N1992" s="46">
        <f t="shared" si="53"/>
        <v>38000</v>
      </c>
      <c r="O1992" s="49">
        <v>38000</v>
      </c>
      <c r="P1992" s="14" t="s">
        <v>515</v>
      </c>
      <c r="Q1992" s="5" t="s">
        <v>2680</v>
      </c>
      <c r="R1992" s="11" t="s">
        <v>1175</v>
      </c>
      <c r="S1992" s="14">
        <v>100</v>
      </c>
    </row>
    <row r="1993" spans="1:19" ht="51" outlineLevel="1">
      <c r="A1993" s="5">
        <v>1978</v>
      </c>
      <c r="B1993" s="29" t="s">
        <v>710</v>
      </c>
      <c r="C1993" s="35" t="s">
        <v>711</v>
      </c>
      <c r="D1993" s="31" t="s">
        <v>2684</v>
      </c>
      <c r="E1993" s="57" t="s">
        <v>2687</v>
      </c>
      <c r="F1993" s="57" t="s">
        <v>2685</v>
      </c>
      <c r="G1993" s="57" t="s">
        <v>2688</v>
      </c>
      <c r="H1993" s="57" t="s">
        <v>2686</v>
      </c>
      <c r="I1993" s="57" t="s">
        <v>2687</v>
      </c>
      <c r="J1993" s="57" t="s">
        <v>2685</v>
      </c>
      <c r="K1993" s="57" t="s">
        <v>591</v>
      </c>
      <c r="L1993" s="11" t="s">
        <v>644</v>
      </c>
      <c r="M1993" s="22">
        <v>3</v>
      </c>
      <c r="N1993" s="46">
        <f t="shared" si="53"/>
        <v>30000</v>
      </c>
      <c r="O1993" s="49">
        <v>90000</v>
      </c>
      <c r="P1993" s="5" t="s">
        <v>515</v>
      </c>
      <c r="Q1993" s="5" t="s">
        <v>2680</v>
      </c>
      <c r="R1993" s="11" t="s">
        <v>925</v>
      </c>
      <c r="S1993" s="22">
        <v>100</v>
      </c>
    </row>
    <row r="1994" spans="1:19" ht="76.5" outlineLevel="1">
      <c r="A1994" s="5">
        <v>1979</v>
      </c>
      <c r="B1994" s="29" t="s">
        <v>710</v>
      </c>
      <c r="C1994" s="35" t="s">
        <v>711</v>
      </c>
      <c r="D1994" s="31" t="s">
        <v>773</v>
      </c>
      <c r="E1994" s="57" t="s">
        <v>1010</v>
      </c>
      <c r="F1994" s="57" t="s">
        <v>693</v>
      </c>
      <c r="G1994" s="57" t="s">
        <v>2181</v>
      </c>
      <c r="H1994" s="57" t="s">
        <v>774</v>
      </c>
      <c r="I1994" s="57" t="s">
        <v>2690</v>
      </c>
      <c r="J1994" s="57" t="s">
        <v>2689</v>
      </c>
      <c r="K1994" s="57" t="s">
        <v>591</v>
      </c>
      <c r="L1994" s="11" t="s">
        <v>644</v>
      </c>
      <c r="M1994" s="22">
        <v>3</v>
      </c>
      <c r="N1994" s="46">
        <f t="shared" ref="N1994:N2016" si="54">O1994/M1994</f>
        <v>38000</v>
      </c>
      <c r="O1994" s="49">
        <v>114000</v>
      </c>
      <c r="P1994" s="5" t="s">
        <v>515</v>
      </c>
      <c r="Q1994" s="5" t="s">
        <v>2680</v>
      </c>
      <c r="R1994" s="11" t="s">
        <v>925</v>
      </c>
      <c r="S1994" s="22">
        <v>100</v>
      </c>
    </row>
    <row r="1995" spans="1:19" ht="51" outlineLevel="1">
      <c r="A1995" s="5">
        <v>1980</v>
      </c>
      <c r="B1995" s="29" t="s">
        <v>710</v>
      </c>
      <c r="C1995" s="35" t="s">
        <v>711</v>
      </c>
      <c r="D1995" s="31" t="s">
        <v>931</v>
      </c>
      <c r="E1995" s="57" t="s">
        <v>466</v>
      </c>
      <c r="F1995" s="57" t="s">
        <v>463</v>
      </c>
      <c r="G1995" s="57" t="s">
        <v>2270</v>
      </c>
      <c r="H1995" s="57" t="s">
        <v>932</v>
      </c>
      <c r="I1995" s="57" t="s">
        <v>2692</v>
      </c>
      <c r="J1995" s="57" t="s">
        <v>2691</v>
      </c>
      <c r="K1995" s="57" t="s">
        <v>591</v>
      </c>
      <c r="L1995" s="11" t="s">
        <v>644</v>
      </c>
      <c r="M1995" s="22">
        <v>1000</v>
      </c>
      <c r="N1995" s="46">
        <f t="shared" si="54"/>
        <v>80</v>
      </c>
      <c r="O1995" s="49">
        <v>80000</v>
      </c>
      <c r="P1995" s="5" t="s">
        <v>515</v>
      </c>
      <c r="Q1995" s="5" t="s">
        <v>2680</v>
      </c>
      <c r="R1995" s="11" t="s">
        <v>925</v>
      </c>
      <c r="S1995" s="22">
        <v>100</v>
      </c>
    </row>
    <row r="1996" spans="1:19" ht="76.5" outlineLevel="1">
      <c r="A1996" s="5">
        <v>1981</v>
      </c>
      <c r="B1996" s="29" t="s">
        <v>710</v>
      </c>
      <c r="C1996" s="35" t="s">
        <v>597</v>
      </c>
      <c r="D1996" s="118" t="s">
        <v>2594</v>
      </c>
      <c r="E1996" s="5" t="s">
        <v>2618</v>
      </c>
      <c r="F1996" s="119" t="s">
        <v>2595</v>
      </c>
      <c r="G1996" s="5" t="s">
        <v>2618</v>
      </c>
      <c r="H1996" s="119" t="s">
        <v>2595</v>
      </c>
      <c r="I1996" s="57" t="s">
        <v>2694</v>
      </c>
      <c r="J1996" s="57" t="s">
        <v>2693</v>
      </c>
      <c r="K1996" s="57" t="s">
        <v>591</v>
      </c>
      <c r="L1996" s="11" t="s">
        <v>914</v>
      </c>
      <c r="M1996" s="22">
        <v>1</v>
      </c>
      <c r="N1996" s="46">
        <f t="shared" si="54"/>
        <v>42000</v>
      </c>
      <c r="O1996" s="49">
        <v>42000</v>
      </c>
      <c r="P1996" s="5" t="s">
        <v>515</v>
      </c>
      <c r="Q1996" s="5" t="s">
        <v>2680</v>
      </c>
      <c r="R1996" s="11" t="s">
        <v>925</v>
      </c>
      <c r="S1996" s="22">
        <v>100</v>
      </c>
    </row>
    <row r="1997" spans="1:19" ht="51" outlineLevel="1">
      <c r="A1997" s="5">
        <v>1982</v>
      </c>
      <c r="B1997" s="15" t="s">
        <v>710</v>
      </c>
      <c r="C1997" s="5" t="s">
        <v>597</v>
      </c>
      <c r="D1997" s="11" t="s">
        <v>2477</v>
      </c>
      <c r="E1997" s="57" t="s">
        <v>2479</v>
      </c>
      <c r="F1997" s="57" t="s">
        <v>2478</v>
      </c>
      <c r="G1997" s="57" t="s">
        <v>2479</v>
      </c>
      <c r="H1997" s="57" t="s">
        <v>2478</v>
      </c>
      <c r="I1997" s="57" t="s">
        <v>2479</v>
      </c>
      <c r="J1997" s="57" t="s">
        <v>2478</v>
      </c>
      <c r="K1997" s="57" t="s">
        <v>591</v>
      </c>
      <c r="L1997" s="11" t="s">
        <v>914</v>
      </c>
      <c r="M1997" s="22">
        <v>1</v>
      </c>
      <c r="N1997" s="46">
        <f t="shared" si="54"/>
        <v>216073</v>
      </c>
      <c r="O1997" s="49">
        <v>216073</v>
      </c>
      <c r="P1997" s="5" t="s">
        <v>515</v>
      </c>
      <c r="Q1997" s="5" t="s">
        <v>766</v>
      </c>
      <c r="R1997" s="11">
        <v>271000000</v>
      </c>
      <c r="S1997" s="14">
        <v>0</v>
      </c>
    </row>
    <row r="1998" spans="1:19" ht="51" outlineLevel="1">
      <c r="A1998" s="5">
        <v>1983</v>
      </c>
      <c r="B1998" s="15" t="s">
        <v>710</v>
      </c>
      <c r="C1998" s="5" t="s">
        <v>597</v>
      </c>
      <c r="D1998" s="11" t="s">
        <v>2702</v>
      </c>
      <c r="E1998" s="57" t="s">
        <v>2698</v>
      </c>
      <c r="F1998" s="57" t="s">
        <v>2699</v>
      </c>
      <c r="G1998" s="57" t="s">
        <v>2700</v>
      </c>
      <c r="H1998" s="57" t="s">
        <v>2701</v>
      </c>
      <c r="I1998" s="57" t="s">
        <v>2700</v>
      </c>
      <c r="J1998" s="57" t="s">
        <v>2701</v>
      </c>
      <c r="K1998" s="57" t="s">
        <v>591</v>
      </c>
      <c r="L1998" s="11" t="s">
        <v>914</v>
      </c>
      <c r="M1998" s="22">
        <v>1</v>
      </c>
      <c r="N1998" s="46">
        <f t="shared" si="54"/>
        <v>86962</v>
      </c>
      <c r="O1998" s="49">
        <v>86962</v>
      </c>
      <c r="P1998" s="5" t="s">
        <v>515</v>
      </c>
      <c r="Q1998" s="5" t="s">
        <v>766</v>
      </c>
      <c r="R1998" s="11">
        <v>271000000</v>
      </c>
      <c r="S1998" s="14">
        <v>100</v>
      </c>
    </row>
    <row r="1999" spans="1:19" s="26" customFormat="1" ht="115.5" customHeight="1">
      <c r="A1999" s="5">
        <v>1984</v>
      </c>
      <c r="B1999" s="5" t="s">
        <v>710</v>
      </c>
      <c r="C1999" s="42" t="s">
        <v>597</v>
      </c>
      <c r="D1999" s="11" t="s">
        <v>966</v>
      </c>
      <c r="E1999" s="5" t="s">
        <v>1953</v>
      </c>
      <c r="F1999" s="76" t="s">
        <v>916</v>
      </c>
      <c r="G1999" s="5" t="s">
        <v>1834</v>
      </c>
      <c r="H1999" s="76" t="s">
        <v>1498</v>
      </c>
      <c r="I1999" s="5" t="s">
        <v>2709</v>
      </c>
      <c r="J1999" s="5" t="s">
        <v>2708</v>
      </c>
      <c r="K1999" s="5" t="s">
        <v>591</v>
      </c>
      <c r="L1999" s="5" t="s">
        <v>914</v>
      </c>
      <c r="M1999" s="5">
        <v>1</v>
      </c>
      <c r="N1999" s="46">
        <f t="shared" si="54"/>
        <v>3800000</v>
      </c>
      <c r="O1999" s="46">
        <v>3800000</v>
      </c>
      <c r="P1999" s="5" t="s">
        <v>515</v>
      </c>
      <c r="Q1999" s="5" t="s">
        <v>766</v>
      </c>
      <c r="R1999" s="15">
        <v>710000000</v>
      </c>
      <c r="S1999" s="5">
        <v>30</v>
      </c>
    </row>
    <row r="2000" spans="1:19" s="26" customFormat="1" ht="133.5" customHeight="1">
      <c r="A2000" s="5">
        <v>1985</v>
      </c>
      <c r="B2000" s="5" t="s">
        <v>710</v>
      </c>
      <c r="C2000" s="42" t="s">
        <v>597</v>
      </c>
      <c r="D2000" s="11" t="s">
        <v>2635</v>
      </c>
      <c r="E2000" s="5" t="s">
        <v>2658</v>
      </c>
      <c r="F2000" s="5" t="s">
        <v>2636</v>
      </c>
      <c r="G2000" s="5" t="s">
        <v>2658</v>
      </c>
      <c r="H2000" s="5" t="s">
        <v>2636</v>
      </c>
      <c r="I2000" s="5" t="s">
        <v>2657</v>
      </c>
      <c r="J2000" s="5" t="s">
        <v>2713</v>
      </c>
      <c r="K2000" s="5" t="s">
        <v>591</v>
      </c>
      <c r="L2000" s="5" t="s">
        <v>914</v>
      </c>
      <c r="M2000" s="5">
        <v>1</v>
      </c>
      <c r="N2000" s="46">
        <f t="shared" si="54"/>
        <v>4573007</v>
      </c>
      <c r="O2000" s="46">
        <v>4573007</v>
      </c>
      <c r="P2000" s="5" t="s">
        <v>515</v>
      </c>
      <c r="Q2000" s="5" t="s">
        <v>766</v>
      </c>
      <c r="R2000" s="15">
        <v>710000000</v>
      </c>
      <c r="S2000" s="5">
        <v>30</v>
      </c>
    </row>
    <row r="2001" spans="1:19" s="26" customFormat="1" ht="89.25">
      <c r="A2001" s="5">
        <v>1986</v>
      </c>
      <c r="B2001" s="5" t="s">
        <v>710</v>
      </c>
      <c r="C2001" s="5" t="s">
        <v>597</v>
      </c>
      <c r="D2001" s="5" t="s">
        <v>2748</v>
      </c>
      <c r="E2001" s="5" t="s">
        <v>2751</v>
      </c>
      <c r="F2001" s="5" t="s">
        <v>2749</v>
      </c>
      <c r="G2001" s="5" t="s">
        <v>2752</v>
      </c>
      <c r="H2001" s="5" t="s">
        <v>2750</v>
      </c>
      <c r="I2001" s="5" t="s">
        <v>2752</v>
      </c>
      <c r="J2001" s="5" t="s">
        <v>2750</v>
      </c>
      <c r="K2001" s="5" t="s">
        <v>591</v>
      </c>
      <c r="L2001" s="5" t="s">
        <v>914</v>
      </c>
      <c r="M2001" s="5">
        <v>1</v>
      </c>
      <c r="N2001" s="83">
        <v>600000</v>
      </c>
      <c r="O2001" s="83">
        <v>600000</v>
      </c>
      <c r="P2001" s="5" t="s">
        <v>515</v>
      </c>
      <c r="Q2001" s="5" t="s">
        <v>612</v>
      </c>
      <c r="R2001" s="110">
        <v>751110000</v>
      </c>
      <c r="S2001" s="79">
        <v>100</v>
      </c>
    </row>
    <row r="2002" spans="1:19" s="26" customFormat="1" ht="93.75" customHeight="1">
      <c r="A2002" s="5">
        <v>1987</v>
      </c>
      <c r="B2002" s="5" t="s">
        <v>710</v>
      </c>
      <c r="C2002" s="42" t="s">
        <v>597</v>
      </c>
      <c r="D2002" s="31" t="s">
        <v>1452</v>
      </c>
      <c r="E2002" s="31" t="s">
        <v>1973</v>
      </c>
      <c r="F2002" s="31" t="s">
        <v>1453</v>
      </c>
      <c r="G2002" s="31" t="s">
        <v>1974</v>
      </c>
      <c r="H2002" s="31" t="s">
        <v>1454</v>
      </c>
      <c r="I2002" s="5" t="s">
        <v>2757</v>
      </c>
      <c r="J2002" s="5" t="s">
        <v>2703</v>
      </c>
      <c r="K2002" s="57" t="s">
        <v>591</v>
      </c>
      <c r="L2002" s="5" t="s">
        <v>914</v>
      </c>
      <c r="M2002" s="5">
        <v>1</v>
      </c>
      <c r="N2002" s="46">
        <f t="shared" si="54"/>
        <v>75000</v>
      </c>
      <c r="O2002" s="46">
        <v>75000</v>
      </c>
      <c r="P2002" s="5" t="s">
        <v>515</v>
      </c>
      <c r="Q2002" s="5" t="s">
        <v>515</v>
      </c>
      <c r="R2002" s="110">
        <v>751110000</v>
      </c>
      <c r="S2002" s="5">
        <v>100</v>
      </c>
    </row>
    <row r="2003" spans="1:19" s="26" customFormat="1" ht="63.75">
      <c r="A2003" s="5">
        <v>1988</v>
      </c>
      <c r="B2003" s="5" t="s">
        <v>710</v>
      </c>
      <c r="C2003" s="42" t="s">
        <v>1464</v>
      </c>
      <c r="D2003" s="31" t="s">
        <v>2737</v>
      </c>
      <c r="E2003" s="31" t="s">
        <v>2746</v>
      </c>
      <c r="F2003" s="31" t="s">
        <v>2738</v>
      </c>
      <c r="G2003" s="31" t="s">
        <v>2747</v>
      </c>
      <c r="H2003" s="31" t="s">
        <v>2739</v>
      </c>
      <c r="I2003" s="31" t="s">
        <v>2741</v>
      </c>
      <c r="J2003" s="5" t="s">
        <v>2740</v>
      </c>
      <c r="K2003" s="57" t="s">
        <v>591</v>
      </c>
      <c r="L2003" s="5" t="s">
        <v>1464</v>
      </c>
      <c r="M2003" s="5">
        <v>1</v>
      </c>
      <c r="N2003" s="46">
        <f>O2003/M2003</f>
        <v>405000</v>
      </c>
      <c r="O2003" s="46">
        <v>405000</v>
      </c>
      <c r="P2003" s="5" t="s">
        <v>515</v>
      </c>
      <c r="Q2003" s="5" t="s">
        <v>2680</v>
      </c>
      <c r="R2003" s="110">
        <v>751110000</v>
      </c>
      <c r="S2003" s="5">
        <v>100</v>
      </c>
    </row>
    <row r="2004" spans="1:19" ht="51" outlineLevel="1">
      <c r="A2004" s="5">
        <v>1989</v>
      </c>
      <c r="B2004" s="29" t="s">
        <v>710</v>
      </c>
      <c r="C2004" s="42" t="s">
        <v>1464</v>
      </c>
      <c r="D2004" s="5" t="s">
        <v>2753</v>
      </c>
      <c r="E2004" s="57" t="s">
        <v>2755</v>
      </c>
      <c r="F2004" s="57" t="s">
        <v>2754</v>
      </c>
      <c r="G2004" s="57" t="s">
        <v>2755</v>
      </c>
      <c r="H2004" s="57" t="s">
        <v>2754</v>
      </c>
      <c r="I2004" s="57" t="s">
        <v>2755</v>
      </c>
      <c r="J2004" s="57" t="s">
        <v>2754</v>
      </c>
      <c r="K2004" s="57" t="s">
        <v>591</v>
      </c>
      <c r="L2004" s="5" t="s">
        <v>1464</v>
      </c>
      <c r="M2004" s="22">
        <v>1</v>
      </c>
      <c r="N2004" s="46">
        <f>O2004/M2004</f>
        <v>448483</v>
      </c>
      <c r="O2004" s="49">
        <v>448483</v>
      </c>
      <c r="P2004" s="5" t="s">
        <v>515</v>
      </c>
      <c r="Q2004" s="5" t="s">
        <v>2756</v>
      </c>
      <c r="R2004" s="11">
        <v>631000000</v>
      </c>
      <c r="S2004" s="22">
        <v>100</v>
      </c>
    </row>
    <row r="2005" spans="1:19" s="26" customFormat="1" ht="57.75" customHeight="1">
      <c r="A2005" s="5">
        <v>1990</v>
      </c>
      <c r="B2005" s="5" t="s">
        <v>710</v>
      </c>
      <c r="C2005" s="42" t="s">
        <v>711</v>
      </c>
      <c r="D2005" s="77" t="s">
        <v>729</v>
      </c>
      <c r="E2005" s="57" t="s">
        <v>730</v>
      </c>
      <c r="F2005" s="57" t="s">
        <v>731</v>
      </c>
      <c r="G2005" s="57" t="s">
        <v>873</v>
      </c>
      <c r="H2005" s="57" t="s">
        <v>733</v>
      </c>
      <c r="I2005" s="57" t="s">
        <v>730</v>
      </c>
      <c r="J2005" s="57" t="s">
        <v>731</v>
      </c>
      <c r="K2005" s="57" t="s">
        <v>591</v>
      </c>
      <c r="L2005" s="5" t="s">
        <v>644</v>
      </c>
      <c r="M2005" s="5">
        <v>3</v>
      </c>
      <c r="N2005" s="46">
        <f>O2005/M2005</f>
        <v>45429</v>
      </c>
      <c r="O2005" s="46">
        <v>136287</v>
      </c>
      <c r="P2005" s="5" t="s">
        <v>515</v>
      </c>
      <c r="Q2005" s="5" t="s">
        <v>515</v>
      </c>
      <c r="R2005" s="122" t="s">
        <v>1021</v>
      </c>
      <c r="S2005" s="5">
        <v>100</v>
      </c>
    </row>
    <row r="2006" spans="1:19" s="26" customFormat="1" ht="102">
      <c r="A2006" s="5">
        <v>1991</v>
      </c>
      <c r="B2006" s="5" t="s">
        <v>710</v>
      </c>
      <c r="C2006" s="42" t="s">
        <v>711</v>
      </c>
      <c r="D2006" s="77" t="s">
        <v>748</v>
      </c>
      <c r="E2006" s="5" t="s">
        <v>979</v>
      </c>
      <c r="F2006" s="57" t="s">
        <v>979</v>
      </c>
      <c r="G2006" s="5" t="s">
        <v>2161</v>
      </c>
      <c r="H2006" s="57" t="s">
        <v>751</v>
      </c>
      <c r="I2006" s="5" t="s">
        <v>979</v>
      </c>
      <c r="J2006" s="57" t="s">
        <v>979</v>
      </c>
      <c r="K2006" s="57" t="s">
        <v>591</v>
      </c>
      <c r="L2006" s="5" t="s">
        <v>644</v>
      </c>
      <c r="M2006" s="5">
        <v>3</v>
      </c>
      <c r="N2006" s="46">
        <f>O2006/M2006</f>
        <v>10871</v>
      </c>
      <c r="O2006" s="46">
        <v>32613</v>
      </c>
      <c r="P2006" s="5" t="s">
        <v>515</v>
      </c>
      <c r="Q2006" s="5" t="s">
        <v>515</v>
      </c>
      <c r="R2006" s="122" t="s">
        <v>1021</v>
      </c>
      <c r="S2006" s="5">
        <v>100</v>
      </c>
    </row>
    <row r="2007" spans="1:19" s="26" customFormat="1" ht="57.75" customHeight="1">
      <c r="A2007" s="5">
        <v>1992</v>
      </c>
      <c r="B2007" s="5" t="s">
        <v>710</v>
      </c>
      <c r="C2007" s="42" t="s">
        <v>711</v>
      </c>
      <c r="D2007" s="77" t="s">
        <v>744</v>
      </c>
      <c r="E2007" s="5" t="s">
        <v>745</v>
      </c>
      <c r="F2007" s="57" t="s">
        <v>109</v>
      </c>
      <c r="G2007" s="5" t="s">
        <v>746</v>
      </c>
      <c r="H2007" s="57" t="s">
        <v>747</v>
      </c>
      <c r="I2007" s="5" t="s">
        <v>745</v>
      </c>
      <c r="J2007" s="57" t="s">
        <v>109</v>
      </c>
      <c r="K2007" s="57" t="s">
        <v>591</v>
      </c>
      <c r="L2007" s="5" t="s">
        <v>644</v>
      </c>
      <c r="M2007" s="5">
        <v>3</v>
      </c>
      <c r="N2007" s="46">
        <f t="shared" si="54"/>
        <v>12157</v>
      </c>
      <c r="O2007" s="46">
        <v>36471</v>
      </c>
      <c r="P2007" s="5" t="s">
        <v>515</v>
      </c>
      <c r="Q2007" s="5" t="s">
        <v>515</v>
      </c>
      <c r="R2007" s="122" t="s">
        <v>1021</v>
      </c>
      <c r="S2007" s="5">
        <v>100</v>
      </c>
    </row>
    <row r="2008" spans="1:19" s="26" customFormat="1" ht="25.5">
      <c r="A2008" s="5">
        <v>1993</v>
      </c>
      <c r="B2008" s="5" t="s">
        <v>710</v>
      </c>
      <c r="C2008" s="42" t="s">
        <v>711</v>
      </c>
      <c r="D2008" s="5" t="s">
        <v>2718</v>
      </c>
      <c r="E2008" s="5" t="s">
        <v>2719</v>
      </c>
      <c r="F2008" s="5" t="s">
        <v>2720</v>
      </c>
      <c r="G2008" s="5" t="s">
        <v>2723</v>
      </c>
      <c r="H2008" s="5" t="s">
        <v>2724</v>
      </c>
      <c r="I2008" s="5" t="s">
        <v>2722</v>
      </c>
      <c r="J2008" s="5" t="s">
        <v>2721</v>
      </c>
      <c r="K2008" s="57" t="s">
        <v>591</v>
      </c>
      <c r="L2008" s="5" t="s">
        <v>644</v>
      </c>
      <c r="M2008" s="5">
        <v>18</v>
      </c>
      <c r="N2008" s="46">
        <f t="shared" si="54"/>
        <v>3000</v>
      </c>
      <c r="O2008" s="46">
        <v>54000</v>
      </c>
      <c r="P2008" s="5" t="s">
        <v>515</v>
      </c>
      <c r="Q2008" s="5" t="s">
        <v>515</v>
      </c>
      <c r="R2008" s="122" t="s">
        <v>1021</v>
      </c>
      <c r="S2008" s="5">
        <v>100</v>
      </c>
    </row>
    <row r="2009" spans="1:19" s="26" customFormat="1" ht="25.5">
      <c r="A2009" s="5">
        <v>1994</v>
      </c>
      <c r="B2009" s="5" t="s">
        <v>710</v>
      </c>
      <c r="C2009" s="42" t="s">
        <v>711</v>
      </c>
      <c r="D2009" s="77" t="s">
        <v>2725</v>
      </c>
      <c r="E2009" s="5" t="s">
        <v>2726</v>
      </c>
      <c r="F2009" s="57" t="s">
        <v>2726</v>
      </c>
      <c r="G2009" s="5" t="s">
        <v>2727</v>
      </c>
      <c r="H2009" s="57" t="s">
        <v>2728</v>
      </c>
      <c r="I2009" s="5" t="s">
        <v>2729</v>
      </c>
      <c r="J2009" s="5" t="s">
        <v>2730</v>
      </c>
      <c r="K2009" s="57" t="s">
        <v>591</v>
      </c>
      <c r="L2009" s="5" t="s">
        <v>644</v>
      </c>
      <c r="M2009" s="5">
        <v>9</v>
      </c>
      <c r="N2009" s="46">
        <f t="shared" si="54"/>
        <v>295</v>
      </c>
      <c r="O2009" s="46">
        <v>2655</v>
      </c>
      <c r="P2009" s="5" t="s">
        <v>515</v>
      </c>
      <c r="Q2009" s="5" t="s">
        <v>515</v>
      </c>
      <c r="R2009" s="122" t="s">
        <v>1021</v>
      </c>
      <c r="S2009" s="5">
        <v>100</v>
      </c>
    </row>
    <row r="2010" spans="1:19" s="26" customFormat="1" ht="38.25">
      <c r="A2010" s="5">
        <v>1995</v>
      </c>
      <c r="B2010" s="5" t="s">
        <v>710</v>
      </c>
      <c r="C2010" s="42" t="s">
        <v>711</v>
      </c>
      <c r="D2010" s="77" t="s">
        <v>2731</v>
      </c>
      <c r="E2010" s="5" t="s">
        <v>2732</v>
      </c>
      <c r="F2010" s="57" t="s">
        <v>2733</v>
      </c>
      <c r="G2010" s="5" t="s">
        <v>2734</v>
      </c>
      <c r="H2010" s="57" t="s">
        <v>467</v>
      </c>
      <c r="I2010" s="5" t="s">
        <v>2735</v>
      </c>
      <c r="J2010" s="5" t="s">
        <v>2736</v>
      </c>
      <c r="K2010" s="57" t="s">
        <v>591</v>
      </c>
      <c r="L2010" s="5" t="s">
        <v>644</v>
      </c>
      <c r="M2010" s="5">
        <v>3</v>
      </c>
      <c r="N2010" s="46">
        <f t="shared" si="54"/>
        <v>313</v>
      </c>
      <c r="O2010" s="46">
        <v>939</v>
      </c>
      <c r="P2010" s="5" t="s">
        <v>515</v>
      </c>
      <c r="Q2010" s="5" t="s">
        <v>515</v>
      </c>
      <c r="R2010" s="122" t="s">
        <v>1021</v>
      </c>
      <c r="S2010" s="5">
        <v>100</v>
      </c>
    </row>
    <row r="2011" spans="1:19" s="26" customFormat="1" ht="114.75">
      <c r="A2011" s="5">
        <v>1996</v>
      </c>
      <c r="B2011" s="5" t="s">
        <v>710</v>
      </c>
      <c r="C2011" s="35" t="s">
        <v>597</v>
      </c>
      <c r="D2011" s="5" t="s">
        <v>2392</v>
      </c>
      <c r="E2011" s="5" t="s">
        <v>2393</v>
      </c>
      <c r="F2011" s="5" t="s">
        <v>2394</v>
      </c>
      <c r="G2011" s="5" t="s">
        <v>2395</v>
      </c>
      <c r="H2011" s="5" t="s">
        <v>2396</v>
      </c>
      <c r="I2011" s="5" t="s">
        <v>2393</v>
      </c>
      <c r="J2011" s="5" t="s">
        <v>2394</v>
      </c>
      <c r="K2011" s="57" t="s">
        <v>591</v>
      </c>
      <c r="L2011" s="11" t="s">
        <v>914</v>
      </c>
      <c r="M2011" s="5">
        <v>1</v>
      </c>
      <c r="N2011" s="46">
        <f t="shared" si="54"/>
        <v>25496</v>
      </c>
      <c r="O2011" s="46">
        <v>25496</v>
      </c>
      <c r="P2011" s="5" t="s">
        <v>515</v>
      </c>
      <c r="Q2011" s="5" t="s">
        <v>515</v>
      </c>
      <c r="R2011" s="122" t="s">
        <v>1021</v>
      </c>
      <c r="S2011" s="5">
        <v>30</v>
      </c>
    </row>
    <row r="2012" spans="1:19" s="26" customFormat="1" ht="51">
      <c r="A2012" s="5">
        <v>1997</v>
      </c>
      <c r="B2012" s="5" t="s">
        <v>710</v>
      </c>
      <c r="C2012" s="40" t="s">
        <v>597</v>
      </c>
      <c r="D2012" s="11" t="s">
        <v>2830</v>
      </c>
      <c r="E2012" s="5" t="s">
        <v>2832</v>
      </c>
      <c r="F2012" s="76" t="s">
        <v>2831</v>
      </c>
      <c r="G2012" s="5" t="s">
        <v>2832</v>
      </c>
      <c r="H2012" s="76" t="s">
        <v>2831</v>
      </c>
      <c r="I2012" s="5" t="s">
        <v>2833</v>
      </c>
      <c r="J2012" s="5" t="s">
        <v>2778</v>
      </c>
      <c r="K2012" s="5" t="s">
        <v>591</v>
      </c>
      <c r="L2012" s="5" t="s">
        <v>914</v>
      </c>
      <c r="M2012" s="5">
        <v>1</v>
      </c>
      <c r="N2012" s="46">
        <f t="shared" si="54"/>
        <v>5000000</v>
      </c>
      <c r="O2012" s="46">
        <f>3500000+1500000</f>
        <v>5000000</v>
      </c>
      <c r="P2012" s="5" t="s">
        <v>698</v>
      </c>
      <c r="Q2012" s="5" t="s">
        <v>766</v>
      </c>
      <c r="R2012" s="15">
        <v>751110000</v>
      </c>
      <c r="S2012" s="5">
        <v>30</v>
      </c>
    </row>
    <row r="2013" spans="1:19" s="26" customFormat="1" ht="123" customHeight="1">
      <c r="A2013" s="5">
        <v>1998</v>
      </c>
      <c r="B2013" s="5" t="s">
        <v>710</v>
      </c>
      <c r="C2013" s="40" t="s">
        <v>597</v>
      </c>
      <c r="D2013" s="86" t="s">
        <v>942</v>
      </c>
      <c r="E2013" s="22" t="s">
        <v>1155</v>
      </c>
      <c r="F2013" s="86" t="s">
        <v>943</v>
      </c>
      <c r="G2013" s="22" t="s">
        <v>1969</v>
      </c>
      <c r="H2013" s="86" t="s">
        <v>944</v>
      </c>
      <c r="I2013" s="22" t="s">
        <v>2834</v>
      </c>
      <c r="J2013" s="22" t="s">
        <v>2779</v>
      </c>
      <c r="K2013" s="22" t="s">
        <v>591</v>
      </c>
      <c r="L2013" s="22" t="s">
        <v>914</v>
      </c>
      <c r="M2013" s="22">
        <v>1</v>
      </c>
      <c r="N2013" s="46">
        <f t="shared" si="54"/>
        <v>1607143</v>
      </c>
      <c r="O2013" s="46">
        <v>1607143</v>
      </c>
      <c r="P2013" s="87" t="s">
        <v>612</v>
      </c>
      <c r="Q2013" s="5" t="s">
        <v>766</v>
      </c>
      <c r="R2013" s="15">
        <v>751110000</v>
      </c>
      <c r="S2013" s="22">
        <v>0</v>
      </c>
    </row>
    <row r="2014" spans="1:19" ht="51" outlineLevel="1">
      <c r="A2014" s="5">
        <v>1999</v>
      </c>
      <c r="B2014" s="15" t="s">
        <v>710</v>
      </c>
      <c r="C2014" s="5" t="s">
        <v>597</v>
      </c>
      <c r="D2014" s="5" t="s">
        <v>548</v>
      </c>
      <c r="E2014" s="57" t="s">
        <v>549</v>
      </c>
      <c r="F2014" s="57" t="s">
        <v>550</v>
      </c>
      <c r="G2014" s="57" t="s">
        <v>549</v>
      </c>
      <c r="H2014" s="57" t="s">
        <v>550</v>
      </c>
      <c r="I2014" s="57" t="s">
        <v>549</v>
      </c>
      <c r="J2014" s="57" t="s">
        <v>550</v>
      </c>
      <c r="K2014" s="57" t="s">
        <v>591</v>
      </c>
      <c r="L2014" s="11" t="s">
        <v>914</v>
      </c>
      <c r="M2014" s="22">
        <v>1</v>
      </c>
      <c r="N2014" s="46">
        <f t="shared" si="54"/>
        <v>600000</v>
      </c>
      <c r="O2014" s="49">
        <f>1000000-400000</f>
        <v>600000</v>
      </c>
      <c r="P2014" s="5" t="s">
        <v>612</v>
      </c>
      <c r="Q2014" s="5" t="s">
        <v>766</v>
      </c>
      <c r="R2014" s="11">
        <v>710000000</v>
      </c>
      <c r="S2014" s="22">
        <v>0</v>
      </c>
    </row>
    <row r="2015" spans="1:19" ht="76.5" outlineLevel="1">
      <c r="A2015" s="5">
        <v>2000</v>
      </c>
      <c r="B2015" s="15" t="s">
        <v>710</v>
      </c>
      <c r="C2015" s="5" t="s">
        <v>597</v>
      </c>
      <c r="D2015" s="5" t="s">
        <v>551</v>
      </c>
      <c r="E2015" s="57" t="s">
        <v>552</v>
      </c>
      <c r="F2015" s="57" t="s">
        <v>553</v>
      </c>
      <c r="G2015" s="57" t="s">
        <v>554</v>
      </c>
      <c r="H2015" s="57" t="s">
        <v>555</v>
      </c>
      <c r="I2015" s="57" t="s">
        <v>554</v>
      </c>
      <c r="J2015" s="57" t="s">
        <v>555</v>
      </c>
      <c r="K2015" s="57" t="s">
        <v>591</v>
      </c>
      <c r="L2015" s="11" t="s">
        <v>914</v>
      </c>
      <c r="M2015" s="22">
        <v>1</v>
      </c>
      <c r="N2015" s="46">
        <f t="shared" si="54"/>
        <v>1500000</v>
      </c>
      <c r="O2015" s="49">
        <v>1500000</v>
      </c>
      <c r="P2015" s="5" t="s">
        <v>612</v>
      </c>
      <c r="Q2015" s="5" t="s">
        <v>766</v>
      </c>
      <c r="R2015" s="11">
        <v>710000000</v>
      </c>
      <c r="S2015" s="22">
        <v>0</v>
      </c>
    </row>
    <row r="2016" spans="1:19" ht="102" outlineLevel="1">
      <c r="A2016" s="5">
        <v>2001</v>
      </c>
      <c r="B2016" s="15" t="s">
        <v>710</v>
      </c>
      <c r="C2016" s="5" t="s">
        <v>597</v>
      </c>
      <c r="D2016" s="5" t="s">
        <v>556</v>
      </c>
      <c r="E2016" s="57" t="s">
        <v>557</v>
      </c>
      <c r="F2016" s="57" t="s">
        <v>558</v>
      </c>
      <c r="G2016" s="57" t="s">
        <v>559</v>
      </c>
      <c r="H2016" s="57" t="s">
        <v>560</v>
      </c>
      <c r="I2016" s="57" t="s">
        <v>559</v>
      </c>
      <c r="J2016" s="57" t="s">
        <v>560</v>
      </c>
      <c r="K2016" s="57" t="s">
        <v>591</v>
      </c>
      <c r="L2016" s="11" t="s">
        <v>914</v>
      </c>
      <c r="M2016" s="22">
        <v>1</v>
      </c>
      <c r="N2016" s="46">
        <f t="shared" si="54"/>
        <v>1174411</v>
      </c>
      <c r="O2016" s="49">
        <f>550000+400000+224411</f>
        <v>1174411</v>
      </c>
      <c r="P2016" s="5" t="s">
        <v>612</v>
      </c>
      <c r="Q2016" s="5" t="s">
        <v>766</v>
      </c>
      <c r="R2016" s="11">
        <v>710000000</v>
      </c>
      <c r="S2016" s="22">
        <v>0</v>
      </c>
    </row>
    <row r="2017" spans="1:19" s="7" customFormat="1" ht="76.5" collapsed="1">
      <c r="A2017" s="5">
        <v>2002</v>
      </c>
      <c r="B2017" s="15" t="s">
        <v>710</v>
      </c>
      <c r="C2017" s="5" t="s">
        <v>1464</v>
      </c>
      <c r="D2017" s="5" t="s">
        <v>2780</v>
      </c>
      <c r="E2017" s="5" t="s">
        <v>2782</v>
      </c>
      <c r="F2017" s="5" t="s">
        <v>2781</v>
      </c>
      <c r="G2017" s="5" t="s">
        <v>2784</v>
      </c>
      <c r="H2017" s="31" t="s">
        <v>2783</v>
      </c>
      <c r="I2017" s="5" t="s">
        <v>2835</v>
      </c>
      <c r="J2017" s="31" t="s">
        <v>2785</v>
      </c>
      <c r="K2017" s="5" t="s">
        <v>591</v>
      </c>
      <c r="L2017" s="4" t="s">
        <v>1464</v>
      </c>
      <c r="M2017" s="6">
        <v>1</v>
      </c>
      <c r="N2017" s="71">
        <f>O2017</f>
        <v>1487000</v>
      </c>
      <c r="O2017" s="71">
        <v>1487000</v>
      </c>
      <c r="P2017" s="5" t="s">
        <v>612</v>
      </c>
      <c r="Q2017" s="5" t="s">
        <v>2425</v>
      </c>
      <c r="R2017" s="11" t="s">
        <v>1175</v>
      </c>
      <c r="S2017" s="5">
        <v>50</v>
      </c>
    </row>
    <row r="2018" spans="1:19" s="7" customFormat="1" ht="63.75">
      <c r="A2018" s="5">
        <v>2003</v>
      </c>
      <c r="B2018" s="15" t="s">
        <v>710</v>
      </c>
      <c r="C2018" s="5" t="s">
        <v>711</v>
      </c>
      <c r="D2018" s="15" t="s">
        <v>2836</v>
      </c>
      <c r="E2018" s="31" t="s">
        <v>2838</v>
      </c>
      <c r="F2018" s="31" t="s">
        <v>2796</v>
      </c>
      <c r="G2018" s="5" t="s">
        <v>2839</v>
      </c>
      <c r="H2018" s="31" t="s">
        <v>2837</v>
      </c>
      <c r="I2018" s="31" t="s">
        <v>2840</v>
      </c>
      <c r="J2018" s="31" t="s">
        <v>2797</v>
      </c>
      <c r="K2018" s="5" t="s">
        <v>591</v>
      </c>
      <c r="L2018" s="31" t="s">
        <v>644</v>
      </c>
      <c r="M2018" s="6">
        <v>3</v>
      </c>
      <c r="N2018" s="71">
        <f t="shared" ref="N2018:N2036" si="55">O2018/M2018</f>
        <v>2680</v>
      </c>
      <c r="O2018" s="71">
        <v>8040</v>
      </c>
      <c r="P2018" s="5" t="s">
        <v>612</v>
      </c>
      <c r="Q2018" s="5" t="s">
        <v>612</v>
      </c>
      <c r="R2018" s="11" t="s">
        <v>1175</v>
      </c>
      <c r="S2018" s="5">
        <v>100</v>
      </c>
    </row>
    <row r="2019" spans="1:19" s="26" customFormat="1" ht="25.5">
      <c r="A2019" s="5">
        <v>2004</v>
      </c>
      <c r="B2019" s="5" t="s">
        <v>710</v>
      </c>
      <c r="C2019" s="40" t="s">
        <v>711</v>
      </c>
      <c r="D2019" s="5" t="s">
        <v>2718</v>
      </c>
      <c r="E2019" s="5" t="s">
        <v>2719</v>
      </c>
      <c r="F2019" s="5" t="s">
        <v>2720</v>
      </c>
      <c r="G2019" s="5" t="s">
        <v>2723</v>
      </c>
      <c r="H2019" s="5" t="s">
        <v>2724</v>
      </c>
      <c r="I2019" s="5" t="s">
        <v>2800</v>
      </c>
      <c r="J2019" s="5" t="s">
        <v>2724</v>
      </c>
      <c r="K2019" s="57" t="s">
        <v>591</v>
      </c>
      <c r="L2019" s="5" t="s">
        <v>644</v>
      </c>
      <c r="M2019" s="5">
        <v>2</v>
      </c>
      <c r="N2019" s="46">
        <f t="shared" si="55"/>
        <v>55760</v>
      </c>
      <c r="O2019" s="46">
        <v>111520</v>
      </c>
      <c r="P2019" s="5" t="s">
        <v>612</v>
      </c>
      <c r="Q2019" s="5" t="s">
        <v>612</v>
      </c>
      <c r="R2019" s="11" t="s">
        <v>1175</v>
      </c>
      <c r="S2019" s="5">
        <v>100</v>
      </c>
    </row>
    <row r="2020" spans="1:19" s="26" customFormat="1" ht="25.5">
      <c r="A2020" s="5">
        <v>2005</v>
      </c>
      <c r="B2020" s="5" t="s">
        <v>710</v>
      </c>
      <c r="C2020" s="40" t="s">
        <v>711</v>
      </c>
      <c r="D2020" s="5"/>
      <c r="E2020" s="5" t="s">
        <v>2802</v>
      </c>
      <c r="F2020" s="5" t="s">
        <v>2802</v>
      </c>
      <c r="G2020" s="5" t="s">
        <v>2841</v>
      </c>
      <c r="H2020" s="5" t="s">
        <v>2842</v>
      </c>
      <c r="I2020" s="5" t="s">
        <v>2843</v>
      </c>
      <c r="J2020" s="5" t="s">
        <v>2801</v>
      </c>
      <c r="K2020" s="57" t="s">
        <v>591</v>
      </c>
      <c r="L2020" s="5" t="s">
        <v>644</v>
      </c>
      <c r="M2020" s="5">
        <v>1</v>
      </c>
      <c r="N2020" s="46">
        <f t="shared" si="55"/>
        <v>14000</v>
      </c>
      <c r="O2020" s="46">
        <v>14000</v>
      </c>
      <c r="P2020" s="5" t="s">
        <v>612</v>
      </c>
      <c r="Q2020" s="5" t="s">
        <v>612</v>
      </c>
      <c r="R2020" s="11" t="s">
        <v>1175</v>
      </c>
      <c r="S2020" s="5">
        <v>100</v>
      </c>
    </row>
    <row r="2021" spans="1:19" s="26" customFormat="1" ht="63.75">
      <c r="A2021" s="5">
        <v>2006</v>
      </c>
      <c r="B2021" s="5" t="s">
        <v>710</v>
      </c>
      <c r="C2021" s="40" t="s">
        <v>711</v>
      </c>
      <c r="D2021" s="5" t="s">
        <v>2803</v>
      </c>
      <c r="E2021" s="5" t="s">
        <v>2844</v>
      </c>
      <c r="F2021" s="5" t="s">
        <v>2804</v>
      </c>
      <c r="G2021" s="5" t="s">
        <v>2846</v>
      </c>
      <c r="H2021" s="5" t="s">
        <v>2845</v>
      </c>
      <c r="I2021" s="5" t="s">
        <v>2847</v>
      </c>
      <c r="J2021" s="5" t="s">
        <v>2805</v>
      </c>
      <c r="K2021" s="57" t="s">
        <v>591</v>
      </c>
      <c r="L2021" s="5" t="s">
        <v>644</v>
      </c>
      <c r="M2021" s="5">
        <v>1</v>
      </c>
      <c r="N2021" s="46">
        <f t="shared" si="55"/>
        <v>18800</v>
      </c>
      <c r="O2021" s="46">
        <v>18800</v>
      </c>
      <c r="P2021" s="5" t="s">
        <v>612</v>
      </c>
      <c r="Q2021" s="5" t="s">
        <v>612</v>
      </c>
      <c r="R2021" s="11" t="s">
        <v>1175</v>
      </c>
      <c r="S2021" s="5">
        <v>100</v>
      </c>
    </row>
    <row r="2022" spans="1:19" s="7" customFormat="1" ht="51">
      <c r="A2022" s="5">
        <v>2007</v>
      </c>
      <c r="B2022" s="15" t="s">
        <v>710</v>
      </c>
      <c r="C2022" s="5" t="s">
        <v>711</v>
      </c>
      <c r="D2022" s="5" t="s">
        <v>2806</v>
      </c>
      <c r="E2022" s="5" t="s">
        <v>2807</v>
      </c>
      <c r="F2022" s="5" t="s">
        <v>2808</v>
      </c>
      <c r="G2022" s="5" t="s">
        <v>2809</v>
      </c>
      <c r="H2022" s="5" t="s">
        <v>2810</v>
      </c>
      <c r="I2022" s="5" t="s">
        <v>2848</v>
      </c>
      <c r="J2022" s="31" t="s">
        <v>2811</v>
      </c>
      <c r="K2022" s="5" t="s">
        <v>591</v>
      </c>
      <c r="L2022" s="5" t="s">
        <v>1479</v>
      </c>
      <c r="M2022" s="31">
        <v>80</v>
      </c>
      <c r="N2022" s="85">
        <f t="shared" si="55"/>
        <v>3381</v>
      </c>
      <c r="O2022" s="85">
        <v>270480</v>
      </c>
      <c r="P2022" s="4" t="s">
        <v>612</v>
      </c>
      <c r="Q2022" s="5" t="s">
        <v>2491</v>
      </c>
      <c r="R2022" s="11" t="s">
        <v>1175</v>
      </c>
      <c r="S2022" s="5">
        <v>100</v>
      </c>
    </row>
    <row r="2023" spans="1:19" s="7" customFormat="1" ht="60.75" customHeight="1">
      <c r="A2023" s="5">
        <v>2008</v>
      </c>
      <c r="B2023" s="15" t="s">
        <v>710</v>
      </c>
      <c r="C2023" s="5" t="s">
        <v>711</v>
      </c>
      <c r="D2023" s="5" t="s">
        <v>2814</v>
      </c>
      <c r="E2023" s="5" t="s">
        <v>2813</v>
      </c>
      <c r="F2023" s="5" t="s">
        <v>2813</v>
      </c>
      <c r="G2023" s="5" t="s">
        <v>2850</v>
      </c>
      <c r="H2023" s="5" t="s">
        <v>2849</v>
      </c>
      <c r="I2023" s="5" t="s">
        <v>2851</v>
      </c>
      <c r="J2023" s="31" t="s">
        <v>2812</v>
      </c>
      <c r="K2023" s="5" t="s">
        <v>591</v>
      </c>
      <c r="L2023" s="5" t="s">
        <v>644</v>
      </c>
      <c r="M2023" s="31">
        <v>5</v>
      </c>
      <c r="N2023" s="85">
        <f t="shared" si="55"/>
        <v>12100</v>
      </c>
      <c r="O2023" s="85">
        <v>60500</v>
      </c>
      <c r="P2023" s="4" t="s">
        <v>612</v>
      </c>
      <c r="Q2023" s="5" t="s">
        <v>612</v>
      </c>
      <c r="R2023" s="11" t="s">
        <v>1175</v>
      </c>
      <c r="S2023" s="5">
        <v>100</v>
      </c>
    </row>
    <row r="2024" spans="1:19" s="7" customFormat="1" ht="63.75">
      <c r="A2024" s="5">
        <v>2009</v>
      </c>
      <c r="B2024" s="15" t="s">
        <v>710</v>
      </c>
      <c r="C2024" s="5" t="s">
        <v>711</v>
      </c>
      <c r="D2024" s="15" t="s">
        <v>2799</v>
      </c>
      <c r="E2024" s="56" t="s">
        <v>2853</v>
      </c>
      <c r="F2024" s="31" t="s">
        <v>2815</v>
      </c>
      <c r="G2024" s="5" t="s">
        <v>2854</v>
      </c>
      <c r="H2024" s="31" t="s">
        <v>2852</v>
      </c>
      <c r="I2024" s="31" t="s">
        <v>2855</v>
      </c>
      <c r="J2024" s="31" t="s">
        <v>2798</v>
      </c>
      <c r="K2024" s="5" t="s">
        <v>591</v>
      </c>
      <c r="L2024" s="31" t="s">
        <v>644</v>
      </c>
      <c r="M2024" s="6">
        <v>55</v>
      </c>
      <c r="N2024" s="71">
        <f t="shared" si="55"/>
        <v>5780</v>
      </c>
      <c r="O2024" s="71">
        <v>317900</v>
      </c>
      <c r="P2024" s="5" t="s">
        <v>612</v>
      </c>
      <c r="Q2024" s="5" t="s">
        <v>612</v>
      </c>
      <c r="R2024" s="11" t="s">
        <v>1175</v>
      </c>
      <c r="S2024" s="5">
        <v>50</v>
      </c>
    </row>
    <row r="2025" spans="1:19" s="13" customFormat="1" ht="51">
      <c r="A2025" s="5">
        <v>2010</v>
      </c>
      <c r="B2025" s="15" t="s">
        <v>710</v>
      </c>
      <c r="C2025" s="5" t="s">
        <v>711</v>
      </c>
      <c r="D2025" s="5" t="s">
        <v>980</v>
      </c>
      <c r="E2025" s="57" t="s">
        <v>730</v>
      </c>
      <c r="F2025" s="57" t="s">
        <v>2435</v>
      </c>
      <c r="G2025" s="57" t="s">
        <v>2786</v>
      </c>
      <c r="H2025" s="57" t="s">
        <v>2787</v>
      </c>
      <c r="I2025" s="57" t="s">
        <v>2856</v>
      </c>
      <c r="J2025" s="57" t="s">
        <v>2788</v>
      </c>
      <c r="K2025" s="57" t="s">
        <v>591</v>
      </c>
      <c r="L2025" s="31" t="s">
        <v>644</v>
      </c>
      <c r="M2025" s="22">
        <v>1</v>
      </c>
      <c r="N2025" s="46">
        <f t="shared" si="55"/>
        <v>384000</v>
      </c>
      <c r="O2025" s="49">
        <v>384000</v>
      </c>
      <c r="P2025" s="5" t="s">
        <v>612</v>
      </c>
      <c r="Q2025" s="5" t="s">
        <v>2491</v>
      </c>
      <c r="R2025" s="11" t="s">
        <v>1175</v>
      </c>
      <c r="S2025" s="22">
        <v>50</v>
      </c>
    </row>
    <row r="2026" spans="1:19" s="7" customFormat="1" ht="51">
      <c r="A2026" s="5">
        <v>2011</v>
      </c>
      <c r="B2026" s="15" t="s">
        <v>710</v>
      </c>
      <c r="C2026" s="5" t="s">
        <v>711</v>
      </c>
      <c r="D2026" s="15" t="s">
        <v>2789</v>
      </c>
      <c r="E2026" s="56" t="s">
        <v>730</v>
      </c>
      <c r="F2026" s="31" t="s">
        <v>731</v>
      </c>
      <c r="G2026" s="31" t="s">
        <v>2790</v>
      </c>
      <c r="H2026" s="31" t="s">
        <v>2791</v>
      </c>
      <c r="I2026" s="31" t="s">
        <v>2857</v>
      </c>
      <c r="J2026" s="31" t="s">
        <v>2792</v>
      </c>
      <c r="K2026" s="5" t="s">
        <v>591</v>
      </c>
      <c r="L2026" s="31" t="s">
        <v>644</v>
      </c>
      <c r="M2026" s="6">
        <v>1</v>
      </c>
      <c r="N2026" s="71">
        <f t="shared" si="55"/>
        <v>83100</v>
      </c>
      <c r="O2026" s="71">
        <v>83100</v>
      </c>
      <c r="P2026" s="5" t="s">
        <v>612</v>
      </c>
      <c r="Q2026" s="5" t="s">
        <v>2491</v>
      </c>
      <c r="R2026" s="11" t="s">
        <v>1175</v>
      </c>
      <c r="S2026" s="5">
        <v>50</v>
      </c>
    </row>
    <row r="2027" spans="1:19" s="7" customFormat="1" ht="170.25" customHeight="1">
      <c r="A2027" s="5">
        <v>2012</v>
      </c>
      <c r="B2027" s="15" t="s">
        <v>710</v>
      </c>
      <c r="C2027" s="5" t="s">
        <v>711</v>
      </c>
      <c r="D2027" s="15" t="s">
        <v>2793</v>
      </c>
      <c r="E2027" s="31" t="s">
        <v>720</v>
      </c>
      <c r="F2027" s="31" t="s">
        <v>720</v>
      </c>
      <c r="G2027" s="31" t="s">
        <v>2858</v>
      </c>
      <c r="H2027" s="31" t="s">
        <v>2795</v>
      </c>
      <c r="I2027" s="31" t="s">
        <v>2859</v>
      </c>
      <c r="J2027" s="31" t="s">
        <v>2794</v>
      </c>
      <c r="K2027" s="5" t="s">
        <v>591</v>
      </c>
      <c r="L2027" s="31" t="s">
        <v>644</v>
      </c>
      <c r="M2027" s="6">
        <v>1</v>
      </c>
      <c r="N2027" s="71">
        <f t="shared" si="55"/>
        <v>195500</v>
      </c>
      <c r="O2027" s="71">
        <v>195500</v>
      </c>
      <c r="P2027" s="5" t="s">
        <v>612</v>
      </c>
      <c r="Q2027" s="5" t="s">
        <v>2491</v>
      </c>
      <c r="R2027" s="11" t="s">
        <v>1175</v>
      </c>
      <c r="S2027" s="5">
        <v>50</v>
      </c>
    </row>
    <row r="2028" spans="1:19" s="7" customFormat="1" ht="151.5" customHeight="1">
      <c r="A2028" s="5">
        <v>2013</v>
      </c>
      <c r="B2028" s="15" t="s">
        <v>710</v>
      </c>
      <c r="C2028" s="5" t="s">
        <v>711</v>
      </c>
      <c r="D2028" s="15" t="s">
        <v>2816</v>
      </c>
      <c r="E2028" s="5" t="s">
        <v>2861</v>
      </c>
      <c r="F2028" s="31" t="s">
        <v>2817</v>
      </c>
      <c r="G2028" s="31" t="s">
        <v>2875</v>
      </c>
      <c r="H2028" s="31" t="s">
        <v>2860</v>
      </c>
      <c r="I2028" s="5" t="s">
        <v>2861</v>
      </c>
      <c r="J2028" s="31" t="s">
        <v>2817</v>
      </c>
      <c r="K2028" s="5" t="s">
        <v>591</v>
      </c>
      <c r="L2028" s="31" t="s">
        <v>644</v>
      </c>
      <c r="M2028" s="6">
        <v>1</v>
      </c>
      <c r="N2028" s="71">
        <f t="shared" si="55"/>
        <v>5500</v>
      </c>
      <c r="O2028" s="71">
        <v>5500</v>
      </c>
      <c r="P2028" s="5" t="s">
        <v>612</v>
      </c>
      <c r="Q2028" s="5" t="s">
        <v>2818</v>
      </c>
      <c r="R2028" s="11" t="s">
        <v>789</v>
      </c>
      <c r="S2028" s="5">
        <v>100</v>
      </c>
    </row>
    <row r="2029" spans="1:19" s="7" customFormat="1" ht="51">
      <c r="A2029" s="5">
        <v>2014</v>
      </c>
      <c r="B2029" s="15" t="s">
        <v>710</v>
      </c>
      <c r="C2029" s="5" t="s">
        <v>711</v>
      </c>
      <c r="D2029" s="15" t="s">
        <v>2819</v>
      </c>
      <c r="E2029" s="7" t="s">
        <v>2891</v>
      </c>
      <c r="F2029" s="31" t="s">
        <v>2820</v>
      </c>
      <c r="G2029" s="4" t="s">
        <v>2862</v>
      </c>
      <c r="H2029" s="31" t="s">
        <v>2863</v>
      </c>
      <c r="I2029" s="7" t="s">
        <v>2891</v>
      </c>
      <c r="J2029" s="31" t="s">
        <v>2820</v>
      </c>
      <c r="K2029" s="5" t="s">
        <v>591</v>
      </c>
      <c r="L2029" s="31" t="s">
        <v>644</v>
      </c>
      <c r="M2029" s="6">
        <v>2</v>
      </c>
      <c r="N2029" s="71">
        <f t="shared" si="55"/>
        <v>3000</v>
      </c>
      <c r="O2029" s="71">
        <v>6000</v>
      </c>
      <c r="P2029" s="5" t="s">
        <v>612</v>
      </c>
      <c r="Q2029" s="5" t="s">
        <v>2818</v>
      </c>
      <c r="R2029" s="11" t="s">
        <v>789</v>
      </c>
      <c r="S2029" s="5">
        <v>100</v>
      </c>
    </row>
    <row r="2030" spans="1:19" s="7" customFormat="1" ht="63.75">
      <c r="A2030" s="5">
        <v>2015</v>
      </c>
      <c r="B2030" s="15" t="s">
        <v>710</v>
      </c>
      <c r="C2030" s="5" t="s">
        <v>597</v>
      </c>
      <c r="D2030" s="15" t="s">
        <v>2821</v>
      </c>
      <c r="E2030" s="5" t="s">
        <v>2866</v>
      </c>
      <c r="F2030" s="31" t="s">
        <v>2865</v>
      </c>
      <c r="G2030" s="5" t="s">
        <v>2866</v>
      </c>
      <c r="H2030" s="31" t="s">
        <v>2865</v>
      </c>
      <c r="I2030" s="5" t="s">
        <v>2864</v>
      </c>
      <c r="J2030" s="31" t="s">
        <v>2822</v>
      </c>
      <c r="K2030" s="5" t="s">
        <v>591</v>
      </c>
      <c r="L2030" s="11" t="s">
        <v>914</v>
      </c>
      <c r="M2030" s="6">
        <v>1</v>
      </c>
      <c r="N2030" s="71">
        <f t="shared" si="55"/>
        <v>34643</v>
      </c>
      <c r="O2030" s="71">
        <v>34643</v>
      </c>
      <c r="P2030" s="5" t="s">
        <v>612</v>
      </c>
      <c r="Q2030" s="5" t="s">
        <v>2818</v>
      </c>
      <c r="R2030" s="11" t="s">
        <v>789</v>
      </c>
      <c r="S2030" s="5">
        <v>100</v>
      </c>
    </row>
    <row r="2031" spans="1:19" s="7" customFormat="1" ht="134.25" customHeight="1">
      <c r="A2031" s="5">
        <v>2016</v>
      </c>
      <c r="B2031" s="15" t="s">
        <v>710</v>
      </c>
      <c r="C2031" s="5" t="s">
        <v>1464</v>
      </c>
      <c r="D2031" s="5" t="s">
        <v>2480</v>
      </c>
      <c r="E2031" s="5" t="s">
        <v>2482</v>
      </c>
      <c r="F2031" s="5" t="s">
        <v>2481</v>
      </c>
      <c r="G2031" s="5" t="s">
        <v>2484</v>
      </c>
      <c r="H2031" s="31" t="s">
        <v>2483</v>
      </c>
      <c r="I2031" s="5" t="s">
        <v>2867</v>
      </c>
      <c r="J2031" s="31" t="s">
        <v>2823</v>
      </c>
      <c r="K2031" s="5" t="s">
        <v>591</v>
      </c>
      <c r="L2031" s="4" t="s">
        <v>1464</v>
      </c>
      <c r="M2031" s="6">
        <v>1</v>
      </c>
      <c r="N2031" s="71">
        <f t="shared" si="55"/>
        <v>2668850</v>
      </c>
      <c r="O2031" s="71">
        <v>2668850</v>
      </c>
      <c r="P2031" s="5" t="s">
        <v>612</v>
      </c>
      <c r="Q2031" s="5" t="s">
        <v>502</v>
      </c>
      <c r="R2031" s="11" t="s">
        <v>789</v>
      </c>
      <c r="S2031" s="5">
        <v>30</v>
      </c>
    </row>
    <row r="2032" spans="1:19" s="7" customFormat="1" ht="165.75">
      <c r="A2032" s="5">
        <v>2017</v>
      </c>
      <c r="B2032" s="15" t="s">
        <v>710</v>
      </c>
      <c r="C2032" s="5" t="s">
        <v>711</v>
      </c>
      <c r="D2032" s="15" t="s">
        <v>2824</v>
      </c>
      <c r="E2032" s="5" t="s">
        <v>2870</v>
      </c>
      <c r="F2032" s="31" t="s">
        <v>2825</v>
      </c>
      <c r="G2032" s="31" t="s">
        <v>2869</v>
      </c>
      <c r="H2032" s="31" t="s">
        <v>2868</v>
      </c>
      <c r="I2032" s="31" t="s">
        <v>2871</v>
      </c>
      <c r="J2032" s="31" t="s">
        <v>2826</v>
      </c>
      <c r="K2032" s="5" t="s">
        <v>591</v>
      </c>
      <c r="L2032" s="31" t="s">
        <v>644</v>
      </c>
      <c r="M2032" s="6">
        <v>1</v>
      </c>
      <c r="N2032" s="71">
        <f t="shared" si="55"/>
        <v>30000</v>
      </c>
      <c r="O2032" s="71">
        <v>30000</v>
      </c>
      <c r="P2032" s="5" t="s">
        <v>612</v>
      </c>
      <c r="Q2032" s="5" t="s">
        <v>2818</v>
      </c>
      <c r="R2032" s="11" t="s">
        <v>789</v>
      </c>
      <c r="S2032" s="5">
        <v>100</v>
      </c>
    </row>
    <row r="2033" spans="1:19" s="7" customFormat="1" ht="60.75" customHeight="1">
      <c r="A2033" s="5">
        <v>2018</v>
      </c>
      <c r="B2033" s="15" t="s">
        <v>710</v>
      </c>
      <c r="C2033" s="5" t="s">
        <v>711</v>
      </c>
      <c r="D2033" s="15" t="s">
        <v>2827</v>
      </c>
      <c r="E2033" s="4" t="s">
        <v>2828</v>
      </c>
      <c r="F2033" s="4" t="s">
        <v>2828</v>
      </c>
      <c r="G2033" s="31" t="s">
        <v>2873</v>
      </c>
      <c r="H2033" s="31" t="s">
        <v>2872</v>
      </c>
      <c r="I2033" s="31" t="s">
        <v>2874</v>
      </c>
      <c r="J2033" s="31" t="s">
        <v>2829</v>
      </c>
      <c r="K2033" s="5" t="s">
        <v>591</v>
      </c>
      <c r="L2033" s="31" t="s">
        <v>644</v>
      </c>
      <c r="M2033" s="6">
        <v>2</v>
      </c>
      <c r="N2033" s="71">
        <f t="shared" si="55"/>
        <v>13500</v>
      </c>
      <c r="O2033" s="71">
        <v>27000</v>
      </c>
      <c r="P2033" s="5" t="s">
        <v>612</v>
      </c>
      <c r="Q2033" s="5" t="s">
        <v>2818</v>
      </c>
      <c r="R2033" s="11" t="s">
        <v>789</v>
      </c>
      <c r="S2033" s="5">
        <v>100</v>
      </c>
    </row>
    <row r="2034" spans="1:19" s="7" customFormat="1" ht="51">
      <c r="A2034" s="5">
        <v>2019</v>
      </c>
      <c r="B2034" s="15" t="s">
        <v>710</v>
      </c>
      <c r="C2034" s="5" t="s">
        <v>711</v>
      </c>
      <c r="D2034" s="15" t="s">
        <v>2876</v>
      </c>
      <c r="E2034" s="56" t="s">
        <v>2880</v>
      </c>
      <c r="F2034" s="31" t="s">
        <v>2877</v>
      </c>
      <c r="G2034" s="31" t="s">
        <v>2881</v>
      </c>
      <c r="H2034" s="31" t="s">
        <v>2878</v>
      </c>
      <c r="I2034" s="31" t="s">
        <v>2882</v>
      </c>
      <c r="J2034" s="31" t="s">
        <v>2879</v>
      </c>
      <c r="K2034" s="5" t="s">
        <v>591</v>
      </c>
      <c r="L2034" s="31" t="s">
        <v>638</v>
      </c>
      <c r="M2034" s="6">
        <v>24</v>
      </c>
      <c r="N2034" s="71">
        <f>O2034/M2034</f>
        <v>18750</v>
      </c>
      <c r="O2034" s="71">
        <v>450000</v>
      </c>
      <c r="P2034" s="5" t="s">
        <v>612</v>
      </c>
      <c r="Q2034" s="5" t="s">
        <v>2444</v>
      </c>
      <c r="R2034" s="11" t="s">
        <v>1175</v>
      </c>
      <c r="S2034" s="5">
        <v>100</v>
      </c>
    </row>
    <row r="2035" spans="1:19" s="7" customFormat="1" ht="138.75" customHeight="1">
      <c r="A2035" s="5">
        <v>2020</v>
      </c>
      <c r="B2035" s="15" t="s">
        <v>710</v>
      </c>
      <c r="C2035" s="5" t="s">
        <v>711</v>
      </c>
      <c r="D2035" s="15" t="s">
        <v>2890</v>
      </c>
      <c r="E2035" s="7" t="s">
        <v>2891</v>
      </c>
      <c r="F2035" s="31" t="s">
        <v>2820</v>
      </c>
      <c r="G2035" s="31" t="s">
        <v>2892</v>
      </c>
      <c r="H2035" s="31" t="s">
        <v>2893</v>
      </c>
      <c r="I2035" s="31" t="s">
        <v>2895</v>
      </c>
      <c r="J2035" s="31" t="s">
        <v>2894</v>
      </c>
      <c r="K2035" s="5" t="s">
        <v>591</v>
      </c>
      <c r="L2035" s="31" t="s">
        <v>644</v>
      </c>
      <c r="M2035" s="6">
        <v>1</v>
      </c>
      <c r="N2035" s="71">
        <f t="shared" si="55"/>
        <v>29670</v>
      </c>
      <c r="O2035" s="71">
        <v>29670</v>
      </c>
      <c r="P2035" s="5" t="s">
        <v>612</v>
      </c>
      <c r="Q2035" s="5" t="s">
        <v>612</v>
      </c>
      <c r="R2035" s="11" t="s">
        <v>1175</v>
      </c>
      <c r="S2035" s="5">
        <v>100</v>
      </c>
    </row>
    <row r="2036" spans="1:19" s="7" customFormat="1" ht="76.5">
      <c r="A2036" s="5">
        <v>2021</v>
      </c>
      <c r="B2036" s="15" t="s">
        <v>710</v>
      </c>
      <c r="C2036" s="5" t="s">
        <v>597</v>
      </c>
      <c r="D2036" s="15" t="s">
        <v>2883</v>
      </c>
      <c r="E2036" s="31" t="s">
        <v>2887</v>
      </c>
      <c r="F2036" s="31" t="s">
        <v>2884</v>
      </c>
      <c r="G2036" s="31" t="s">
        <v>2888</v>
      </c>
      <c r="H2036" s="31" t="s">
        <v>2885</v>
      </c>
      <c r="I2036" s="31" t="s">
        <v>2889</v>
      </c>
      <c r="J2036" s="31" t="s">
        <v>2886</v>
      </c>
      <c r="K2036" s="5" t="s">
        <v>591</v>
      </c>
      <c r="L2036" s="31" t="s">
        <v>914</v>
      </c>
      <c r="M2036" s="6">
        <v>1</v>
      </c>
      <c r="N2036" s="71">
        <f t="shared" si="55"/>
        <v>300000</v>
      </c>
      <c r="O2036" s="71">
        <v>300000</v>
      </c>
      <c r="P2036" s="5" t="s">
        <v>612</v>
      </c>
      <c r="Q2036" s="5" t="s">
        <v>612</v>
      </c>
      <c r="R2036" s="11">
        <v>751110000</v>
      </c>
      <c r="S2036" s="5">
        <v>100</v>
      </c>
    </row>
    <row r="2037" spans="1:19" s="7" customFormat="1" ht="76.5">
      <c r="A2037" s="5">
        <v>2022</v>
      </c>
      <c r="B2037" s="15" t="s">
        <v>710</v>
      </c>
      <c r="C2037" s="5" t="s">
        <v>597</v>
      </c>
      <c r="D2037" s="15" t="s">
        <v>1260</v>
      </c>
      <c r="E2037" s="31" t="s">
        <v>1979</v>
      </c>
      <c r="F2037" s="31" t="s">
        <v>1261</v>
      </c>
      <c r="G2037" s="31" t="s">
        <v>1979</v>
      </c>
      <c r="H2037" s="31" t="s">
        <v>1261</v>
      </c>
      <c r="I2037" s="31" t="s">
        <v>2897</v>
      </c>
      <c r="J2037" s="31" t="s">
        <v>2896</v>
      </c>
      <c r="K2037" s="5" t="s">
        <v>591</v>
      </c>
      <c r="L2037" s="31" t="s">
        <v>914</v>
      </c>
      <c r="M2037" s="6">
        <v>1</v>
      </c>
      <c r="N2037" s="71">
        <f>O2037/M2037</f>
        <v>1382151</v>
      </c>
      <c r="O2037" s="71">
        <v>1382151</v>
      </c>
      <c r="P2037" s="5" t="s">
        <v>612</v>
      </c>
      <c r="Q2037" s="5" t="s">
        <v>766</v>
      </c>
      <c r="R2037" s="11">
        <v>751110000</v>
      </c>
      <c r="S2037" s="5">
        <v>50</v>
      </c>
    </row>
    <row r="2038" spans="1:19" s="32" customFormat="1" ht="133.5" customHeight="1">
      <c r="A2038" s="5">
        <v>2023</v>
      </c>
      <c r="B2038" s="15" t="s">
        <v>710</v>
      </c>
      <c r="C2038" s="30" t="s">
        <v>711</v>
      </c>
      <c r="D2038" s="5" t="s">
        <v>2369</v>
      </c>
      <c r="E2038" s="57" t="s">
        <v>388</v>
      </c>
      <c r="F2038" s="57" t="s">
        <v>388</v>
      </c>
      <c r="G2038" s="57" t="s">
        <v>2371</v>
      </c>
      <c r="H2038" s="57" t="s">
        <v>2370</v>
      </c>
      <c r="I2038" s="57" t="s">
        <v>2371</v>
      </c>
      <c r="J2038" s="57" t="s">
        <v>2370</v>
      </c>
      <c r="K2038" s="57" t="s">
        <v>591</v>
      </c>
      <c r="L2038" s="31" t="s">
        <v>644</v>
      </c>
      <c r="M2038" s="22">
        <v>4</v>
      </c>
      <c r="N2038" s="46">
        <f t="shared" ref="N2038:N2063" si="56">O2038/M2038</f>
        <v>37500</v>
      </c>
      <c r="O2038" s="49">
        <v>150000</v>
      </c>
      <c r="P2038" s="5" t="s">
        <v>612</v>
      </c>
      <c r="Q2038" s="5" t="s">
        <v>2438</v>
      </c>
      <c r="R2038" s="11">
        <v>311000000</v>
      </c>
      <c r="S2038" s="22">
        <v>30</v>
      </c>
    </row>
    <row r="2039" spans="1:19" ht="76.5" outlineLevel="1">
      <c r="A2039" s="5">
        <v>2024</v>
      </c>
      <c r="B2039" s="15" t="s">
        <v>710</v>
      </c>
      <c r="C2039" s="5" t="s">
        <v>597</v>
      </c>
      <c r="D2039" s="5" t="s">
        <v>2898</v>
      </c>
      <c r="E2039" s="57" t="s">
        <v>2901</v>
      </c>
      <c r="F2039" s="57" t="s">
        <v>2899</v>
      </c>
      <c r="G2039" s="57" t="s">
        <v>2902</v>
      </c>
      <c r="H2039" s="57" t="s">
        <v>2900</v>
      </c>
      <c r="I2039" s="57" t="s">
        <v>2901</v>
      </c>
      <c r="J2039" s="57" t="s">
        <v>2899</v>
      </c>
      <c r="K2039" s="57" t="s">
        <v>591</v>
      </c>
      <c r="L2039" s="11" t="s">
        <v>914</v>
      </c>
      <c r="M2039" s="22">
        <v>1</v>
      </c>
      <c r="N2039" s="46">
        <f t="shared" si="56"/>
        <v>804000</v>
      </c>
      <c r="O2039" s="49">
        <v>804000</v>
      </c>
      <c r="P2039" s="5" t="s">
        <v>612</v>
      </c>
      <c r="Q2039" s="5" t="s">
        <v>766</v>
      </c>
      <c r="R2039" s="11" t="s">
        <v>2029</v>
      </c>
      <c r="S2039" s="5">
        <v>0</v>
      </c>
    </row>
    <row r="2040" spans="1:19" s="7" customFormat="1" ht="76.5" collapsed="1">
      <c r="A2040" s="5">
        <v>2025</v>
      </c>
      <c r="B2040" s="15" t="s">
        <v>710</v>
      </c>
      <c r="C2040" s="5" t="s">
        <v>597</v>
      </c>
      <c r="D2040" s="15" t="s">
        <v>2907</v>
      </c>
      <c r="E2040" s="31" t="s">
        <v>2924</v>
      </c>
      <c r="F2040" s="31" t="s">
        <v>2908</v>
      </c>
      <c r="G2040" s="31" t="s">
        <v>2925</v>
      </c>
      <c r="H2040" s="31" t="s">
        <v>2909</v>
      </c>
      <c r="I2040" s="31" t="s">
        <v>2926</v>
      </c>
      <c r="J2040" s="31" t="s">
        <v>2910</v>
      </c>
      <c r="K2040" s="57" t="s">
        <v>591</v>
      </c>
      <c r="L2040" s="31" t="s">
        <v>914</v>
      </c>
      <c r="M2040" s="6">
        <v>1</v>
      </c>
      <c r="N2040" s="71">
        <f t="shared" si="56"/>
        <v>1691000</v>
      </c>
      <c r="O2040" s="71">
        <v>1691000</v>
      </c>
      <c r="P2040" s="5" t="s">
        <v>501</v>
      </c>
      <c r="Q2040" s="5" t="s">
        <v>2911</v>
      </c>
      <c r="R2040" s="11">
        <v>751110000</v>
      </c>
      <c r="S2040" s="5">
        <v>50</v>
      </c>
    </row>
    <row r="2041" spans="1:19" s="7" customFormat="1" ht="114.75">
      <c r="A2041" s="5">
        <v>2026</v>
      </c>
      <c r="B2041" s="15" t="s">
        <v>710</v>
      </c>
      <c r="C2041" s="5" t="s">
        <v>597</v>
      </c>
      <c r="D2041" s="15" t="s">
        <v>2912</v>
      </c>
      <c r="E2041" s="31" t="s">
        <v>2927</v>
      </c>
      <c r="F2041" s="31" t="s">
        <v>2913</v>
      </c>
      <c r="G2041" s="31" t="s">
        <v>2928</v>
      </c>
      <c r="H2041" s="31" t="s">
        <v>2914</v>
      </c>
      <c r="I2041" s="31" t="s">
        <v>2934</v>
      </c>
      <c r="J2041" s="31" t="s">
        <v>2915</v>
      </c>
      <c r="K2041" s="57" t="s">
        <v>591</v>
      </c>
      <c r="L2041" s="31" t="s">
        <v>914</v>
      </c>
      <c r="M2041" s="6">
        <v>1</v>
      </c>
      <c r="N2041" s="71">
        <f t="shared" si="56"/>
        <v>2331000</v>
      </c>
      <c r="O2041" s="71">
        <v>2331000</v>
      </c>
      <c r="P2041" s="5" t="s">
        <v>501</v>
      </c>
      <c r="Q2041" s="5" t="s">
        <v>2911</v>
      </c>
      <c r="R2041" s="11">
        <v>751110000</v>
      </c>
      <c r="S2041" s="5">
        <v>50</v>
      </c>
    </row>
    <row r="2042" spans="1:19" s="7" customFormat="1" ht="89.25">
      <c r="A2042" s="5">
        <v>2027</v>
      </c>
      <c r="B2042" s="15" t="s">
        <v>710</v>
      </c>
      <c r="C2042" s="5" t="s">
        <v>597</v>
      </c>
      <c r="D2042" s="15" t="s">
        <v>2916</v>
      </c>
      <c r="E2042" s="31" t="s">
        <v>2929</v>
      </c>
      <c r="F2042" s="31" t="s">
        <v>2917</v>
      </c>
      <c r="G2042" s="31" t="s">
        <v>2929</v>
      </c>
      <c r="H2042" s="31" t="s">
        <v>2918</v>
      </c>
      <c r="I2042" s="31" t="s">
        <v>2930</v>
      </c>
      <c r="J2042" s="31" t="s">
        <v>2919</v>
      </c>
      <c r="K2042" s="57" t="s">
        <v>591</v>
      </c>
      <c r="L2042" s="31" t="s">
        <v>914</v>
      </c>
      <c r="M2042" s="6">
        <v>1</v>
      </c>
      <c r="N2042" s="71">
        <f t="shared" si="56"/>
        <v>3200000</v>
      </c>
      <c r="O2042" s="71">
        <v>3200000</v>
      </c>
      <c r="P2042" s="5" t="s">
        <v>501</v>
      </c>
      <c r="Q2042" s="5" t="s">
        <v>2911</v>
      </c>
      <c r="R2042" s="11">
        <v>751110000</v>
      </c>
      <c r="S2042" s="5">
        <v>50</v>
      </c>
    </row>
    <row r="2043" spans="1:19" s="7" customFormat="1" ht="89.25">
      <c r="A2043" s="5">
        <v>2028</v>
      </c>
      <c r="B2043" s="15" t="s">
        <v>710</v>
      </c>
      <c r="C2043" s="5" t="s">
        <v>597</v>
      </c>
      <c r="D2043" s="15" t="s">
        <v>2920</v>
      </c>
      <c r="E2043" s="31" t="s">
        <v>2931</v>
      </c>
      <c r="F2043" s="31" t="s">
        <v>2921</v>
      </c>
      <c r="G2043" s="31" t="s">
        <v>2932</v>
      </c>
      <c r="H2043" s="31" t="s">
        <v>2922</v>
      </c>
      <c r="I2043" s="31" t="s">
        <v>2933</v>
      </c>
      <c r="J2043" s="31" t="s">
        <v>2923</v>
      </c>
      <c r="K2043" s="57" t="s">
        <v>591</v>
      </c>
      <c r="L2043" s="31" t="s">
        <v>914</v>
      </c>
      <c r="M2043" s="6">
        <v>1</v>
      </c>
      <c r="N2043" s="71">
        <f t="shared" si="56"/>
        <v>3200000</v>
      </c>
      <c r="O2043" s="71">
        <v>3200000</v>
      </c>
      <c r="P2043" s="5" t="s">
        <v>501</v>
      </c>
      <c r="Q2043" s="5" t="s">
        <v>2911</v>
      </c>
      <c r="R2043" s="11">
        <v>751110000</v>
      </c>
      <c r="S2043" s="5">
        <v>50</v>
      </c>
    </row>
    <row r="2044" spans="1:19" s="37" customFormat="1" ht="51">
      <c r="A2044" s="5">
        <v>2029</v>
      </c>
      <c r="B2044" s="15" t="s">
        <v>710</v>
      </c>
      <c r="C2044" s="5" t="s">
        <v>1464</v>
      </c>
      <c r="D2044" s="5" t="s">
        <v>2935</v>
      </c>
      <c r="E2044" s="5" t="s">
        <v>2954</v>
      </c>
      <c r="F2044" s="57" t="s">
        <v>2936</v>
      </c>
      <c r="G2044" s="5" t="s">
        <v>2955</v>
      </c>
      <c r="H2044" s="57" t="s">
        <v>2937</v>
      </c>
      <c r="I2044" s="57" t="s">
        <v>2956</v>
      </c>
      <c r="J2044" s="57" t="s">
        <v>2938</v>
      </c>
      <c r="K2044" s="57" t="s">
        <v>591</v>
      </c>
      <c r="L2044" s="11" t="s">
        <v>1464</v>
      </c>
      <c r="M2044" s="22">
        <v>1</v>
      </c>
      <c r="N2044" s="46">
        <f t="shared" si="56"/>
        <v>45000</v>
      </c>
      <c r="O2044" s="49">
        <v>45000</v>
      </c>
      <c r="P2044" s="31" t="s">
        <v>501</v>
      </c>
      <c r="Q2044" s="5" t="s">
        <v>2939</v>
      </c>
      <c r="R2044" s="11" t="s">
        <v>1021</v>
      </c>
      <c r="S2044" s="5">
        <v>0</v>
      </c>
    </row>
    <row r="2045" spans="1:19" s="37" customFormat="1" ht="51">
      <c r="A2045" s="5">
        <v>2030</v>
      </c>
      <c r="B2045" s="15" t="s">
        <v>710</v>
      </c>
      <c r="C2045" s="5" t="s">
        <v>1464</v>
      </c>
      <c r="D2045" s="5" t="s">
        <v>2940</v>
      </c>
      <c r="E2045" s="5" t="s">
        <v>2957</v>
      </c>
      <c r="F2045" s="57" t="s">
        <v>2941</v>
      </c>
      <c r="G2045" s="5" t="s">
        <v>2957</v>
      </c>
      <c r="H2045" s="57" t="s">
        <v>2941</v>
      </c>
      <c r="I2045" s="57" t="s">
        <v>2958</v>
      </c>
      <c r="J2045" s="57" t="s">
        <v>2942</v>
      </c>
      <c r="K2045" s="57" t="s">
        <v>591</v>
      </c>
      <c r="L2045" s="11" t="s">
        <v>1464</v>
      </c>
      <c r="M2045" s="22">
        <v>1</v>
      </c>
      <c r="N2045" s="46">
        <f t="shared" si="56"/>
        <v>133929</v>
      </c>
      <c r="O2045" s="49">
        <v>133929</v>
      </c>
      <c r="P2045" s="31" t="s">
        <v>501</v>
      </c>
      <c r="Q2045" s="5" t="s">
        <v>2939</v>
      </c>
      <c r="R2045" s="11" t="s">
        <v>1021</v>
      </c>
      <c r="S2045" s="5">
        <v>0</v>
      </c>
    </row>
    <row r="2046" spans="1:19" s="37" customFormat="1" ht="51">
      <c r="A2046" s="5">
        <v>2031</v>
      </c>
      <c r="B2046" s="15" t="s">
        <v>710</v>
      </c>
      <c r="C2046" s="5" t="s">
        <v>1464</v>
      </c>
      <c r="D2046" s="5" t="s">
        <v>2943</v>
      </c>
      <c r="E2046" s="5" t="s">
        <v>2959</v>
      </c>
      <c r="F2046" s="57" t="s">
        <v>2944</v>
      </c>
      <c r="G2046" s="5" t="s">
        <v>2960</v>
      </c>
      <c r="H2046" s="57" t="s">
        <v>2945</v>
      </c>
      <c r="I2046" s="57" t="s">
        <v>2961</v>
      </c>
      <c r="J2046" s="57" t="s">
        <v>2946</v>
      </c>
      <c r="K2046" s="57" t="s">
        <v>1484</v>
      </c>
      <c r="L2046" s="11" t="s">
        <v>1464</v>
      </c>
      <c r="M2046" s="22">
        <v>1</v>
      </c>
      <c r="N2046" s="46">
        <f t="shared" si="56"/>
        <v>6260526</v>
      </c>
      <c r="O2046" s="49">
        <v>6260526</v>
      </c>
      <c r="P2046" s="31" t="s">
        <v>501</v>
      </c>
      <c r="Q2046" s="5" t="s">
        <v>2425</v>
      </c>
      <c r="R2046" s="11" t="s">
        <v>1021</v>
      </c>
      <c r="S2046" s="5">
        <v>30</v>
      </c>
    </row>
    <row r="2047" spans="1:19" s="37" customFormat="1" ht="51">
      <c r="A2047" s="5">
        <v>2032</v>
      </c>
      <c r="B2047" s="15" t="s">
        <v>710</v>
      </c>
      <c r="C2047" s="5" t="s">
        <v>1464</v>
      </c>
      <c r="D2047" s="5" t="s">
        <v>2947</v>
      </c>
      <c r="E2047" s="5" t="s">
        <v>2962</v>
      </c>
      <c r="F2047" s="57" t="s">
        <v>2948</v>
      </c>
      <c r="G2047" s="5" t="s">
        <v>2963</v>
      </c>
      <c r="H2047" s="57" t="s">
        <v>2949</v>
      </c>
      <c r="I2047" s="57" t="s">
        <v>2964</v>
      </c>
      <c r="J2047" s="57" t="s">
        <v>2950</v>
      </c>
      <c r="K2047" s="57" t="s">
        <v>1484</v>
      </c>
      <c r="L2047" s="11" t="s">
        <v>1464</v>
      </c>
      <c r="M2047" s="22">
        <v>1</v>
      </c>
      <c r="N2047" s="46">
        <f t="shared" si="56"/>
        <v>4926740</v>
      </c>
      <c r="O2047" s="49">
        <f>6493281-1566541</f>
        <v>4926740</v>
      </c>
      <c r="P2047" s="31" t="s">
        <v>501</v>
      </c>
      <c r="Q2047" s="5" t="s">
        <v>2951</v>
      </c>
      <c r="R2047" s="11" t="s">
        <v>1021</v>
      </c>
      <c r="S2047" s="5">
        <v>30</v>
      </c>
    </row>
    <row r="2048" spans="1:19" s="37" customFormat="1" ht="76.5">
      <c r="A2048" s="5">
        <v>2033</v>
      </c>
      <c r="B2048" s="15" t="s">
        <v>710</v>
      </c>
      <c r="C2048" s="5" t="s">
        <v>597</v>
      </c>
      <c r="D2048" s="5" t="s">
        <v>860</v>
      </c>
      <c r="E2048" s="5" t="s">
        <v>861</v>
      </c>
      <c r="F2048" s="57" t="s">
        <v>697</v>
      </c>
      <c r="G2048" s="5" t="s">
        <v>862</v>
      </c>
      <c r="H2048" s="57" t="s">
        <v>863</v>
      </c>
      <c r="I2048" s="57" t="s">
        <v>2953</v>
      </c>
      <c r="J2048" s="57" t="s">
        <v>2952</v>
      </c>
      <c r="K2048" s="57" t="s">
        <v>1484</v>
      </c>
      <c r="L2048" s="31" t="s">
        <v>914</v>
      </c>
      <c r="M2048" s="22">
        <v>1</v>
      </c>
      <c r="N2048" s="46">
        <f t="shared" si="56"/>
        <v>4003119</v>
      </c>
      <c r="O2048" s="49">
        <v>4003119</v>
      </c>
      <c r="P2048" s="31" t="s">
        <v>501</v>
      </c>
      <c r="Q2048" s="5" t="s">
        <v>2951</v>
      </c>
      <c r="R2048" s="11" t="s">
        <v>1021</v>
      </c>
      <c r="S2048" s="5">
        <v>30</v>
      </c>
    </row>
    <row r="2049" spans="1:19" ht="76.5">
      <c r="A2049" s="5">
        <v>2034</v>
      </c>
      <c r="B2049" s="29" t="s">
        <v>710</v>
      </c>
      <c r="C2049" s="5" t="s">
        <v>597</v>
      </c>
      <c r="D2049" s="11" t="s">
        <v>2983</v>
      </c>
      <c r="E2049" s="57" t="s">
        <v>2985</v>
      </c>
      <c r="F2049" s="57" t="s">
        <v>2984</v>
      </c>
      <c r="G2049" s="57" t="s">
        <v>2985</v>
      </c>
      <c r="H2049" s="57" t="s">
        <v>2984</v>
      </c>
      <c r="I2049" s="57" t="s">
        <v>2987</v>
      </c>
      <c r="J2049" s="57" t="s">
        <v>2986</v>
      </c>
      <c r="K2049" s="57" t="s">
        <v>591</v>
      </c>
      <c r="L2049" s="31" t="s">
        <v>644</v>
      </c>
      <c r="M2049" s="9">
        <v>1</v>
      </c>
      <c r="N2049" s="46">
        <f t="shared" si="56"/>
        <v>1652000</v>
      </c>
      <c r="O2049" s="49">
        <v>1652000</v>
      </c>
      <c r="P2049" s="14" t="s">
        <v>612</v>
      </c>
      <c r="Q2049" s="14" t="s">
        <v>766</v>
      </c>
      <c r="R2049" s="11" t="s">
        <v>1175</v>
      </c>
      <c r="S2049" s="14">
        <v>50</v>
      </c>
    </row>
    <row r="2050" spans="1:19" ht="63.75">
      <c r="A2050" s="5">
        <v>2035</v>
      </c>
      <c r="B2050" s="29" t="s">
        <v>710</v>
      </c>
      <c r="C2050" s="30" t="s">
        <v>711</v>
      </c>
      <c r="D2050" s="11" t="s">
        <v>2967</v>
      </c>
      <c r="E2050" s="57" t="s">
        <v>1577</v>
      </c>
      <c r="F2050" s="57" t="s">
        <v>1222</v>
      </c>
      <c r="G2050" s="57" t="s">
        <v>2969</v>
      </c>
      <c r="H2050" s="57" t="s">
        <v>2968</v>
      </c>
      <c r="I2050" s="57" t="s">
        <v>2971</v>
      </c>
      <c r="J2050" s="57" t="s">
        <v>2970</v>
      </c>
      <c r="K2050" s="57" t="s">
        <v>591</v>
      </c>
      <c r="L2050" s="31" t="s">
        <v>644</v>
      </c>
      <c r="M2050" s="9">
        <v>1</v>
      </c>
      <c r="N2050" s="46">
        <f t="shared" si="56"/>
        <v>747322</v>
      </c>
      <c r="O2050" s="49">
        <v>747322</v>
      </c>
      <c r="P2050" s="14" t="s">
        <v>612</v>
      </c>
      <c r="Q2050" s="14" t="s">
        <v>2491</v>
      </c>
      <c r="R2050" s="11" t="s">
        <v>1175</v>
      </c>
      <c r="S2050" s="14">
        <v>100</v>
      </c>
    </row>
    <row r="2051" spans="1:19" ht="63.75">
      <c r="A2051" s="5">
        <v>2036</v>
      </c>
      <c r="B2051" s="29" t="s">
        <v>710</v>
      </c>
      <c r="C2051" s="30" t="s">
        <v>711</v>
      </c>
      <c r="D2051" s="11" t="s">
        <v>2972</v>
      </c>
      <c r="E2051" s="57" t="s">
        <v>2080</v>
      </c>
      <c r="F2051" s="57" t="s">
        <v>1053</v>
      </c>
      <c r="G2051" s="57" t="s">
        <v>2974</v>
      </c>
      <c r="H2051" s="57" t="s">
        <v>2973</v>
      </c>
      <c r="I2051" s="57" t="s">
        <v>2080</v>
      </c>
      <c r="J2051" s="57" t="s">
        <v>1053</v>
      </c>
      <c r="K2051" s="57" t="s">
        <v>591</v>
      </c>
      <c r="L2051" s="31" t="s">
        <v>644</v>
      </c>
      <c r="M2051" s="9">
        <v>1</v>
      </c>
      <c r="N2051" s="46">
        <f t="shared" si="56"/>
        <v>210000</v>
      </c>
      <c r="O2051" s="49">
        <v>210000</v>
      </c>
      <c r="P2051" s="14" t="s">
        <v>612</v>
      </c>
      <c r="Q2051" s="14" t="s">
        <v>501</v>
      </c>
      <c r="R2051" s="11">
        <v>591000000</v>
      </c>
      <c r="S2051" s="14">
        <v>100</v>
      </c>
    </row>
    <row r="2052" spans="1:19" ht="153">
      <c r="A2052" s="5">
        <v>2037</v>
      </c>
      <c r="B2052" s="15" t="s">
        <v>710</v>
      </c>
      <c r="C2052" s="30" t="s">
        <v>711</v>
      </c>
      <c r="D2052" s="5" t="s">
        <v>2369</v>
      </c>
      <c r="E2052" s="57" t="s">
        <v>388</v>
      </c>
      <c r="F2052" s="57" t="s">
        <v>388</v>
      </c>
      <c r="G2052" s="57" t="s">
        <v>2371</v>
      </c>
      <c r="H2052" s="57" t="s">
        <v>2370</v>
      </c>
      <c r="I2052" s="57" t="s">
        <v>2371</v>
      </c>
      <c r="J2052" s="57" t="s">
        <v>2370</v>
      </c>
      <c r="K2052" s="57" t="s">
        <v>591</v>
      </c>
      <c r="L2052" s="31" t="s">
        <v>644</v>
      </c>
      <c r="M2052" s="22">
        <v>8</v>
      </c>
      <c r="N2052" s="46">
        <f t="shared" si="56"/>
        <v>38500</v>
      </c>
      <c r="O2052" s="49">
        <v>308000</v>
      </c>
      <c r="P2052" s="5" t="s">
        <v>612</v>
      </c>
      <c r="Q2052" s="5" t="s">
        <v>612</v>
      </c>
      <c r="R2052" s="11" t="s">
        <v>2029</v>
      </c>
      <c r="S2052" s="5">
        <v>0</v>
      </c>
    </row>
    <row r="2053" spans="1:19" ht="76.5">
      <c r="A2053" s="5">
        <v>2038</v>
      </c>
      <c r="B2053" s="15" t="s">
        <v>710</v>
      </c>
      <c r="C2053" s="30" t="s">
        <v>711</v>
      </c>
      <c r="D2053" s="5" t="s">
        <v>2977</v>
      </c>
      <c r="E2053" s="57" t="s">
        <v>2978</v>
      </c>
      <c r="F2053" s="57" t="s">
        <v>2978</v>
      </c>
      <c r="G2053" s="57" t="s">
        <v>2982</v>
      </c>
      <c r="H2053" s="57" t="s">
        <v>2979</v>
      </c>
      <c r="I2053" s="57" t="s">
        <v>2981</v>
      </c>
      <c r="J2053" s="57" t="s">
        <v>2980</v>
      </c>
      <c r="K2053" s="57" t="s">
        <v>591</v>
      </c>
      <c r="L2053" s="31" t="s">
        <v>644</v>
      </c>
      <c r="M2053" s="22">
        <v>1</v>
      </c>
      <c r="N2053" s="46">
        <f t="shared" si="56"/>
        <v>30000</v>
      </c>
      <c r="O2053" s="49">
        <v>30000</v>
      </c>
      <c r="P2053" s="5" t="s">
        <v>612</v>
      </c>
      <c r="Q2053" s="5" t="s">
        <v>612</v>
      </c>
      <c r="R2053" s="11" t="s">
        <v>2029</v>
      </c>
      <c r="S2053" s="5">
        <v>0</v>
      </c>
    </row>
    <row r="2054" spans="1:19" ht="178.5">
      <c r="A2054" s="5">
        <v>2039</v>
      </c>
      <c r="B2054" s="15" t="s">
        <v>710</v>
      </c>
      <c r="C2054" s="31" t="s">
        <v>597</v>
      </c>
      <c r="D2054" s="31" t="s">
        <v>942</v>
      </c>
      <c r="E2054" s="57" t="s">
        <v>1155</v>
      </c>
      <c r="F2054" s="57" t="s">
        <v>943</v>
      </c>
      <c r="G2054" s="57" t="s">
        <v>1969</v>
      </c>
      <c r="H2054" s="57" t="s">
        <v>944</v>
      </c>
      <c r="I2054" s="57" t="s">
        <v>2990</v>
      </c>
      <c r="J2054" s="57" t="s">
        <v>2989</v>
      </c>
      <c r="K2054" s="57" t="s">
        <v>591</v>
      </c>
      <c r="L2054" s="11" t="s">
        <v>914</v>
      </c>
      <c r="M2054" s="22">
        <v>1</v>
      </c>
      <c r="N2054" s="46">
        <f t="shared" si="56"/>
        <v>329250</v>
      </c>
      <c r="O2054" s="49">
        <v>329250</v>
      </c>
      <c r="P2054" s="5" t="s">
        <v>501</v>
      </c>
      <c r="Q2054" s="5" t="s">
        <v>3111</v>
      </c>
      <c r="R2054" s="11" t="s">
        <v>1175</v>
      </c>
      <c r="S2054" s="5">
        <v>0</v>
      </c>
    </row>
    <row r="2055" spans="1:19" s="26" customFormat="1" ht="114.75">
      <c r="A2055" s="5">
        <v>2040</v>
      </c>
      <c r="B2055" s="5" t="s">
        <v>710</v>
      </c>
      <c r="C2055" s="42" t="s">
        <v>597</v>
      </c>
      <c r="D2055" s="31" t="s">
        <v>2407</v>
      </c>
      <c r="E2055" s="31" t="s">
        <v>2408</v>
      </c>
      <c r="F2055" s="31" t="s">
        <v>2409</v>
      </c>
      <c r="G2055" s="31" t="s">
        <v>2410</v>
      </c>
      <c r="H2055" s="31" t="s">
        <v>2411</v>
      </c>
      <c r="I2055" s="35" t="s">
        <v>2992</v>
      </c>
      <c r="J2055" s="5" t="s">
        <v>2991</v>
      </c>
      <c r="K2055" s="57" t="s">
        <v>591</v>
      </c>
      <c r="L2055" s="5" t="s">
        <v>914</v>
      </c>
      <c r="M2055" s="5">
        <v>1</v>
      </c>
      <c r="N2055" s="46">
        <f t="shared" si="56"/>
        <v>2500000</v>
      </c>
      <c r="O2055" s="83">
        <v>2500000</v>
      </c>
      <c r="P2055" s="5" t="s">
        <v>612</v>
      </c>
      <c r="Q2055" s="5" t="s">
        <v>2993</v>
      </c>
      <c r="R2055" s="11" t="s">
        <v>1175</v>
      </c>
      <c r="S2055" s="5">
        <v>100</v>
      </c>
    </row>
    <row r="2056" spans="1:19" s="26" customFormat="1" ht="127.5">
      <c r="A2056" s="5">
        <v>2041</v>
      </c>
      <c r="B2056" s="5" t="s">
        <v>710</v>
      </c>
      <c r="C2056" s="42" t="s">
        <v>597</v>
      </c>
      <c r="D2056" s="77" t="s">
        <v>2598</v>
      </c>
      <c r="E2056" s="57" t="s">
        <v>2620</v>
      </c>
      <c r="F2056" s="57" t="s">
        <v>2621</v>
      </c>
      <c r="G2056" s="57" t="s">
        <v>2994</v>
      </c>
      <c r="H2056" s="57" t="s">
        <v>2995</v>
      </c>
      <c r="I2056" s="35" t="s">
        <v>2997</v>
      </c>
      <c r="J2056" s="5" t="s">
        <v>2996</v>
      </c>
      <c r="K2056" s="57" t="s">
        <v>591</v>
      </c>
      <c r="L2056" s="5" t="s">
        <v>914</v>
      </c>
      <c r="M2056" s="5">
        <v>1</v>
      </c>
      <c r="N2056" s="46">
        <f t="shared" si="56"/>
        <v>0</v>
      </c>
      <c r="O2056" s="46">
        <f>900000-900000</f>
        <v>0</v>
      </c>
      <c r="P2056" s="5" t="s">
        <v>612</v>
      </c>
      <c r="Q2056" s="5" t="s">
        <v>2993</v>
      </c>
      <c r="R2056" s="110">
        <v>751110000</v>
      </c>
      <c r="S2056" s="5">
        <v>100</v>
      </c>
    </row>
    <row r="2057" spans="1:19" ht="76.5" outlineLevel="1">
      <c r="A2057" s="5">
        <v>2042</v>
      </c>
      <c r="B2057" s="29" t="s">
        <v>710</v>
      </c>
      <c r="C2057" s="35" t="s">
        <v>597</v>
      </c>
      <c r="D2057" s="11" t="s">
        <v>2998</v>
      </c>
      <c r="E2057" s="57" t="s">
        <v>3000</v>
      </c>
      <c r="F2057" s="57" t="s">
        <v>2999</v>
      </c>
      <c r="G2057" s="57" t="s">
        <v>3000</v>
      </c>
      <c r="H2057" s="57" t="s">
        <v>2999</v>
      </c>
      <c r="I2057" s="57" t="s">
        <v>3000</v>
      </c>
      <c r="J2057" s="57" t="s">
        <v>2999</v>
      </c>
      <c r="K2057" s="57" t="s">
        <v>591</v>
      </c>
      <c r="L2057" s="11" t="s">
        <v>914</v>
      </c>
      <c r="M2057" s="22">
        <v>1</v>
      </c>
      <c r="N2057" s="46">
        <f t="shared" si="56"/>
        <v>1534635</v>
      </c>
      <c r="O2057" s="49">
        <f>133084+1401551</f>
        <v>1534635</v>
      </c>
      <c r="P2057" s="5" t="s">
        <v>502</v>
      </c>
      <c r="Q2057" s="5" t="s">
        <v>698</v>
      </c>
      <c r="R2057" s="11" t="s">
        <v>2029</v>
      </c>
      <c r="S2057" s="5">
        <v>30</v>
      </c>
    </row>
    <row r="2058" spans="1:19" ht="76.5">
      <c r="A2058" s="5">
        <v>2043</v>
      </c>
      <c r="B2058" s="29" t="s">
        <v>710</v>
      </c>
      <c r="C2058" s="5" t="s">
        <v>711</v>
      </c>
      <c r="D2058" s="5" t="s">
        <v>3001</v>
      </c>
      <c r="E2058" s="57" t="s">
        <v>730</v>
      </c>
      <c r="F2058" s="57" t="s">
        <v>731</v>
      </c>
      <c r="G2058" s="57" t="s">
        <v>3003</v>
      </c>
      <c r="H2058" s="57" t="s">
        <v>3002</v>
      </c>
      <c r="I2058" s="57" t="s">
        <v>3005</v>
      </c>
      <c r="J2058" s="57" t="s">
        <v>3004</v>
      </c>
      <c r="K2058" s="57" t="s">
        <v>591</v>
      </c>
      <c r="L2058" s="31" t="s">
        <v>644</v>
      </c>
      <c r="M2058" s="22">
        <v>15</v>
      </c>
      <c r="N2058" s="46">
        <f t="shared" si="56"/>
        <v>5807</v>
      </c>
      <c r="O2058" s="49">
        <v>87105</v>
      </c>
      <c r="P2058" s="5" t="s">
        <v>501</v>
      </c>
      <c r="Q2058" s="5" t="s">
        <v>2491</v>
      </c>
      <c r="R2058" s="15">
        <v>391000000</v>
      </c>
      <c r="S2058" s="22">
        <v>100</v>
      </c>
    </row>
    <row r="2059" spans="1:19" ht="51.75" customHeight="1" outlineLevel="1">
      <c r="A2059" s="5">
        <v>2044</v>
      </c>
      <c r="B2059" s="29" t="s">
        <v>710</v>
      </c>
      <c r="C2059" s="30" t="s">
        <v>711</v>
      </c>
      <c r="D2059" s="15" t="s">
        <v>3006</v>
      </c>
      <c r="E2059" s="57" t="s">
        <v>745</v>
      </c>
      <c r="F2059" s="57" t="s">
        <v>109</v>
      </c>
      <c r="G2059" s="57" t="s">
        <v>3008</v>
      </c>
      <c r="H2059" s="57" t="s">
        <v>3007</v>
      </c>
      <c r="I2059" s="57" t="s">
        <v>3008</v>
      </c>
      <c r="J2059" s="57" t="s">
        <v>3007</v>
      </c>
      <c r="K2059" s="57" t="s">
        <v>591</v>
      </c>
      <c r="L2059" s="31" t="s">
        <v>644</v>
      </c>
      <c r="M2059" s="22">
        <v>10</v>
      </c>
      <c r="N2059" s="46">
        <f t="shared" si="56"/>
        <v>5692</v>
      </c>
      <c r="O2059" s="49">
        <v>56920</v>
      </c>
      <c r="P2059" s="5" t="s">
        <v>501</v>
      </c>
      <c r="Q2059" s="5" t="s">
        <v>2939</v>
      </c>
      <c r="R2059" s="11" t="s">
        <v>1021</v>
      </c>
      <c r="S2059" s="5">
        <v>100</v>
      </c>
    </row>
    <row r="2060" spans="1:19" ht="63.75" collapsed="1">
      <c r="A2060" s="5">
        <v>2045</v>
      </c>
      <c r="B2060" s="15" t="s">
        <v>710</v>
      </c>
      <c r="C2060" s="31" t="s">
        <v>597</v>
      </c>
      <c r="D2060" s="31" t="s">
        <v>1465</v>
      </c>
      <c r="E2060" s="57" t="s">
        <v>2005</v>
      </c>
      <c r="F2060" s="57" t="s">
        <v>1466</v>
      </c>
      <c r="G2060" s="57" t="s">
        <v>2005</v>
      </c>
      <c r="H2060" s="57" t="s">
        <v>1466</v>
      </c>
      <c r="I2060" s="57" t="s">
        <v>3010</v>
      </c>
      <c r="J2060" s="57" t="s">
        <v>3009</v>
      </c>
      <c r="K2060" s="57" t="s">
        <v>591</v>
      </c>
      <c r="L2060" s="11" t="s">
        <v>914</v>
      </c>
      <c r="M2060" s="22">
        <v>1</v>
      </c>
      <c r="N2060" s="46">
        <f t="shared" si="56"/>
        <v>3000000</v>
      </c>
      <c r="O2060" s="49">
        <v>3000000</v>
      </c>
      <c r="P2060" s="5" t="s">
        <v>501</v>
      </c>
      <c r="Q2060" s="15" t="s">
        <v>501</v>
      </c>
      <c r="R2060" s="11" t="s">
        <v>1175</v>
      </c>
      <c r="S2060" s="22">
        <v>30</v>
      </c>
    </row>
    <row r="2061" spans="1:19" s="1" customFormat="1" ht="76.5">
      <c r="A2061" s="5">
        <v>2046</v>
      </c>
      <c r="B2061" s="15" t="s">
        <v>710</v>
      </c>
      <c r="C2061" s="31" t="s">
        <v>597</v>
      </c>
      <c r="D2061" s="31" t="s">
        <v>507</v>
      </c>
      <c r="E2061" s="57" t="s">
        <v>1945</v>
      </c>
      <c r="F2061" s="57" t="s">
        <v>509</v>
      </c>
      <c r="G2061" s="57" t="s">
        <v>2403</v>
      </c>
      <c r="H2061" s="57" t="s">
        <v>510</v>
      </c>
      <c r="I2061" s="57" t="s">
        <v>3012</v>
      </c>
      <c r="J2061" s="57" t="s">
        <v>3011</v>
      </c>
      <c r="K2061" s="57" t="s">
        <v>591</v>
      </c>
      <c r="L2061" s="11" t="s">
        <v>914</v>
      </c>
      <c r="M2061" s="22">
        <v>1</v>
      </c>
      <c r="N2061" s="46">
        <f t="shared" si="56"/>
        <v>10867765</v>
      </c>
      <c r="O2061" s="49">
        <v>10867765</v>
      </c>
      <c r="P2061" s="4" t="s">
        <v>501</v>
      </c>
      <c r="Q2061" s="5" t="s">
        <v>502</v>
      </c>
      <c r="R2061" s="11" t="s">
        <v>1175</v>
      </c>
      <c r="S2061" s="5">
        <v>30</v>
      </c>
    </row>
    <row r="2062" spans="1:19" s="34" customFormat="1" ht="76.5">
      <c r="A2062" s="5">
        <v>2047</v>
      </c>
      <c r="B2062" s="15" t="s">
        <v>710</v>
      </c>
      <c r="C2062" s="31" t="s">
        <v>597</v>
      </c>
      <c r="D2062" s="31" t="s">
        <v>589</v>
      </c>
      <c r="E2062" s="57" t="s">
        <v>2045</v>
      </c>
      <c r="F2062" s="57" t="s">
        <v>709</v>
      </c>
      <c r="G2062" s="57" t="s">
        <v>2045</v>
      </c>
      <c r="H2062" s="57" t="s">
        <v>590</v>
      </c>
      <c r="I2062" s="57" t="s">
        <v>2047</v>
      </c>
      <c r="J2062" s="57" t="s">
        <v>337</v>
      </c>
      <c r="K2062" s="57" t="s">
        <v>591</v>
      </c>
      <c r="L2062" s="11" t="s">
        <v>914</v>
      </c>
      <c r="M2062" s="22">
        <v>1</v>
      </c>
      <c r="N2062" s="46">
        <f t="shared" si="56"/>
        <v>50000000</v>
      </c>
      <c r="O2062" s="49">
        <v>50000000</v>
      </c>
      <c r="P2062" s="5" t="s">
        <v>502</v>
      </c>
      <c r="Q2062" s="5" t="s">
        <v>3013</v>
      </c>
      <c r="R2062" s="11" t="s">
        <v>1175</v>
      </c>
      <c r="S2062" s="22">
        <v>30</v>
      </c>
    </row>
    <row r="2063" spans="1:19" ht="127.5">
      <c r="A2063" s="5">
        <v>2048</v>
      </c>
      <c r="B2063" s="15" t="s">
        <v>710</v>
      </c>
      <c r="C2063" s="31" t="s">
        <v>597</v>
      </c>
      <c r="D2063" s="31" t="s">
        <v>1268</v>
      </c>
      <c r="E2063" s="76" t="s">
        <v>1867</v>
      </c>
      <c r="F2063" s="76" t="s">
        <v>3014</v>
      </c>
      <c r="G2063" s="76" t="s">
        <v>1867</v>
      </c>
      <c r="H2063" s="76" t="s">
        <v>1270</v>
      </c>
      <c r="I2063" s="76" t="s">
        <v>3332</v>
      </c>
      <c r="J2063" s="76" t="s">
        <v>3333</v>
      </c>
      <c r="K2063" s="76" t="s">
        <v>591</v>
      </c>
      <c r="L2063" s="11" t="s">
        <v>914</v>
      </c>
      <c r="M2063" s="22">
        <v>1</v>
      </c>
      <c r="N2063" s="46">
        <f t="shared" si="56"/>
        <v>2512632</v>
      </c>
      <c r="O2063" s="49">
        <f>2412632+100000</f>
        <v>2512632</v>
      </c>
      <c r="P2063" s="5" t="s">
        <v>698</v>
      </c>
      <c r="Q2063" s="5" t="s">
        <v>3013</v>
      </c>
      <c r="R2063" s="11" t="s">
        <v>1175</v>
      </c>
      <c r="S2063" s="22">
        <v>50</v>
      </c>
    </row>
    <row r="2064" spans="1:19" s="7" customFormat="1" ht="89.25">
      <c r="A2064" s="5">
        <v>2049</v>
      </c>
      <c r="B2064" s="29" t="s">
        <v>710</v>
      </c>
      <c r="C2064" s="35" t="s">
        <v>1464</v>
      </c>
      <c r="D2064" s="5" t="s">
        <v>3015</v>
      </c>
      <c r="E2064" s="5" t="s">
        <v>3018</v>
      </c>
      <c r="F2064" s="5" t="s">
        <v>3016</v>
      </c>
      <c r="G2064" s="5" t="s">
        <v>3019</v>
      </c>
      <c r="H2064" s="31" t="s">
        <v>3017</v>
      </c>
      <c r="I2064" s="5" t="s">
        <v>3021</v>
      </c>
      <c r="J2064" s="31" t="s">
        <v>3020</v>
      </c>
      <c r="K2064" s="57" t="s">
        <v>1484</v>
      </c>
      <c r="L2064" s="4" t="s">
        <v>1464</v>
      </c>
      <c r="M2064" s="6">
        <v>1</v>
      </c>
      <c r="N2064" s="71">
        <f>O2064</f>
        <v>3700000</v>
      </c>
      <c r="O2064" s="71">
        <f>2990000+710000</f>
        <v>3700000</v>
      </c>
      <c r="P2064" s="5" t="s">
        <v>502</v>
      </c>
      <c r="Q2064" s="5" t="s">
        <v>3022</v>
      </c>
      <c r="R2064" s="11" t="s">
        <v>1175</v>
      </c>
      <c r="S2064" s="5">
        <v>50</v>
      </c>
    </row>
    <row r="2065" spans="1:19" s="7" customFormat="1" ht="51" customHeight="1">
      <c r="A2065" s="5">
        <v>2050</v>
      </c>
      <c r="B2065" s="29" t="s">
        <v>710</v>
      </c>
      <c r="C2065" s="30" t="s">
        <v>711</v>
      </c>
      <c r="D2065" s="11" t="s">
        <v>3023</v>
      </c>
      <c r="E2065" s="84" t="s">
        <v>3027</v>
      </c>
      <c r="F2065" s="31" t="s">
        <v>3024</v>
      </c>
      <c r="G2065" s="31" t="s">
        <v>3028</v>
      </c>
      <c r="H2065" s="5" t="s">
        <v>3025</v>
      </c>
      <c r="I2065" s="84" t="s">
        <v>3027</v>
      </c>
      <c r="J2065" s="31" t="s">
        <v>3024</v>
      </c>
      <c r="K2065" s="5" t="s">
        <v>591</v>
      </c>
      <c r="L2065" s="4" t="s">
        <v>644</v>
      </c>
      <c r="M2065" s="6">
        <v>7</v>
      </c>
      <c r="N2065" s="71">
        <f t="shared" ref="N2065:N2087" si="57">O2065/M2065</f>
        <v>200</v>
      </c>
      <c r="O2065" s="71">
        <v>1400</v>
      </c>
      <c r="P2065" s="5" t="s">
        <v>501</v>
      </c>
      <c r="Q2065" s="5" t="s">
        <v>3026</v>
      </c>
      <c r="R2065" s="11">
        <v>431000000</v>
      </c>
      <c r="S2065" s="5">
        <v>0</v>
      </c>
    </row>
    <row r="2066" spans="1:19" s="7" customFormat="1" ht="51" customHeight="1">
      <c r="A2066" s="5">
        <v>2051</v>
      </c>
      <c r="B2066" s="29" t="s">
        <v>710</v>
      </c>
      <c r="C2066" s="30" t="s">
        <v>711</v>
      </c>
      <c r="D2066" s="11" t="s">
        <v>3029</v>
      </c>
      <c r="E2066" s="84" t="s">
        <v>3027</v>
      </c>
      <c r="F2066" s="31" t="s">
        <v>3024</v>
      </c>
      <c r="G2066" s="5" t="s">
        <v>3031</v>
      </c>
      <c r="H2066" s="5" t="s">
        <v>3030</v>
      </c>
      <c r="I2066" s="84" t="s">
        <v>3027</v>
      </c>
      <c r="J2066" s="31" t="s">
        <v>3024</v>
      </c>
      <c r="K2066" s="5" t="s">
        <v>591</v>
      </c>
      <c r="L2066" s="4" t="s">
        <v>644</v>
      </c>
      <c r="M2066" s="6">
        <v>1</v>
      </c>
      <c r="N2066" s="71">
        <f t="shared" si="57"/>
        <v>2400</v>
      </c>
      <c r="O2066" s="71">
        <v>2400</v>
      </c>
      <c r="P2066" s="5" t="s">
        <v>501</v>
      </c>
      <c r="Q2066" s="5" t="s">
        <v>3026</v>
      </c>
      <c r="R2066" s="11">
        <v>431000000</v>
      </c>
      <c r="S2066" s="5">
        <v>0</v>
      </c>
    </row>
    <row r="2067" spans="1:19" s="7" customFormat="1" ht="51" customHeight="1">
      <c r="A2067" s="5">
        <v>2052</v>
      </c>
      <c r="B2067" s="29" t="s">
        <v>710</v>
      </c>
      <c r="C2067" s="30" t="s">
        <v>711</v>
      </c>
      <c r="D2067" s="11" t="s">
        <v>3032</v>
      </c>
      <c r="E2067" s="84" t="s">
        <v>3035</v>
      </c>
      <c r="F2067" s="31" t="s">
        <v>3033</v>
      </c>
      <c r="G2067" s="5" t="s">
        <v>3036</v>
      </c>
      <c r="H2067" s="5" t="s">
        <v>3034</v>
      </c>
      <c r="I2067" s="84" t="s">
        <v>3035</v>
      </c>
      <c r="J2067" s="31" t="s">
        <v>3033</v>
      </c>
      <c r="K2067" s="5" t="s">
        <v>591</v>
      </c>
      <c r="L2067" s="4" t="s">
        <v>644</v>
      </c>
      <c r="M2067" s="6">
        <v>12</v>
      </c>
      <c r="N2067" s="71">
        <f t="shared" si="57"/>
        <v>500</v>
      </c>
      <c r="O2067" s="71">
        <v>6000</v>
      </c>
      <c r="P2067" s="5" t="s">
        <v>501</v>
      </c>
      <c r="Q2067" s="5" t="s">
        <v>3026</v>
      </c>
      <c r="R2067" s="11">
        <v>431000000</v>
      </c>
      <c r="S2067" s="5">
        <v>0</v>
      </c>
    </row>
    <row r="2068" spans="1:19" s="7" customFormat="1" ht="51" customHeight="1">
      <c r="A2068" s="5">
        <v>2053</v>
      </c>
      <c r="B2068" s="29" t="s">
        <v>710</v>
      </c>
      <c r="C2068" s="35" t="s">
        <v>2433</v>
      </c>
      <c r="D2068" s="5" t="s">
        <v>3037</v>
      </c>
      <c r="E2068" s="84" t="s">
        <v>3039</v>
      </c>
      <c r="F2068" s="5" t="s">
        <v>3038</v>
      </c>
      <c r="G2068" s="5" t="s">
        <v>3041</v>
      </c>
      <c r="H2068" s="5" t="s">
        <v>3040</v>
      </c>
      <c r="I2068" s="84" t="s">
        <v>3039</v>
      </c>
      <c r="J2068" s="5" t="s">
        <v>3038</v>
      </c>
      <c r="K2068" s="5" t="s">
        <v>591</v>
      </c>
      <c r="L2068" s="4" t="s">
        <v>644</v>
      </c>
      <c r="M2068" s="6">
        <v>16</v>
      </c>
      <c r="N2068" s="71">
        <f t="shared" si="57"/>
        <v>6300</v>
      </c>
      <c r="O2068" s="71">
        <v>100800</v>
      </c>
      <c r="P2068" s="5" t="s">
        <v>501</v>
      </c>
      <c r="Q2068" s="5" t="s">
        <v>3026</v>
      </c>
      <c r="R2068" s="11">
        <v>431000000</v>
      </c>
      <c r="S2068" s="5">
        <v>0</v>
      </c>
    </row>
    <row r="2069" spans="1:19" s="7" customFormat="1" ht="51" customHeight="1">
      <c r="A2069" s="5">
        <v>2054</v>
      </c>
      <c r="B2069" s="29" t="s">
        <v>710</v>
      </c>
      <c r="C2069" s="35" t="s">
        <v>2433</v>
      </c>
      <c r="D2069" s="5" t="s">
        <v>3042</v>
      </c>
      <c r="E2069" s="84" t="s">
        <v>3045</v>
      </c>
      <c r="F2069" s="5" t="s">
        <v>3043</v>
      </c>
      <c r="G2069" s="5" t="s">
        <v>3041</v>
      </c>
      <c r="H2069" s="5" t="s">
        <v>3044</v>
      </c>
      <c r="I2069" s="84" t="s">
        <v>3045</v>
      </c>
      <c r="J2069" s="5" t="s">
        <v>3043</v>
      </c>
      <c r="K2069" s="5" t="s">
        <v>591</v>
      </c>
      <c r="L2069" s="5" t="s">
        <v>629</v>
      </c>
      <c r="M2069" s="6">
        <v>1</v>
      </c>
      <c r="N2069" s="71">
        <f t="shared" si="57"/>
        <v>3000</v>
      </c>
      <c r="O2069" s="71">
        <v>3000</v>
      </c>
      <c r="P2069" s="5" t="s">
        <v>501</v>
      </c>
      <c r="Q2069" s="5" t="s">
        <v>3026</v>
      </c>
      <c r="R2069" s="11">
        <v>431000000</v>
      </c>
      <c r="S2069" s="5">
        <v>0</v>
      </c>
    </row>
    <row r="2070" spans="1:19" s="7" customFormat="1" ht="51" customHeight="1">
      <c r="A2070" s="5">
        <v>2055</v>
      </c>
      <c r="B2070" s="29" t="s">
        <v>710</v>
      </c>
      <c r="C2070" s="35" t="s">
        <v>2433</v>
      </c>
      <c r="D2070" s="5" t="s">
        <v>3046</v>
      </c>
      <c r="E2070" s="11" t="s">
        <v>3049</v>
      </c>
      <c r="F2070" s="5" t="s">
        <v>3047</v>
      </c>
      <c r="G2070" s="5" t="s">
        <v>3050</v>
      </c>
      <c r="H2070" s="5" t="s">
        <v>3048</v>
      </c>
      <c r="I2070" s="5" t="s">
        <v>3050</v>
      </c>
      <c r="J2070" s="5" t="s">
        <v>3048</v>
      </c>
      <c r="K2070" s="5" t="s">
        <v>591</v>
      </c>
      <c r="L2070" s="5" t="s">
        <v>638</v>
      </c>
      <c r="M2070" s="6">
        <v>1</v>
      </c>
      <c r="N2070" s="71">
        <f t="shared" si="57"/>
        <v>10400</v>
      </c>
      <c r="O2070" s="71">
        <v>10400</v>
      </c>
      <c r="P2070" s="5" t="s">
        <v>501</v>
      </c>
      <c r="Q2070" s="5" t="s">
        <v>3026</v>
      </c>
      <c r="R2070" s="11">
        <v>431000000</v>
      </c>
      <c r="S2070" s="5">
        <v>0</v>
      </c>
    </row>
    <row r="2071" spans="1:19" s="7" customFormat="1" ht="51" customHeight="1">
      <c r="A2071" s="5">
        <v>2056</v>
      </c>
      <c r="B2071" s="29" t="s">
        <v>710</v>
      </c>
      <c r="C2071" s="35" t="s">
        <v>2433</v>
      </c>
      <c r="D2071" s="5" t="s">
        <v>3051</v>
      </c>
      <c r="E2071" s="5" t="s">
        <v>3052</v>
      </c>
      <c r="F2071" s="5" t="s">
        <v>3052</v>
      </c>
      <c r="G2071" s="5" t="s">
        <v>3054</v>
      </c>
      <c r="H2071" s="5" t="s">
        <v>3053</v>
      </c>
      <c r="I2071" s="5" t="s">
        <v>3052</v>
      </c>
      <c r="J2071" s="5" t="s">
        <v>3052</v>
      </c>
      <c r="K2071" s="5" t="s">
        <v>591</v>
      </c>
      <c r="L2071" s="4" t="s">
        <v>644</v>
      </c>
      <c r="M2071" s="6">
        <v>1</v>
      </c>
      <c r="N2071" s="71">
        <f t="shared" si="57"/>
        <v>10500</v>
      </c>
      <c r="O2071" s="71">
        <v>10500</v>
      </c>
      <c r="P2071" s="5" t="s">
        <v>501</v>
      </c>
      <c r="Q2071" s="5" t="s">
        <v>3026</v>
      </c>
      <c r="R2071" s="11">
        <v>431000000</v>
      </c>
      <c r="S2071" s="5">
        <v>0</v>
      </c>
    </row>
    <row r="2072" spans="1:19" s="37" customFormat="1" ht="51">
      <c r="A2072" s="5">
        <v>2057</v>
      </c>
      <c r="B2072" s="15" t="s">
        <v>710</v>
      </c>
      <c r="C2072" s="5" t="s">
        <v>1464</v>
      </c>
      <c r="D2072" s="5" t="s">
        <v>3055</v>
      </c>
      <c r="E2072" s="5" t="s">
        <v>3058</v>
      </c>
      <c r="F2072" s="57" t="s">
        <v>3056</v>
      </c>
      <c r="G2072" s="5" t="s">
        <v>3059</v>
      </c>
      <c r="H2072" s="57" t="s">
        <v>3057</v>
      </c>
      <c r="I2072" s="5" t="s">
        <v>3059</v>
      </c>
      <c r="J2072" s="57" t="s">
        <v>3057</v>
      </c>
      <c r="K2072" s="57" t="s">
        <v>591</v>
      </c>
      <c r="L2072" s="11" t="s">
        <v>1464</v>
      </c>
      <c r="M2072" s="22">
        <v>1</v>
      </c>
      <c r="N2072" s="46">
        <f t="shared" si="57"/>
        <v>220000</v>
      </c>
      <c r="O2072" s="49">
        <v>220000</v>
      </c>
      <c r="P2072" s="31" t="s">
        <v>501</v>
      </c>
      <c r="Q2072" s="5" t="s">
        <v>3026</v>
      </c>
      <c r="R2072" s="11">
        <v>431000000</v>
      </c>
      <c r="S2072" s="5">
        <v>0</v>
      </c>
    </row>
    <row r="2073" spans="1:19" ht="51" outlineLevel="1">
      <c r="A2073" s="5">
        <v>2058</v>
      </c>
      <c r="B2073" s="15" t="s">
        <v>710</v>
      </c>
      <c r="C2073" s="5" t="s">
        <v>597</v>
      </c>
      <c r="D2073" s="11" t="s">
        <v>1251</v>
      </c>
      <c r="E2073" s="57" t="s">
        <v>1764</v>
      </c>
      <c r="F2073" s="57" t="s">
        <v>1252</v>
      </c>
      <c r="G2073" s="57" t="s">
        <v>1764</v>
      </c>
      <c r="H2073" s="57" t="s">
        <v>1252</v>
      </c>
      <c r="I2073" s="57" t="s">
        <v>3060</v>
      </c>
      <c r="J2073" s="57" t="s">
        <v>3061</v>
      </c>
      <c r="K2073" s="57" t="s">
        <v>591</v>
      </c>
      <c r="L2073" s="11" t="s">
        <v>914</v>
      </c>
      <c r="M2073" s="9">
        <v>1</v>
      </c>
      <c r="N2073" s="46">
        <f t="shared" si="57"/>
        <v>100000</v>
      </c>
      <c r="O2073" s="49">
        <v>100000</v>
      </c>
      <c r="P2073" s="14" t="s">
        <v>501</v>
      </c>
      <c r="Q2073" s="5" t="s">
        <v>766</v>
      </c>
      <c r="R2073" s="11">
        <v>231000000</v>
      </c>
      <c r="S2073" s="14">
        <v>0</v>
      </c>
    </row>
    <row r="2074" spans="1:19" s="7" customFormat="1" ht="51">
      <c r="A2074" s="5">
        <v>2059</v>
      </c>
      <c r="B2074" s="29" t="s">
        <v>710</v>
      </c>
      <c r="C2074" s="35" t="s">
        <v>597</v>
      </c>
      <c r="D2074" s="5" t="s">
        <v>3062</v>
      </c>
      <c r="E2074" s="31" t="s">
        <v>3065</v>
      </c>
      <c r="F2074" s="31" t="s">
        <v>3064</v>
      </c>
      <c r="G2074" s="31" t="s">
        <v>3066</v>
      </c>
      <c r="H2074" s="5" t="s">
        <v>3063</v>
      </c>
      <c r="I2074" s="31" t="s">
        <v>3068</v>
      </c>
      <c r="J2074" s="31" t="s">
        <v>3067</v>
      </c>
      <c r="K2074" s="5" t="s">
        <v>591</v>
      </c>
      <c r="L2074" s="11" t="s">
        <v>914</v>
      </c>
      <c r="M2074" s="6">
        <v>1</v>
      </c>
      <c r="N2074" s="46">
        <f t="shared" si="57"/>
        <v>546816</v>
      </c>
      <c r="O2074" s="71">
        <f>430000+116816</f>
        <v>546816</v>
      </c>
      <c r="P2074" s="5" t="s">
        <v>501</v>
      </c>
      <c r="Q2074" s="5" t="s">
        <v>2425</v>
      </c>
      <c r="R2074" s="11">
        <v>231000000</v>
      </c>
      <c r="S2074" s="5">
        <v>50</v>
      </c>
    </row>
    <row r="2075" spans="1:19" ht="63.75" outlineLevel="1">
      <c r="A2075" s="5">
        <v>2060</v>
      </c>
      <c r="B2075" s="15" t="s">
        <v>710</v>
      </c>
      <c r="C2075" s="5" t="s">
        <v>597</v>
      </c>
      <c r="D2075" s="5" t="s">
        <v>857</v>
      </c>
      <c r="E2075" s="57" t="s">
        <v>2268</v>
      </c>
      <c r="F2075" s="57" t="s">
        <v>34</v>
      </c>
      <c r="G2075" s="57" t="s">
        <v>858</v>
      </c>
      <c r="H2075" s="57" t="s">
        <v>859</v>
      </c>
      <c r="I2075" s="57" t="s">
        <v>3070</v>
      </c>
      <c r="J2075" s="57" t="s">
        <v>3069</v>
      </c>
      <c r="K2075" s="57" t="s">
        <v>591</v>
      </c>
      <c r="L2075" s="11" t="s">
        <v>914</v>
      </c>
      <c r="M2075" s="22">
        <v>1</v>
      </c>
      <c r="N2075" s="46">
        <f t="shared" si="57"/>
        <v>150000</v>
      </c>
      <c r="O2075" s="49">
        <v>150000</v>
      </c>
      <c r="P2075" s="5" t="s">
        <v>501</v>
      </c>
      <c r="Q2075" s="5" t="s">
        <v>766</v>
      </c>
      <c r="R2075" s="11">
        <v>231000000</v>
      </c>
      <c r="S2075" s="22">
        <v>0</v>
      </c>
    </row>
    <row r="2076" spans="1:19" s="37" customFormat="1" ht="25.5">
      <c r="A2076" s="5">
        <v>2061</v>
      </c>
      <c r="B2076" s="15" t="s">
        <v>710</v>
      </c>
      <c r="C2076" s="5" t="s">
        <v>1464</v>
      </c>
      <c r="D2076" s="5" t="s">
        <v>3076</v>
      </c>
      <c r="E2076" s="5" t="s">
        <v>3058</v>
      </c>
      <c r="F2076" s="57" t="s">
        <v>3056</v>
      </c>
      <c r="G2076" s="5" t="s">
        <v>3058</v>
      </c>
      <c r="H2076" s="57" t="s">
        <v>3056</v>
      </c>
      <c r="I2076" s="5" t="s">
        <v>3078</v>
      </c>
      <c r="J2076" s="57" t="s">
        <v>3077</v>
      </c>
      <c r="K2076" s="57" t="s">
        <v>591</v>
      </c>
      <c r="L2076" s="11" t="s">
        <v>1464</v>
      </c>
      <c r="M2076" s="22">
        <v>1</v>
      </c>
      <c r="N2076" s="46">
        <f t="shared" si="57"/>
        <v>155000</v>
      </c>
      <c r="O2076" s="49">
        <v>155000</v>
      </c>
      <c r="P2076" s="31" t="s">
        <v>501</v>
      </c>
      <c r="Q2076" s="5" t="s">
        <v>1318</v>
      </c>
      <c r="R2076" s="11">
        <v>551000000</v>
      </c>
      <c r="S2076" s="5">
        <v>100</v>
      </c>
    </row>
    <row r="2077" spans="1:19" s="7" customFormat="1" ht="51">
      <c r="A2077" s="5">
        <v>2062</v>
      </c>
      <c r="B2077" s="29" t="s">
        <v>710</v>
      </c>
      <c r="C2077" s="35" t="s">
        <v>597</v>
      </c>
      <c r="D2077" s="5" t="s">
        <v>3071</v>
      </c>
      <c r="E2077" s="31" t="s">
        <v>2620</v>
      </c>
      <c r="F2077" s="31" t="s">
        <v>1304</v>
      </c>
      <c r="G2077" s="4" t="s">
        <v>3074</v>
      </c>
      <c r="H2077" s="31" t="s">
        <v>3075</v>
      </c>
      <c r="I2077" s="5" t="s">
        <v>3072</v>
      </c>
      <c r="J2077" s="5" t="s">
        <v>3073</v>
      </c>
      <c r="K2077" s="5" t="s">
        <v>591</v>
      </c>
      <c r="L2077" s="11" t="s">
        <v>914</v>
      </c>
      <c r="M2077" s="6">
        <v>1</v>
      </c>
      <c r="N2077" s="71">
        <f t="shared" si="57"/>
        <v>150000</v>
      </c>
      <c r="O2077" s="71">
        <v>150000</v>
      </c>
      <c r="P2077" s="5" t="s">
        <v>501</v>
      </c>
      <c r="Q2077" s="5" t="s">
        <v>2491</v>
      </c>
      <c r="R2077" s="11">
        <v>391000000</v>
      </c>
      <c r="S2077" s="5">
        <v>30</v>
      </c>
    </row>
    <row r="2078" spans="1:19" s="7" customFormat="1" ht="51" customHeight="1">
      <c r="A2078" s="5">
        <v>2063</v>
      </c>
      <c r="B2078" s="29" t="s">
        <v>710</v>
      </c>
      <c r="C2078" s="35" t="s">
        <v>2433</v>
      </c>
      <c r="D2078" s="5" t="s">
        <v>3037</v>
      </c>
      <c r="E2078" s="84" t="s">
        <v>3081</v>
      </c>
      <c r="F2078" s="5" t="s">
        <v>3082</v>
      </c>
      <c r="G2078" s="5" t="s">
        <v>3083</v>
      </c>
      <c r="H2078" s="5" t="s">
        <v>3084</v>
      </c>
      <c r="I2078" s="84" t="s">
        <v>3081</v>
      </c>
      <c r="J2078" s="5" t="s">
        <v>3082</v>
      </c>
      <c r="K2078" s="5" t="s">
        <v>591</v>
      </c>
      <c r="L2078" s="4" t="s">
        <v>644</v>
      </c>
      <c r="M2078" s="6">
        <v>18</v>
      </c>
      <c r="N2078" s="71">
        <f t="shared" si="57"/>
        <v>9100</v>
      </c>
      <c r="O2078" s="71">
        <v>163800</v>
      </c>
      <c r="P2078" s="5" t="s">
        <v>501</v>
      </c>
      <c r="Q2078" s="5" t="s">
        <v>501</v>
      </c>
      <c r="R2078" s="11">
        <v>151000000</v>
      </c>
      <c r="S2078" s="5">
        <v>30</v>
      </c>
    </row>
    <row r="2079" spans="1:19" s="7" customFormat="1" ht="51" customHeight="1">
      <c r="A2079" s="5">
        <v>2064</v>
      </c>
      <c r="B2079" s="29" t="s">
        <v>710</v>
      </c>
      <c r="C2079" s="35" t="s">
        <v>2433</v>
      </c>
      <c r="D2079" s="5" t="s">
        <v>3085</v>
      </c>
      <c r="E2079" s="11" t="s">
        <v>3088</v>
      </c>
      <c r="F2079" s="5" t="s">
        <v>3086</v>
      </c>
      <c r="G2079" s="5" t="s">
        <v>3089</v>
      </c>
      <c r="H2079" s="5" t="s">
        <v>3087</v>
      </c>
      <c r="I2079" s="5" t="s">
        <v>3080</v>
      </c>
      <c r="J2079" s="5" t="s">
        <v>3079</v>
      </c>
      <c r="K2079" s="5" t="s">
        <v>591</v>
      </c>
      <c r="L2079" s="4" t="s">
        <v>644</v>
      </c>
      <c r="M2079" s="6">
        <v>18</v>
      </c>
      <c r="N2079" s="71">
        <f t="shared" si="57"/>
        <v>6170</v>
      </c>
      <c r="O2079" s="71">
        <v>111060</v>
      </c>
      <c r="P2079" s="5" t="s">
        <v>501</v>
      </c>
      <c r="Q2079" s="5" t="s">
        <v>501</v>
      </c>
      <c r="R2079" s="11">
        <v>151000000</v>
      </c>
      <c r="S2079" s="5">
        <v>30</v>
      </c>
    </row>
    <row r="2080" spans="1:19" ht="51" outlineLevel="1">
      <c r="A2080" s="5">
        <v>2065</v>
      </c>
      <c r="B2080" s="15" t="s">
        <v>710</v>
      </c>
      <c r="C2080" s="5" t="s">
        <v>597</v>
      </c>
      <c r="D2080" s="5" t="s">
        <v>516</v>
      </c>
      <c r="E2080" s="57" t="s">
        <v>517</v>
      </c>
      <c r="F2080" s="57" t="s">
        <v>518</v>
      </c>
      <c r="G2080" s="57" t="s">
        <v>517</v>
      </c>
      <c r="H2080" s="57" t="s">
        <v>518</v>
      </c>
      <c r="I2080" s="57" t="s">
        <v>3091</v>
      </c>
      <c r="J2080" s="57" t="s">
        <v>3090</v>
      </c>
      <c r="K2080" s="5" t="s">
        <v>591</v>
      </c>
      <c r="L2080" s="11" t="s">
        <v>914</v>
      </c>
      <c r="M2080" s="22">
        <v>1</v>
      </c>
      <c r="N2080" s="46">
        <f t="shared" si="57"/>
        <v>600000</v>
      </c>
      <c r="O2080" s="49">
        <v>600000</v>
      </c>
      <c r="P2080" s="5" t="s">
        <v>501</v>
      </c>
      <c r="Q2080" s="5" t="s">
        <v>766</v>
      </c>
      <c r="R2080" s="11">
        <v>751710000</v>
      </c>
      <c r="S2080" s="22">
        <v>100</v>
      </c>
    </row>
    <row r="2081" spans="1:19" ht="89.25" collapsed="1">
      <c r="A2081" s="5">
        <v>2066</v>
      </c>
      <c r="B2081" s="15" t="s">
        <v>710</v>
      </c>
      <c r="C2081" s="31" t="s">
        <v>597</v>
      </c>
      <c r="D2081" s="5" t="s">
        <v>1430</v>
      </c>
      <c r="E2081" s="57" t="s">
        <v>1947</v>
      </c>
      <c r="F2081" s="57" t="s">
        <v>1948</v>
      </c>
      <c r="G2081" s="57" t="s">
        <v>1947</v>
      </c>
      <c r="H2081" s="57" t="s">
        <v>1948</v>
      </c>
      <c r="I2081" s="57" t="s">
        <v>3094</v>
      </c>
      <c r="J2081" s="57" t="s">
        <v>3092</v>
      </c>
      <c r="K2081" s="5" t="s">
        <v>591</v>
      </c>
      <c r="L2081" s="11" t="s">
        <v>914</v>
      </c>
      <c r="M2081" s="22">
        <v>1</v>
      </c>
      <c r="N2081" s="46">
        <f t="shared" si="57"/>
        <v>1785714</v>
      </c>
      <c r="O2081" s="49">
        <v>1785714</v>
      </c>
      <c r="P2081" s="5" t="s">
        <v>501</v>
      </c>
      <c r="Q2081" s="15" t="s">
        <v>3093</v>
      </c>
      <c r="R2081" s="11" t="s">
        <v>1175</v>
      </c>
      <c r="S2081" s="22">
        <v>50</v>
      </c>
    </row>
    <row r="2082" spans="1:19" s="26" customFormat="1" ht="140.25">
      <c r="A2082" s="5">
        <v>2067</v>
      </c>
      <c r="B2082" s="5" t="s">
        <v>710</v>
      </c>
      <c r="C2082" s="42" t="s">
        <v>597</v>
      </c>
      <c r="D2082" s="11" t="s">
        <v>2630</v>
      </c>
      <c r="E2082" s="5" t="s">
        <v>517</v>
      </c>
      <c r="F2082" s="76" t="s">
        <v>2631</v>
      </c>
      <c r="G2082" s="5" t="s">
        <v>2651</v>
      </c>
      <c r="H2082" s="76" t="s">
        <v>2632</v>
      </c>
      <c r="I2082" s="57" t="s">
        <v>3096</v>
      </c>
      <c r="J2082" s="5" t="s">
        <v>3095</v>
      </c>
      <c r="K2082" s="5" t="s">
        <v>591</v>
      </c>
      <c r="L2082" s="5" t="s">
        <v>914</v>
      </c>
      <c r="M2082" s="5">
        <v>1</v>
      </c>
      <c r="N2082" s="46">
        <f t="shared" si="57"/>
        <v>2714286</v>
      </c>
      <c r="O2082" s="46">
        <v>2714286</v>
      </c>
      <c r="P2082" s="5" t="s">
        <v>501</v>
      </c>
      <c r="Q2082" s="15" t="s">
        <v>3093</v>
      </c>
      <c r="R2082" s="11" t="s">
        <v>1175</v>
      </c>
      <c r="S2082" s="22">
        <v>50</v>
      </c>
    </row>
    <row r="2083" spans="1:19" ht="89.25">
      <c r="A2083" s="5">
        <v>2068</v>
      </c>
      <c r="B2083" s="15" t="s">
        <v>710</v>
      </c>
      <c r="C2083" s="31" t="s">
        <v>597</v>
      </c>
      <c r="D2083" s="5" t="s">
        <v>524</v>
      </c>
      <c r="E2083" s="57" t="s">
        <v>1955</v>
      </c>
      <c r="F2083" s="57" t="s">
        <v>525</v>
      </c>
      <c r="G2083" s="57" t="s">
        <v>1956</v>
      </c>
      <c r="H2083" s="57" t="s">
        <v>526</v>
      </c>
      <c r="I2083" s="57" t="s">
        <v>3099</v>
      </c>
      <c r="J2083" s="57" t="s">
        <v>3098</v>
      </c>
      <c r="K2083" s="57" t="s">
        <v>591</v>
      </c>
      <c r="L2083" s="11" t="s">
        <v>914</v>
      </c>
      <c r="M2083" s="22">
        <v>1</v>
      </c>
      <c r="N2083" s="46">
        <f t="shared" si="57"/>
        <v>2000000</v>
      </c>
      <c r="O2083" s="49">
        <v>2000000</v>
      </c>
      <c r="P2083" s="4" t="s">
        <v>501</v>
      </c>
      <c r="Q2083" s="5" t="s">
        <v>3097</v>
      </c>
      <c r="R2083" s="11" t="s">
        <v>1175</v>
      </c>
      <c r="S2083" s="22">
        <v>50</v>
      </c>
    </row>
    <row r="2084" spans="1:19" ht="89.25">
      <c r="A2084" s="5">
        <v>2069</v>
      </c>
      <c r="B2084" s="15" t="s">
        <v>710</v>
      </c>
      <c r="C2084" s="31" t="s">
        <v>597</v>
      </c>
      <c r="D2084" s="5" t="s">
        <v>524</v>
      </c>
      <c r="E2084" s="57" t="s">
        <v>1955</v>
      </c>
      <c r="F2084" s="57" t="s">
        <v>525</v>
      </c>
      <c r="G2084" s="57" t="s">
        <v>1956</v>
      </c>
      <c r="H2084" s="57" t="s">
        <v>526</v>
      </c>
      <c r="I2084" s="57" t="s">
        <v>3099</v>
      </c>
      <c r="J2084" s="57" t="s">
        <v>3098</v>
      </c>
      <c r="K2084" s="57" t="s">
        <v>591</v>
      </c>
      <c r="L2084" s="11" t="s">
        <v>914</v>
      </c>
      <c r="M2084" s="22">
        <v>1</v>
      </c>
      <c r="N2084" s="46">
        <f t="shared" si="57"/>
        <v>2000000</v>
      </c>
      <c r="O2084" s="49">
        <v>2000000</v>
      </c>
      <c r="P2084" s="4" t="s">
        <v>501</v>
      </c>
      <c r="Q2084" s="5" t="s">
        <v>3097</v>
      </c>
      <c r="R2084" s="11">
        <v>751710000</v>
      </c>
      <c r="S2084" s="22">
        <v>50</v>
      </c>
    </row>
    <row r="2085" spans="1:19" s="7" customFormat="1" ht="76.5">
      <c r="A2085" s="5">
        <v>2070</v>
      </c>
      <c r="B2085" s="29" t="s">
        <v>710</v>
      </c>
      <c r="C2085" s="35" t="s">
        <v>597</v>
      </c>
      <c r="D2085" s="5" t="s">
        <v>3071</v>
      </c>
      <c r="E2085" s="31" t="s">
        <v>2620</v>
      </c>
      <c r="F2085" s="31" t="s">
        <v>1304</v>
      </c>
      <c r="G2085" s="4" t="s">
        <v>3074</v>
      </c>
      <c r="H2085" s="31" t="s">
        <v>3075</v>
      </c>
      <c r="I2085" s="5" t="s">
        <v>3101</v>
      </c>
      <c r="J2085" s="5" t="s">
        <v>3100</v>
      </c>
      <c r="K2085" s="5" t="s">
        <v>591</v>
      </c>
      <c r="L2085" s="11" t="s">
        <v>914</v>
      </c>
      <c r="M2085" s="6">
        <v>1</v>
      </c>
      <c r="N2085" s="71">
        <f t="shared" si="57"/>
        <v>137949</v>
      </c>
      <c r="O2085" s="71">
        <v>137949</v>
      </c>
      <c r="P2085" s="5" t="s">
        <v>501</v>
      </c>
      <c r="Q2085" s="5" t="s">
        <v>502</v>
      </c>
      <c r="R2085" s="11">
        <v>191000000</v>
      </c>
      <c r="S2085" s="5">
        <v>30</v>
      </c>
    </row>
    <row r="2086" spans="1:19" ht="38.25" outlineLevel="1">
      <c r="A2086" s="5">
        <v>2071</v>
      </c>
      <c r="B2086" s="15" t="s">
        <v>710</v>
      </c>
      <c r="C2086" s="31" t="s">
        <v>597</v>
      </c>
      <c r="D2086" s="117" t="s">
        <v>1160</v>
      </c>
      <c r="E2086" s="57" t="s">
        <v>1923</v>
      </c>
      <c r="F2086" s="57" t="s">
        <v>1161</v>
      </c>
      <c r="G2086" s="57" t="s">
        <v>1924</v>
      </c>
      <c r="H2086" s="57" t="s">
        <v>1162</v>
      </c>
      <c r="I2086" s="57" t="s">
        <v>3103</v>
      </c>
      <c r="J2086" s="57" t="s">
        <v>3102</v>
      </c>
      <c r="K2086" s="57" t="s">
        <v>591</v>
      </c>
      <c r="L2086" s="11" t="s">
        <v>914</v>
      </c>
      <c r="M2086" s="22">
        <v>1</v>
      </c>
      <c r="N2086" s="46">
        <f t="shared" si="57"/>
        <v>15000</v>
      </c>
      <c r="O2086" s="49">
        <v>15000</v>
      </c>
      <c r="P2086" s="5" t="s">
        <v>501</v>
      </c>
      <c r="Q2086" s="5" t="s">
        <v>502</v>
      </c>
      <c r="R2086" s="11" t="s">
        <v>715</v>
      </c>
      <c r="S2086" s="22">
        <v>100</v>
      </c>
    </row>
    <row r="2087" spans="1:19" ht="51" outlineLevel="1">
      <c r="A2087" s="5">
        <v>2072</v>
      </c>
      <c r="B2087" s="15" t="s">
        <v>710</v>
      </c>
      <c r="C2087" s="5" t="s">
        <v>597</v>
      </c>
      <c r="D2087" s="5" t="s">
        <v>3104</v>
      </c>
      <c r="E2087" s="57" t="s">
        <v>3108</v>
      </c>
      <c r="F2087" s="57" t="s">
        <v>3105</v>
      </c>
      <c r="G2087" s="57" t="s">
        <v>3109</v>
      </c>
      <c r="H2087" s="57" t="s">
        <v>3106</v>
      </c>
      <c r="I2087" s="57" t="s">
        <v>3110</v>
      </c>
      <c r="J2087" s="57" t="s">
        <v>3107</v>
      </c>
      <c r="K2087" s="57" t="s">
        <v>591</v>
      </c>
      <c r="L2087" s="11" t="s">
        <v>914</v>
      </c>
      <c r="M2087" s="22">
        <v>1</v>
      </c>
      <c r="N2087" s="46">
        <f t="shared" si="57"/>
        <v>149400</v>
      </c>
      <c r="O2087" s="49">
        <v>149400</v>
      </c>
      <c r="P2087" s="5" t="s">
        <v>501</v>
      </c>
      <c r="Q2087" s="5" t="s">
        <v>766</v>
      </c>
      <c r="R2087" s="11">
        <v>710000000</v>
      </c>
      <c r="S2087" s="22">
        <v>30</v>
      </c>
    </row>
    <row r="2088" spans="1:19" s="102" customFormat="1" ht="51" collapsed="1">
      <c r="A2088" s="5">
        <v>2073</v>
      </c>
      <c r="B2088" s="15" t="s">
        <v>710</v>
      </c>
      <c r="C2088" s="40" t="s">
        <v>597</v>
      </c>
      <c r="D2088" s="40" t="s">
        <v>507</v>
      </c>
      <c r="E2088" s="40" t="s">
        <v>3112</v>
      </c>
      <c r="F2088" s="40" t="s">
        <v>509</v>
      </c>
      <c r="G2088" s="40" t="s">
        <v>3113</v>
      </c>
      <c r="H2088" s="40" t="s">
        <v>510</v>
      </c>
      <c r="I2088" s="40" t="s">
        <v>3114</v>
      </c>
      <c r="J2088" s="40" t="s">
        <v>3115</v>
      </c>
      <c r="K2088" s="40" t="s">
        <v>591</v>
      </c>
      <c r="L2088" s="11" t="s">
        <v>914</v>
      </c>
      <c r="M2088" s="53">
        <v>1</v>
      </c>
      <c r="N2088" s="91">
        <v>14235620</v>
      </c>
      <c r="O2088" s="91">
        <f t="shared" ref="O2088:O2111" si="58">N2088*M2088</f>
        <v>14235620</v>
      </c>
      <c r="P2088" s="40" t="s">
        <v>502</v>
      </c>
      <c r="Q2088" s="40" t="s">
        <v>3093</v>
      </c>
      <c r="R2088" s="111" t="s">
        <v>1175</v>
      </c>
      <c r="S2088" s="40">
        <v>30</v>
      </c>
    </row>
    <row r="2089" spans="1:19" s="92" customFormat="1" ht="51">
      <c r="A2089" s="5">
        <v>2074</v>
      </c>
      <c r="B2089" s="15" t="s">
        <v>710</v>
      </c>
      <c r="C2089" s="40" t="s">
        <v>3117</v>
      </c>
      <c r="D2089" s="40" t="s">
        <v>3118</v>
      </c>
      <c r="E2089" s="40" t="s">
        <v>3119</v>
      </c>
      <c r="F2089" s="40" t="s">
        <v>3120</v>
      </c>
      <c r="G2089" s="40" t="s">
        <v>3121</v>
      </c>
      <c r="H2089" s="40" t="s">
        <v>3122</v>
      </c>
      <c r="I2089" s="40" t="s">
        <v>3123</v>
      </c>
      <c r="J2089" s="40" t="s">
        <v>3124</v>
      </c>
      <c r="K2089" s="40" t="s">
        <v>591</v>
      </c>
      <c r="L2089" s="11" t="s">
        <v>914</v>
      </c>
      <c r="M2089" s="40">
        <v>1</v>
      </c>
      <c r="N2089" s="91">
        <v>18821000</v>
      </c>
      <c r="O2089" s="91">
        <f t="shared" si="58"/>
        <v>18821000</v>
      </c>
      <c r="P2089" s="40" t="s">
        <v>698</v>
      </c>
      <c r="Q2089" s="40" t="s">
        <v>766</v>
      </c>
      <c r="R2089" s="111" t="s">
        <v>1175</v>
      </c>
      <c r="S2089" s="40">
        <v>30</v>
      </c>
    </row>
    <row r="2090" spans="1:19" s="92" customFormat="1" ht="76.5">
      <c r="A2090" s="5">
        <v>2075</v>
      </c>
      <c r="B2090" s="15" t="s">
        <v>710</v>
      </c>
      <c r="C2090" s="40" t="s">
        <v>597</v>
      </c>
      <c r="D2090" s="84" t="s">
        <v>1400</v>
      </c>
      <c r="E2090" s="31" t="s">
        <v>3125</v>
      </c>
      <c r="F2090" s="76" t="s">
        <v>1402</v>
      </c>
      <c r="G2090" s="31" t="s">
        <v>3125</v>
      </c>
      <c r="H2090" s="76" t="s">
        <v>1402</v>
      </c>
      <c r="I2090" s="76" t="s">
        <v>3126</v>
      </c>
      <c r="J2090" s="76" t="s">
        <v>3127</v>
      </c>
      <c r="K2090" s="40" t="s">
        <v>591</v>
      </c>
      <c r="L2090" s="11" t="s">
        <v>914</v>
      </c>
      <c r="M2090" s="53">
        <v>1</v>
      </c>
      <c r="N2090" s="91">
        <v>3257464</v>
      </c>
      <c r="O2090" s="91">
        <f t="shared" si="58"/>
        <v>3257464</v>
      </c>
      <c r="P2090" s="40" t="s">
        <v>502</v>
      </c>
      <c r="Q2090" s="40" t="s">
        <v>3093</v>
      </c>
      <c r="R2090" s="111" t="s">
        <v>1175</v>
      </c>
      <c r="S2090" s="40">
        <v>30</v>
      </c>
    </row>
    <row r="2091" spans="1:19" s="102" customFormat="1" ht="51">
      <c r="A2091" s="5">
        <v>2076</v>
      </c>
      <c r="B2091" s="15" t="s">
        <v>710</v>
      </c>
      <c r="C2091" s="40" t="s">
        <v>597</v>
      </c>
      <c r="D2091" s="40" t="s">
        <v>3128</v>
      </c>
      <c r="E2091" s="31" t="s">
        <v>2620</v>
      </c>
      <c r="F2091" s="31" t="s">
        <v>1304</v>
      </c>
      <c r="G2091" s="31" t="s">
        <v>3129</v>
      </c>
      <c r="H2091" s="40" t="s">
        <v>3130</v>
      </c>
      <c r="I2091" s="40" t="s">
        <v>3131</v>
      </c>
      <c r="J2091" s="40" t="s">
        <v>3132</v>
      </c>
      <c r="K2091" s="40" t="s">
        <v>591</v>
      </c>
      <c r="L2091" s="11" t="s">
        <v>914</v>
      </c>
      <c r="M2091" s="93">
        <v>1</v>
      </c>
      <c r="N2091" s="103">
        <f>O2091/M2091</f>
        <v>773250</v>
      </c>
      <c r="O2091" s="103">
        <f>826000-52750</f>
        <v>773250</v>
      </c>
      <c r="P2091" s="40" t="s">
        <v>3116</v>
      </c>
      <c r="Q2091" s="40" t="s">
        <v>766</v>
      </c>
      <c r="R2091" s="84">
        <v>151010000</v>
      </c>
      <c r="S2091" s="40">
        <v>50</v>
      </c>
    </row>
    <row r="2092" spans="1:19" s="92" customFormat="1" ht="76.5">
      <c r="A2092" s="5">
        <v>2077</v>
      </c>
      <c r="B2092" s="15" t="s">
        <v>710</v>
      </c>
      <c r="C2092" s="40" t="s">
        <v>3117</v>
      </c>
      <c r="D2092" s="40" t="s">
        <v>532</v>
      </c>
      <c r="E2092" s="31" t="s">
        <v>3133</v>
      </c>
      <c r="F2092" s="31" t="s">
        <v>534</v>
      </c>
      <c r="G2092" s="31" t="s">
        <v>3133</v>
      </c>
      <c r="H2092" s="31" t="s">
        <v>534</v>
      </c>
      <c r="I2092" s="40" t="s">
        <v>3134</v>
      </c>
      <c r="J2092" s="40" t="s">
        <v>3135</v>
      </c>
      <c r="K2092" s="40" t="s">
        <v>591</v>
      </c>
      <c r="L2092" s="11" t="s">
        <v>914</v>
      </c>
      <c r="M2092" s="93">
        <v>1</v>
      </c>
      <c r="N2092" s="94">
        <f>3058*130</f>
        <v>397540</v>
      </c>
      <c r="O2092" s="103">
        <f t="shared" si="58"/>
        <v>397540</v>
      </c>
      <c r="P2092" s="40" t="s">
        <v>3116</v>
      </c>
      <c r="Q2092" s="40" t="s">
        <v>1051</v>
      </c>
      <c r="R2092" s="84">
        <v>151010000</v>
      </c>
      <c r="S2092" s="40">
        <v>50</v>
      </c>
    </row>
    <row r="2093" spans="1:19" s="92" customFormat="1" ht="51">
      <c r="A2093" s="5">
        <v>2078</v>
      </c>
      <c r="B2093" s="15" t="s">
        <v>710</v>
      </c>
      <c r="C2093" s="40" t="s">
        <v>2433</v>
      </c>
      <c r="D2093" s="40" t="s">
        <v>3136</v>
      </c>
      <c r="E2093" s="40" t="s">
        <v>466</v>
      </c>
      <c r="F2093" s="40" t="s">
        <v>25</v>
      </c>
      <c r="G2093" s="40" t="s">
        <v>3212</v>
      </c>
      <c r="H2093" s="40" t="s">
        <v>467</v>
      </c>
      <c r="I2093" s="40" t="s">
        <v>3137</v>
      </c>
      <c r="J2093" s="40" t="s">
        <v>3138</v>
      </c>
      <c r="K2093" s="40" t="s">
        <v>591</v>
      </c>
      <c r="L2093" s="95" t="s">
        <v>644</v>
      </c>
      <c r="M2093" s="93">
        <f>28*5</f>
        <v>140</v>
      </c>
      <c r="N2093" s="94">
        <v>40</v>
      </c>
      <c r="O2093" s="94">
        <f t="shared" si="58"/>
        <v>5600</v>
      </c>
      <c r="P2093" s="40" t="s">
        <v>3139</v>
      </c>
      <c r="Q2093" s="40" t="s">
        <v>766</v>
      </c>
      <c r="R2093" s="84">
        <v>151010000</v>
      </c>
      <c r="S2093" s="40">
        <v>0</v>
      </c>
    </row>
    <row r="2094" spans="1:19" s="92" customFormat="1" ht="51">
      <c r="A2094" s="5">
        <v>2079</v>
      </c>
      <c r="B2094" s="15" t="s">
        <v>710</v>
      </c>
      <c r="C2094" s="40" t="s">
        <v>2433</v>
      </c>
      <c r="D2094" s="40" t="s">
        <v>3140</v>
      </c>
      <c r="E2094" s="40" t="s">
        <v>3141</v>
      </c>
      <c r="F2094" s="40" t="s">
        <v>3142</v>
      </c>
      <c r="G2094" s="40" t="s">
        <v>3213</v>
      </c>
      <c r="H2094" s="40" t="s">
        <v>3214</v>
      </c>
      <c r="I2094" s="40" t="s">
        <v>3143</v>
      </c>
      <c r="J2094" s="40" t="s">
        <v>3144</v>
      </c>
      <c r="K2094" s="40" t="s">
        <v>591</v>
      </c>
      <c r="L2094" s="95" t="s">
        <v>644</v>
      </c>
      <c r="M2094" s="93">
        <f>28*2</f>
        <v>56</v>
      </c>
      <c r="N2094" s="94">
        <v>170</v>
      </c>
      <c r="O2094" s="94">
        <f t="shared" si="58"/>
        <v>9520</v>
      </c>
      <c r="P2094" s="40" t="s">
        <v>3139</v>
      </c>
      <c r="Q2094" s="40" t="s">
        <v>766</v>
      </c>
      <c r="R2094" s="84">
        <v>151010000</v>
      </c>
      <c r="S2094" s="40">
        <v>0</v>
      </c>
    </row>
    <row r="2095" spans="1:19" s="92" customFormat="1" ht="51">
      <c r="A2095" s="5">
        <v>2080</v>
      </c>
      <c r="B2095" s="15" t="s">
        <v>710</v>
      </c>
      <c r="C2095" s="40" t="s">
        <v>2433</v>
      </c>
      <c r="D2095" s="40" t="s">
        <v>452</v>
      </c>
      <c r="E2095" s="40" t="s">
        <v>453</v>
      </c>
      <c r="F2095" s="40" t="s">
        <v>454</v>
      </c>
      <c r="G2095" s="40" t="s">
        <v>455</v>
      </c>
      <c r="H2095" s="40" t="s">
        <v>456</v>
      </c>
      <c r="I2095" s="40" t="s">
        <v>3145</v>
      </c>
      <c r="J2095" s="40" t="s">
        <v>3146</v>
      </c>
      <c r="K2095" s="40" t="s">
        <v>591</v>
      </c>
      <c r="L2095" s="95" t="s">
        <v>480</v>
      </c>
      <c r="M2095" s="93">
        <f>28*5</f>
        <v>140</v>
      </c>
      <c r="N2095" s="94">
        <v>155</v>
      </c>
      <c r="O2095" s="94">
        <f t="shared" si="58"/>
        <v>21700</v>
      </c>
      <c r="P2095" s="40" t="s">
        <v>3139</v>
      </c>
      <c r="Q2095" s="40" t="s">
        <v>766</v>
      </c>
      <c r="R2095" s="84">
        <v>151010000</v>
      </c>
      <c r="S2095" s="40">
        <v>0</v>
      </c>
    </row>
    <row r="2096" spans="1:19" s="92" customFormat="1" ht="51">
      <c r="A2096" s="5">
        <v>2081</v>
      </c>
      <c r="B2096" s="15" t="s">
        <v>710</v>
      </c>
      <c r="C2096" s="40" t="s">
        <v>2433</v>
      </c>
      <c r="D2096" s="40" t="s">
        <v>452</v>
      </c>
      <c r="E2096" s="40" t="s">
        <v>453</v>
      </c>
      <c r="F2096" s="40" t="s">
        <v>454</v>
      </c>
      <c r="G2096" s="40" t="s">
        <v>455</v>
      </c>
      <c r="H2096" s="40" t="s">
        <v>456</v>
      </c>
      <c r="I2096" s="40" t="s">
        <v>3147</v>
      </c>
      <c r="J2096" s="40" t="s">
        <v>3148</v>
      </c>
      <c r="K2096" s="40" t="s">
        <v>591</v>
      </c>
      <c r="L2096" s="95" t="s">
        <v>480</v>
      </c>
      <c r="M2096" s="93">
        <f>28*5</f>
        <v>140</v>
      </c>
      <c r="N2096" s="94">
        <v>200</v>
      </c>
      <c r="O2096" s="94">
        <f t="shared" si="58"/>
        <v>28000</v>
      </c>
      <c r="P2096" s="40" t="s">
        <v>3139</v>
      </c>
      <c r="Q2096" s="40" t="s">
        <v>766</v>
      </c>
      <c r="R2096" s="84">
        <v>151010000</v>
      </c>
      <c r="S2096" s="40">
        <v>0</v>
      </c>
    </row>
    <row r="2097" spans="1:19" s="92" customFormat="1" ht="51">
      <c r="A2097" s="5">
        <v>2082</v>
      </c>
      <c r="B2097" s="15" t="s">
        <v>710</v>
      </c>
      <c r="C2097" s="40" t="s">
        <v>2433</v>
      </c>
      <c r="D2097" s="40" t="s">
        <v>432</v>
      </c>
      <c r="E2097" s="40" t="s">
        <v>433</v>
      </c>
      <c r="F2097" s="40" t="s">
        <v>434</v>
      </c>
      <c r="G2097" s="40" t="s">
        <v>435</v>
      </c>
      <c r="H2097" s="40" t="s">
        <v>436</v>
      </c>
      <c r="I2097" s="40" t="s">
        <v>3149</v>
      </c>
      <c r="J2097" s="40" t="s">
        <v>3150</v>
      </c>
      <c r="K2097" s="40" t="s">
        <v>591</v>
      </c>
      <c r="L2097" s="95" t="s">
        <v>644</v>
      </c>
      <c r="M2097" s="93">
        <f>28*5</f>
        <v>140</v>
      </c>
      <c r="N2097" s="94">
        <v>250</v>
      </c>
      <c r="O2097" s="94">
        <f t="shared" si="58"/>
        <v>35000</v>
      </c>
      <c r="P2097" s="40" t="s">
        <v>3139</v>
      </c>
      <c r="Q2097" s="40" t="s">
        <v>766</v>
      </c>
      <c r="R2097" s="84">
        <v>151010000</v>
      </c>
      <c r="S2097" s="40">
        <v>0</v>
      </c>
    </row>
    <row r="2098" spans="1:19" s="92" customFormat="1" ht="51">
      <c r="A2098" s="5">
        <v>2083</v>
      </c>
      <c r="B2098" s="15" t="s">
        <v>710</v>
      </c>
      <c r="C2098" s="40" t="s">
        <v>2433</v>
      </c>
      <c r="D2098" s="40" t="s">
        <v>447</v>
      </c>
      <c r="E2098" s="40" t="s">
        <v>24</v>
      </c>
      <c r="F2098" s="40" t="s">
        <v>24</v>
      </c>
      <c r="G2098" s="40" t="s">
        <v>3215</v>
      </c>
      <c r="H2098" s="40" t="s">
        <v>448</v>
      </c>
      <c r="I2098" s="40" t="s">
        <v>3151</v>
      </c>
      <c r="J2098" s="40" t="s">
        <v>3152</v>
      </c>
      <c r="K2098" s="40" t="s">
        <v>591</v>
      </c>
      <c r="L2098" s="95" t="s">
        <v>644</v>
      </c>
      <c r="M2098" s="93">
        <f>28*3</f>
        <v>84</v>
      </c>
      <c r="N2098" s="94">
        <v>250</v>
      </c>
      <c r="O2098" s="94">
        <f t="shared" si="58"/>
        <v>21000</v>
      </c>
      <c r="P2098" s="40" t="s">
        <v>3139</v>
      </c>
      <c r="Q2098" s="40" t="s">
        <v>766</v>
      </c>
      <c r="R2098" s="84">
        <v>151010000</v>
      </c>
      <c r="S2098" s="40">
        <v>0</v>
      </c>
    </row>
    <row r="2099" spans="1:19" s="92" customFormat="1" ht="51">
      <c r="A2099" s="5">
        <v>2084</v>
      </c>
      <c r="B2099" s="15" t="s">
        <v>710</v>
      </c>
      <c r="C2099" s="40" t="s">
        <v>2433</v>
      </c>
      <c r="D2099" s="40" t="s">
        <v>449</v>
      </c>
      <c r="E2099" s="40" t="s">
        <v>450</v>
      </c>
      <c r="F2099" s="40" t="s">
        <v>450</v>
      </c>
      <c r="G2099" s="40" t="s">
        <v>3216</v>
      </c>
      <c r="H2099" s="40" t="s">
        <v>451</v>
      </c>
      <c r="I2099" s="40" t="s">
        <v>3153</v>
      </c>
      <c r="J2099" s="40" t="s">
        <v>3154</v>
      </c>
      <c r="K2099" s="40" t="s">
        <v>591</v>
      </c>
      <c r="L2099" s="95" t="s">
        <v>480</v>
      </c>
      <c r="M2099" s="93">
        <f>28*3</f>
        <v>84</v>
      </c>
      <c r="N2099" s="94">
        <v>250</v>
      </c>
      <c r="O2099" s="94">
        <f t="shared" si="58"/>
        <v>21000</v>
      </c>
      <c r="P2099" s="40" t="s">
        <v>3139</v>
      </c>
      <c r="Q2099" s="40" t="s">
        <v>766</v>
      </c>
      <c r="R2099" s="84">
        <v>151010000</v>
      </c>
      <c r="S2099" s="40">
        <v>0</v>
      </c>
    </row>
    <row r="2100" spans="1:19" s="92" customFormat="1" ht="51">
      <c r="A2100" s="5">
        <v>2085</v>
      </c>
      <c r="B2100" s="15" t="s">
        <v>710</v>
      </c>
      <c r="C2100" s="40" t="s">
        <v>2433</v>
      </c>
      <c r="D2100" s="40" t="s">
        <v>3155</v>
      </c>
      <c r="E2100" s="40" t="s">
        <v>3156</v>
      </c>
      <c r="F2100" s="40" t="s">
        <v>3157</v>
      </c>
      <c r="G2100" s="40" t="s">
        <v>3217</v>
      </c>
      <c r="H2100" s="40" t="s">
        <v>3218</v>
      </c>
      <c r="I2100" s="40" t="s">
        <v>3158</v>
      </c>
      <c r="J2100" s="40" t="s">
        <v>3159</v>
      </c>
      <c r="K2100" s="40" t="s">
        <v>591</v>
      </c>
      <c r="L2100" s="95" t="s">
        <v>644</v>
      </c>
      <c r="M2100" s="93">
        <f>28*2</f>
        <v>56</v>
      </c>
      <c r="N2100" s="94">
        <v>150</v>
      </c>
      <c r="O2100" s="94">
        <f t="shared" si="58"/>
        <v>8400</v>
      </c>
      <c r="P2100" s="40" t="s">
        <v>3139</v>
      </c>
      <c r="Q2100" s="40" t="s">
        <v>766</v>
      </c>
      <c r="R2100" s="84">
        <v>151010000</v>
      </c>
      <c r="S2100" s="40">
        <v>0</v>
      </c>
    </row>
    <row r="2101" spans="1:19" s="92" customFormat="1" ht="51">
      <c r="A2101" s="5">
        <v>2086</v>
      </c>
      <c r="B2101" s="15" t="s">
        <v>710</v>
      </c>
      <c r="C2101" s="40" t="s">
        <v>2433</v>
      </c>
      <c r="D2101" s="40" t="s">
        <v>437</v>
      </c>
      <c r="E2101" s="40" t="s">
        <v>20</v>
      </c>
      <c r="F2101" s="40" t="s">
        <v>20</v>
      </c>
      <c r="G2101" s="40" t="s">
        <v>438</v>
      </c>
      <c r="H2101" s="40" t="s">
        <v>439</v>
      </c>
      <c r="I2101" s="40" t="s">
        <v>3160</v>
      </c>
      <c r="J2101" s="40" t="s">
        <v>3161</v>
      </c>
      <c r="K2101" s="40" t="s">
        <v>591</v>
      </c>
      <c r="L2101" s="95" t="s">
        <v>644</v>
      </c>
      <c r="M2101" s="93">
        <f>28*5</f>
        <v>140</v>
      </c>
      <c r="N2101" s="94">
        <v>100</v>
      </c>
      <c r="O2101" s="94">
        <f t="shared" si="58"/>
        <v>14000</v>
      </c>
      <c r="P2101" s="40" t="s">
        <v>3139</v>
      </c>
      <c r="Q2101" s="40" t="s">
        <v>766</v>
      </c>
      <c r="R2101" s="84">
        <v>151010000</v>
      </c>
      <c r="S2101" s="40">
        <v>0</v>
      </c>
    </row>
    <row r="2102" spans="1:19" s="92" customFormat="1" ht="51">
      <c r="A2102" s="5">
        <v>2087</v>
      </c>
      <c r="B2102" s="15" t="s">
        <v>710</v>
      </c>
      <c r="C2102" s="40" t="s">
        <v>2433</v>
      </c>
      <c r="D2102" s="40" t="s">
        <v>3162</v>
      </c>
      <c r="E2102" s="40" t="s">
        <v>3163</v>
      </c>
      <c r="F2102" s="40" t="s">
        <v>3164</v>
      </c>
      <c r="G2102" s="40" t="s">
        <v>3219</v>
      </c>
      <c r="H2102" s="40" t="s">
        <v>3220</v>
      </c>
      <c r="I2102" s="40" t="s">
        <v>3165</v>
      </c>
      <c r="J2102" s="40" t="s">
        <v>3166</v>
      </c>
      <c r="K2102" s="40" t="s">
        <v>591</v>
      </c>
      <c r="L2102" s="95" t="s">
        <v>480</v>
      </c>
      <c r="M2102" s="93">
        <f>28*5</f>
        <v>140</v>
      </c>
      <c r="N2102" s="94">
        <v>500</v>
      </c>
      <c r="O2102" s="94">
        <f t="shared" si="58"/>
        <v>70000</v>
      </c>
      <c r="P2102" s="40" t="s">
        <v>3139</v>
      </c>
      <c r="Q2102" s="40" t="s">
        <v>766</v>
      </c>
      <c r="R2102" s="84">
        <v>151010000</v>
      </c>
      <c r="S2102" s="40">
        <v>0</v>
      </c>
    </row>
    <row r="2103" spans="1:19" s="92" customFormat="1" ht="51">
      <c r="A2103" s="5">
        <v>2088</v>
      </c>
      <c r="B2103" s="15" t="s">
        <v>710</v>
      </c>
      <c r="C2103" s="40" t="s">
        <v>2433</v>
      </c>
      <c r="D2103" s="40" t="s">
        <v>440</v>
      </c>
      <c r="E2103" s="40" t="s">
        <v>21</v>
      </c>
      <c r="F2103" s="40" t="s">
        <v>21</v>
      </c>
      <c r="G2103" s="40" t="s">
        <v>441</v>
      </c>
      <c r="H2103" s="40" t="s">
        <v>442</v>
      </c>
      <c r="I2103" s="40" t="s">
        <v>3167</v>
      </c>
      <c r="J2103" s="40" t="s">
        <v>3168</v>
      </c>
      <c r="K2103" s="40" t="s">
        <v>591</v>
      </c>
      <c r="L2103" s="95" t="s">
        <v>644</v>
      </c>
      <c r="M2103" s="93">
        <f t="shared" ref="M2103:M2108" si="59">28*1</f>
        <v>28</v>
      </c>
      <c r="N2103" s="94">
        <v>1500</v>
      </c>
      <c r="O2103" s="94">
        <f t="shared" si="58"/>
        <v>42000</v>
      </c>
      <c r="P2103" s="40" t="s">
        <v>3139</v>
      </c>
      <c r="Q2103" s="40" t="s">
        <v>766</v>
      </c>
      <c r="R2103" s="84">
        <v>151010000</v>
      </c>
      <c r="S2103" s="40">
        <v>0</v>
      </c>
    </row>
    <row r="2104" spans="1:19" s="92" customFormat="1" ht="127.5">
      <c r="A2104" s="5">
        <v>2089</v>
      </c>
      <c r="B2104" s="15" t="s">
        <v>710</v>
      </c>
      <c r="C2104" s="40" t="s">
        <v>2433</v>
      </c>
      <c r="D2104" s="40" t="s">
        <v>470</v>
      </c>
      <c r="E2104" s="40" t="s">
        <v>27</v>
      </c>
      <c r="F2104" s="40" t="s">
        <v>27</v>
      </c>
      <c r="G2104" s="40" t="s">
        <v>471</v>
      </c>
      <c r="H2104" s="40" t="s">
        <v>472</v>
      </c>
      <c r="I2104" s="40" t="s">
        <v>3169</v>
      </c>
      <c r="J2104" s="40" t="s">
        <v>3170</v>
      </c>
      <c r="K2104" s="40" t="s">
        <v>591</v>
      </c>
      <c r="L2104" s="95" t="s">
        <v>644</v>
      </c>
      <c r="M2104" s="93">
        <f t="shared" si="59"/>
        <v>28</v>
      </c>
      <c r="N2104" s="94">
        <v>3500</v>
      </c>
      <c r="O2104" s="94">
        <f t="shared" si="58"/>
        <v>98000</v>
      </c>
      <c r="P2104" s="40" t="s">
        <v>3139</v>
      </c>
      <c r="Q2104" s="40" t="s">
        <v>766</v>
      </c>
      <c r="R2104" s="84">
        <v>151010000</v>
      </c>
      <c r="S2104" s="40">
        <v>0</v>
      </c>
    </row>
    <row r="2105" spans="1:19" s="92" customFormat="1" ht="76.5">
      <c r="A2105" s="5">
        <v>2090</v>
      </c>
      <c r="B2105" s="15" t="s">
        <v>710</v>
      </c>
      <c r="C2105" s="40" t="s">
        <v>2433</v>
      </c>
      <c r="D2105" s="40" t="s">
        <v>3171</v>
      </c>
      <c r="E2105" s="40" t="s">
        <v>3172</v>
      </c>
      <c r="F2105" s="40" t="s">
        <v>3172</v>
      </c>
      <c r="G2105" s="40" t="s">
        <v>3173</v>
      </c>
      <c r="H2105" s="40" t="s">
        <v>3174</v>
      </c>
      <c r="I2105" s="40" t="s">
        <v>3175</v>
      </c>
      <c r="J2105" s="40" t="s">
        <v>3176</v>
      </c>
      <c r="K2105" s="40" t="s">
        <v>591</v>
      </c>
      <c r="L2105" s="95" t="s">
        <v>644</v>
      </c>
      <c r="M2105" s="93">
        <f t="shared" si="59"/>
        <v>28</v>
      </c>
      <c r="N2105" s="94">
        <v>150</v>
      </c>
      <c r="O2105" s="94">
        <f t="shared" si="58"/>
        <v>4200</v>
      </c>
      <c r="P2105" s="40" t="s">
        <v>3139</v>
      </c>
      <c r="Q2105" s="40" t="s">
        <v>766</v>
      </c>
      <c r="R2105" s="84">
        <v>151010000</v>
      </c>
      <c r="S2105" s="40">
        <v>0</v>
      </c>
    </row>
    <row r="2106" spans="1:19" s="92" customFormat="1" ht="51">
      <c r="A2106" s="5">
        <v>2091</v>
      </c>
      <c r="B2106" s="15" t="s">
        <v>710</v>
      </c>
      <c r="C2106" s="40" t="s">
        <v>2433</v>
      </c>
      <c r="D2106" s="40" t="s">
        <v>457</v>
      </c>
      <c r="E2106" s="40" t="s">
        <v>17</v>
      </c>
      <c r="F2106" s="40" t="s">
        <v>17</v>
      </c>
      <c r="G2106" s="40" t="s">
        <v>3177</v>
      </c>
      <c r="H2106" s="40" t="s">
        <v>458</v>
      </c>
      <c r="I2106" s="40" t="s">
        <v>3178</v>
      </c>
      <c r="J2106" s="40" t="s">
        <v>3179</v>
      </c>
      <c r="K2106" s="40" t="s">
        <v>591</v>
      </c>
      <c r="L2106" s="95" t="s">
        <v>644</v>
      </c>
      <c r="M2106" s="93">
        <f t="shared" si="59"/>
        <v>28</v>
      </c>
      <c r="N2106" s="94">
        <v>600</v>
      </c>
      <c r="O2106" s="94">
        <f t="shared" si="58"/>
        <v>16800</v>
      </c>
      <c r="P2106" s="40" t="s">
        <v>3139</v>
      </c>
      <c r="Q2106" s="40" t="s">
        <v>766</v>
      </c>
      <c r="R2106" s="84">
        <v>151010000</v>
      </c>
      <c r="S2106" s="40">
        <v>0</v>
      </c>
    </row>
    <row r="2107" spans="1:19" s="92" customFormat="1" ht="51">
      <c r="A2107" s="5">
        <v>2092</v>
      </c>
      <c r="B2107" s="15" t="s">
        <v>710</v>
      </c>
      <c r="C2107" s="40" t="s">
        <v>2433</v>
      </c>
      <c r="D2107" s="40" t="s">
        <v>457</v>
      </c>
      <c r="E2107" s="40" t="s">
        <v>17</v>
      </c>
      <c r="F2107" s="40" t="s">
        <v>17</v>
      </c>
      <c r="G2107" s="40" t="s">
        <v>3177</v>
      </c>
      <c r="H2107" s="40" t="s">
        <v>458</v>
      </c>
      <c r="I2107" s="40" t="s">
        <v>3180</v>
      </c>
      <c r="J2107" s="40" t="s">
        <v>3181</v>
      </c>
      <c r="K2107" s="40" t="s">
        <v>591</v>
      </c>
      <c r="L2107" s="95" t="s">
        <v>644</v>
      </c>
      <c r="M2107" s="93">
        <f t="shared" si="59"/>
        <v>28</v>
      </c>
      <c r="N2107" s="94">
        <v>800</v>
      </c>
      <c r="O2107" s="94">
        <f t="shared" si="58"/>
        <v>22400</v>
      </c>
      <c r="P2107" s="40" t="s">
        <v>3139</v>
      </c>
      <c r="Q2107" s="40" t="s">
        <v>766</v>
      </c>
      <c r="R2107" s="84">
        <v>151010000</v>
      </c>
      <c r="S2107" s="40">
        <v>0</v>
      </c>
    </row>
    <row r="2108" spans="1:19" s="92" customFormat="1" ht="51">
      <c r="A2108" s="5">
        <v>2093</v>
      </c>
      <c r="B2108" s="15" t="s">
        <v>710</v>
      </c>
      <c r="C2108" s="40" t="s">
        <v>2433</v>
      </c>
      <c r="D2108" s="40" t="s">
        <v>476</v>
      </c>
      <c r="E2108" s="40" t="s">
        <v>477</v>
      </c>
      <c r="F2108" s="40" t="s">
        <v>28</v>
      </c>
      <c r="G2108" s="40" t="s">
        <v>478</v>
      </c>
      <c r="H2108" s="40" t="s">
        <v>479</v>
      </c>
      <c r="I2108" s="40" t="s">
        <v>3182</v>
      </c>
      <c r="J2108" s="40" t="s">
        <v>3183</v>
      </c>
      <c r="K2108" s="40" t="s">
        <v>591</v>
      </c>
      <c r="L2108" s="95" t="s">
        <v>644</v>
      </c>
      <c r="M2108" s="93">
        <f t="shared" si="59"/>
        <v>28</v>
      </c>
      <c r="N2108" s="94">
        <v>1500</v>
      </c>
      <c r="O2108" s="94">
        <f t="shared" si="58"/>
        <v>42000</v>
      </c>
      <c r="P2108" s="40" t="s">
        <v>3139</v>
      </c>
      <c r="Q2108" s="40" t="s">
        <v>766</v>
      </c>
      <c r="R2108" s="84">
        <v>151010000</v>
      </c>
      <c r="S2108" s="40">
        <v>0</v>
      </c>
    </row>
    <row r="2109" spans="1:19" s="92" customFormat="1" ht="51">
      <c r="A2109" s="5">
        <v>2094</v>
      </c>
      <c r="B2109" s="15" t="s">
        <v>710</v>
      </c>
      <c r="C2109" s="40" t="s">
        <v>2433</v>
      </c>
      <c r="D2109" s="40" t="s">
        <v>468</v>
      </c>
      <c r="E2109" s="40" t="s">
        <v>3184</v>
      </c>
      <c r="F2109" s="40" t="s">
        <v>26</v>
      </c>
      <c r="G2109" s="40" t="s">
        <v>3185</v>
      </c>
      <c r="H2109" s="40" t="s">
        <v>469</v>
      </c>
      <c r="I2109" s="40" t="s">
        <v>3186</v>
      </c>
      <c r="J2109" s="40" t="s">
        <v>3187</v>
      </c>
      <c r="K2109" s="40" t="s">
        <v>591</v>
      </c>
      <c r="L2109" s="95" t="s">
        <v>644</v>
      </c>
      <c r="M2109" s="93">
        <f>28*5</f>
        <v>140</v>
      </c>
      <c r="N2109" s="94">
        <v>250</v>
      </c>
      <c r="O2109" s="94">
        <f t="shared" si="58"/>
        <v>35000</v>
      </c>
      <c r="P2109" s="40" t="s">
        <v>3139</v>
      </c>
      <c r="Q2109" s="40" t="s">
        <v>766</v>
      </c>
      <c r="R2109" s="84">
        <v>151010000</v>
      </c>
      <c r="S2109" s="40">
        <v>0</v>
      </c>
    </row>
    <row r="2110" spans="1:19" s="92" customFormat="1" ht="51">
      <c r="A2110" s="5">
        <v>2095</v>
      </c>
      <c r="B2110" s="15" t="s">
        <v>710</v>
      </c>
      <c r="C2110" s="40" t="s">
        <v>2433</v>
      </c>
      <c r="D2110" s="40" t="s">
        <v>443</v>
      </c>
      <c r="E2110" s="40" t="s">
        <v>444</v>
      </c>
      <c r="F2110" s="40" t="s">
        <v>444</v>
      </c>
      <c r="G2110" s="40" t="s">
        <v>445</v>
      </c>
      <c r="H2110" s="40" t="s">
        <v>446</v>
      </c>
      <c r="I2110" s="40" t="s">
        <v>3188</v>
      </c>
      <c r="J2110" s="40" t="s">
        <v>3189</v>
      </c>
      <c r="K2110" s="40" t="s">
        <v>591</v>
      </c>
      <c r="L2110" s="95" t="s">
        <v>644</v>
      </c>
      <c r="M2110" s="93">
        <f>28*5</f>
        <v>140</v>
      </c>
      <c r="N2110" s="94">
        <v>500</v>
      </c>
      <c r="O2110" s="94">
        <f t="shared" si="58"/>
        <v>70000</v>
      </c>
      <c r="P2110" s="40" t="s">
        <v>3139</v>
      </c>
      <c r="Q2110" s="40" t="s">
        <v>766</v>
      </c>
      <c r="R2110" s="84">
        <v>151010000</v>
      </c>
      <c r="S2110" s="40">
        <v>0</v>
      </c>
    </row>
    <row r="2111" spans="1:19" s="92" customFormat="1" ht="51">
      <c r="A2111" s="5">
        <v>2096</v>
      </c>
      <c r="B2111" s="15" t="s">
        <v>710</v>
      </c>
      <c r="C2111" s="40" t="s">
        <v>711</v>
      </c>
      <c r="D2111" s="40" t="s">
        <v>3190</v>
      </c>
      <c r="E2111" s="31" t="s">
        <v>3191</v>
      </c>
      <c r="F2111" s="31" t="s">
        <v>3192</v>
      </c>
      <c r="G2111" s="40" t="s">
        <v>3264</v>
      </c>
      <c r="H2111" s="40" t="s">
        <v>3264</v>
      </c>
      <c r="I2111" s="31" t="s">
        <v>3193</v>
      </c>
      <c r="J2111" s="31" t="s">
        <v>3194</v>
      </c>
      <c r="K2111" s="40" t="s">
        <v>591</v>
      </c>
      <c r="L2111" s="95" t="s">
        <v>644</v>
      </c>
      <c r="M2111" s="93">
        <f>28*1</f>
        <v>28</v>
      </c>
      <c r="N2111" s="94">
        <v>1200</v>
      </c>
      <c r="O2111" s="94">
        <f t="shared" si="58"/>
        <v>33600</v>
      </c>
      <c r="P2111" s="40" t="s">
        <v>3139</v>
      </c>
      <c r="Q2111" s="40" t="s">
        <v>766</v>
      </c>
      <c r="R2111" s="84">
        <v>151010000</v>
      </c>
      <c r="S2111" s="40">
        <v>0</v>
      </c>
    </row>
    <row r="2112" spans="1:19" s="92" customFormat="1" ht="89.25">
      <c r="A2112" s="5">
        <v>2097</v>
      </c>
      <c r="B2112" s="15" t="s">
        <v>710</v>
      </c>
      <c r="C2112" s="40" t="s">
        <v>597</v>
      </c>
      <c r="D2112" s="40" t="s">
        <v>598</v>
      </c>
      <c r="E2112" s="31" t="s">
        <v>599</v>
      </c>
      <c r="F2112" s="31" t="s">
        <v>782</v>
      </c>
      <c r="G2112" s="31" t="s">
        <v>3195</v>
      </c>
      <c r="H2112" s="40" t="s">
        <v>602</v>
      </c>
      <c r="I2112" s="40" t="s">
        <v>3196</v>
      </c>
      <c r="J2112" s="40" t="s">
        <v>3197</v>
      </c>
      <c r="K2112" s="40" t="s">
        <v>591</v>
      </c>
      <c r="L2112" s="11" t="s">
        <v>914</v>
      </c>
      <c r="M2112" s="93">
        <v>1</v>
      </c>
      <c r="N2112" s="94">
        <v>624400</v>
      </c>
      <c r="O2112" s="96">
        <v>624400</v>
      </c>
      <c r="P2112" s="40" t="s">
        <v>502</v>
      </c>
      <c r="Q2112" s="40" t="s">
        <v>766</v>
      </c>
      <c r="R2112" s="84">
        <v>153220100</v>
      </c>
      <c r="S2112" s="40">
        <v>0</v>
      </c>
    </row>
    <row r="2113" spans="1:19" s="92" customFormat="1" ht="89.25">
      <c r="A2113" s="5">
        <v>2098</v>
      </c>
      <c r="B2113" s="15" t="s">
        <v>710</v>
      </c>
      <c r="C2113" s="40" t="s">
        <v>597</v>
      </c>
      <c r="D2113" s="40" t="s">
        <v>598</v>
      </c>
      <c r="E2113" s="31" t="s">
        <v>599</v>
      </c>
      <c r="F2113" s="31" t="s">
        <v>782</v>
      </c>
      <c r="G2113" s="31" t="s">
        <v>3195</v>
      </c>
      <c r="H2113" s="40" t="s">
        <v>602</v>
      </c>
      <c r="I2113" s="40" t="s">
        <v>3196</v>
      </c>
      <c r="J2113" s="40" t="s">
        <v>3197</v>
      </c>
      <c r="K2113" s="40" t="s">
        <v>591</v>
      </c>
      <c r="L2113" s="11" t="s">
        <v>914</v>
      </c>
      <c r="M2113" s="93">
        <v>1</v>
      </c>
      <c r="N2113" s="94">
        <v>624400</v>
      </c>
      <c r="O2113" s="94">
        <v>624400</v>
      </c>
      <c r="P2113" s="40" t="s">
        <v>502</v>
      </c>
      <c r="Q2113" s="40" t="s">
        <v>766</v>
      </c>
      <c r="R2113" s="84">
        <v>153220100</v>
      </c>
      <c r="S2113" s="40">
        <v>0</v>
      </c>
    </row>
    <row r="2114" spans="1:19" s="92" customFormat="1" ht="51">
      <c r="A2114" s="5">
        <v>2099</v>
      </c>
      <c r="B2114" s="15" t="s">
        <v>710</v>
      </c>
      <c r="C2114" s="40" t="s">
        <v>597</v>
      </c>
      <c r="D2114" s="11" t="s">
        <v>850</v>
      </c>
      <c r="E2114" s="76" t="s">
        <v>1736</v>
      </c>
      <c r="F2114" s="76" t="s">
        <v>851</v>
      </c>
      <c r="G2114" s="76" t="s">
        <v>1737</v>
      </c>
      <c r="H2114" s="76" t="s">
        <v>852</v>
      </c>
      <c r="I2114" s="76" t="s">
        <v>3199</v>
      </c>
      <c r="J2114" s="76" t="s">
        <v>3200</v>
      </c>
      <c r="K2114" s="40" t="s">
        <v>591</v>
      </c>
      <c r="L2114" s="11" t="s">
        <v>914</v>
      </c>
      <c r="M2114" s="97">
        <v>1</v>
      </c>
      <c r="N2114" s="94">
        <f>10000*5</f>
        <v>50000</v>
      </c>
      <c r="O2114" s="94">
        <f>N2114</f>
        <v>50000</v>
      </c>
      <c r="P2114" s="40" t="s">
        <v>698</v>
      </c>
      <c r="Q2114" s="40" t="s">
        <v>766</v>
      </c>
      <c r="R2114" s="84" t="s">
        <v>3198</v>
      </c>
      <c r="S2114" s="40">
        <v>0</v>
      </c>
    </row>
    <row r="2115" spans="1:19" s="92" customFormat="1" ht="51">
      <c r="A2115" s="5">
        <v>2100</v>
      </c>
      <c r="B2115" s="15" t="s">
        <v>710</v>
      </c>
      <c r="C2115" s="40" t="s">
        <v>597</v>
      </c>
      <c r="D2115" s="40" t="s">
        <v>2594</v>
      </c>
      <c r="E2115" s="31" t="s">
        <v>2618</v>
      </c>
      <c r="F2115" s="31" t="s">
        <v>2595</v>
      </c>
      <c r="G2115" s="31" t="s">
        <v>2618</v>
      </c>
      <c r="H2115" s="40" t="s">
        <v>2595</v>
      </c>
      <c r="I2115" s="40" t="s">
        <v>3201</v>
      </c>
      <c r="J2115" s="40" t="s">
        <v>3202</v>
      </c>
      <c r="K2115" s="40" t="s">
        <v>591</v>
      </c>
      <c r="L2115" s="11" t="s">
        <v>914</v>
      </c>
      <c r="M2115" s="93">
        <v>1</v>
      </c>
      <c r="N2115" s="94">
        <f>10500*3</f>
        <v>31500</v>
      </c>
      <c r="O2115" s="94">
        <f>M2115*N2115</f>
        <v>31500</v>
      </c>
      <c r="P2115" s="40" t="s">
        <v>3116</v>
      </c>
      <c r="Q2115" s="40" t="s">
        <v>766</v>
      </c>
      <c r="R2115" s="84">
        <v>153220100</v>
      </c>
      <c r="S2115" s="40">
        <v>30</v>
      </c>
    </row>
    <row r="2116" spans="1:19" s="92" customFormat="1" ht="89.25">
      <c r="A2116" s="5">
        <v>2101</v>
      </c>
      <c r="B2116" s="15" t="s">
        <v>710</v>
      </c>
      <c r="C2116" s="40" t="s">
        <v>711</v>
      </c>
      <c r="D2116" s="40" t="s">
        <v>976</v>
      </c>
      <c r="E2116" s="31" t="s">
        <v>730</v>
      </c>
      <c r="F2116" s="31" t="s">
        <v>731</v>
      </c>
      <c r="G2116" s="31" t="s">
        <v>977</v>
      </c>
      <c r="H2116" s="40" t="s">
        <v>978</v>
      </c>
      <c r="I2116" s="40" t="s">
        <v>3203</v>
      </c>
      <c r="J2116" s="40" t="s">
        <v>3204</v>
      </c>
      <c r="K2116" s="40" t="s">
        <v>591</v>
      </c>
      <c r="L2116" s="40" t="s">
        <v>644</v>
      </c>
      <c r="M2116" s="93">
        <v>2</v>
      </c>
      <c r="N2116" s="94">
        <v>26800</v>
      </c>
      <c r="O2116" s="94">
        <f>M2116*N2116</f>
        <v>53600</v>
      </c>
      <c r="P2116" s="40" t="s">
        <v>3116</v>
      </c>
      <c r="Q2116" s="40" t="s">
        <v>1051</v>
      </c>
      <c r="R2116" s="84">
        <v>153220100</v>
      </c>
      <c r="S2116" s="40">
        <v>100</v>
      </c>
    </row>
    <row r="2117" spans="1:19" s="92" customFormat="1" ht="63.75">
      <c r="A2117" s="5">
        <v>2102</v>
      </c>
      <c r="B2117" s="15" t="s">
        <v>710</v>
      </c>
      <c r="C2117" s="40" t="s">
        <v>711</v>
      </c>
      <c r="D2117" s="40" t="s">
        <v>744</v>
      </c>
      <c r="E2117" s="31" t="s">
        <v>745</v>
      </c>
      <c r="F2117" s="31" t="s">
        <v>109</v>
      </c>
      <c r="G2117" s="31" t="s">
        <v>746</v>
      </c>
      <c r="H2117" s="40" t="s">
        <v>3205</v>
      </c>
      <c r="I2117" s="40" t="s">
        <v>3206</v>
      </c>
      <c r="J2117" s="40" t="s">
        <v>3207</v>
      </c>
      <c r="K2117" s="40" t="s">
        <v>591</v>
      </c>
      <c r="L2117" s="40" t="s">
        <v>644</v>
      </c>
      <c r="M2117" s="93">
        <v>6</v>
      </c>
      <c r="N2117" s="94">
        <v>4500</v>
      </c>
      <c r="O2117" s="94">
        <f>M2117*N2117</f>
        <v>27000</v>
      </c>
      <c r="P2117" s="40" t="s">
        <v>3116</v>
      </c>
      <c r="Q2117" s="40" t="s">
        <v>1051</v>
      </c>
      <c r="R2117" s="84">
        <v>153220100</v>
      </c>
      <c r="S2117" s="40">
        <v>100</v>
      </c>
    </row>
    <row r="2118" spans="1:19" s="92" customFormat="1" ht="51">
      <c r="A2118" s="5">
        <v>2103</v>
      </c>
      <c r="B2118" s="15" t="s">
        <v>710</v>
      </c>
      <c r="C2118" s="40" t="s">
        <v>711</v>
      </c>
      <c r="D2118" s="98" t="s">
        <v>422</v>
      </c>
      <c r="E2118" s="76" t="s">
        <v>423</v>
      </c>
      <c r="F2118" s="76" t="s">
        <v>427</v>
      </c>
      <c r="G2118" s="76" t="s">
        <v>837</v>
      </c>
      <c r="H2118" s="76" t="s">
        <v>425</v>
      </c>
      <c r="I2118" s="76" t="s">
        <v>3208</v>
      </c>
      <c r="J2118" s="76" t="s">
        <v>3209</v>
      </c>
      <c r="K2118" s="76" t="s">
        <v>591</v>
      </c>
      <c r="L2118" s="11" t="s">
        <v>909</v>
      </c>
      <c r="M2118" s="53">
        <v>18</v>
      </c>
      <c r="N2118" s="94">
        <v>640</v>
      </c>
      <c r="O2118" s="94">
        <f>M2118*N2118</f>
        <v>11520</v>
      </c>
      <c r="P2118" s="40" t="s">
        <v>3116</v>
      </c>
      <c r="Q2118" s="40" t="s">
        <v>766</v>
      </c>
      <c r="R2118" s="84" t="s">
        <v>3198</v>
      </c>
      <c r="S2118" s="40">
        <v>100</v>
      </c>
    </row>
    <row r="2119" spans="1:19" s="92" customFormat="1" ht="76.5">
      <c r="A2119" s="5">
        <v>2104</v>
      </c>
      <c r="B2119" s="15" t="s">
        <v>710</v>
      </c>
      <c r="C2119" s="40" t="s">
        <v>711</v>
      </c>
      <c r="D2119" s="40" t="s">
        <v>723</v>
      </c>
      <c r="E2119" s="31" t="s">
        <v>874</v>
      </c>
      <c r="F2119" s="31" t="s">
        <v>874</v>
      </c>
      <c r="G2119" s="31" t="s">
        <v>875</v>
      </c>
      <c r="H2119" s="40" t="s">
        <v>876</v>
      </c>
      <c r="I2119" s="40" t="s">
        <v>3210</v>
      </c>
      <c r="J2119" s="40" t="s">
        <v>3211</v>
      </c>
      <c r="K2119" s="40" t="s">
        <v>591</v>
      </c>
      <c r="L2119" s="40" t="s">
        <v>644</v>
      </c>
      <c r="M2119" s="93">
        <v>1</v>
      </c>
      <c r="N2119" s="94">
        <v>30000</v>
      </c>
      <c r="O2119" s="94">
        <f>N2119*M2119</f>
        <v>30000</v>
      </c>
      <c r="P2119" s="40" t="s">
        <v>3116</v>
      </c>
      <c r="Q2119" s="40" t="s">
        <v>1051</v>
      </c>
      <c r="R2119" s="84">
        <v>153220100</v>
      </c>
      <c r="S2119" s="40">
        <v>100</v>
      </c>
    </row>
    <row r="2120" spans="1:19" s="92" customFormat="1" ht="89.25">
      <c r="A2120" s="5">
        <v>2105</v>
      </c>
      <c r="B2120" s="15" t="s">
        <v>710</v>
      </c>
      <c r="C2120" s="40" t="s">
        <v>597</v>
      </c>
      <c r="D2120" s="40" t="s">
        <v>598</v>
      </c>
      <c r="E2120" s="31" t="s">
        <v>599</v>
      </c>
      <c r="F2120" s="31" t="s">
        <v>782</v>
      </c>
      <c r="G2120" s="31" t="s">
        <v>3195</v>
      </c>
      <c r="H2120" s="40" t="s">
        <v>602</v>
      </c>
      <c r="I2120" s="40" t="s">
        <v>3196</v>
      </c>
      <c r="J2120" s="40" t="s">
        <v>3197</v>
      </c>
      <c r="K2120" s="40" t="s">
        <v>591</v>
      </c>
      <c r="L2120" s="11" t="s">
        <v>914</v>
      </c>
      <c r="M2120" s="93">
        <v>1</v>
      </c>
      <c r="N2120" s="94">
        <v>624400</v>
      </c>
      <c r="O2120" s="94">
        <v>624400</v>
      </c>
      <c r="P2120" s="40" t="s">
        <v>502</v>
      </c>
      <c r="Q2120" s="40" t="s">
        <v>766</v>
      </c>
      <c r="R2120" s="84">
        <v>153430100</v>
      </c>
      <c r="S2120" s="40">
        <v>0</v>
      </c>
    </row>
    <row r="2121" spans="1:19" s="92" customFormat="1" ht="89.25">
      <c r="A2121" s="5">
        <v>2106</v>
      </c>
      <c r="B2121" s="15" t="s">
        <v>710</v>
      </c>
      <c r="C2121" s="40" t="s">
        <v>597</v>
      </c>
      <c r="D2121" s="40" t="s">
        <v>598</v>
      </c>
      <c r="E2121" s="31" t="s">
        <v>599</v>
      </c>
      <c r="F2121" s="31" t="s">
        <v>782</v>
      </c>
      <c r="G2121" s="31" t="s">
        <v>3195</v>
      </c>
      <c r="H2121" s="40" t="s">
        <v>602</v>
      </c>
      <c r="I2121" s="40" t="s">
        <v>3196</v>
      </c>
      <c r="J2121" s="40" t="s">
        <v>3197</v>
      </c>
      <c r="K2121" s="40" t="s">
        <v>591</v>
      </c>
      <c r="L2121" s="11" t="s">
        <v>914</v>
      </c>
      <c r="M2121" s="93">
        <v>1</v>
      </c>
      <c r="N2121" s="94">
        <v>624400</v>
      </c>
      <c r="O2121" s="94">
        <v>624400</v>
      </c>
      <c r="P2121" s="40" t="s">
        <v>502</v>
      </c>
      <c r="Q2121" s="40" t="s">
        <v>766</v>
      </c>
      <c r="R2121" s="84">
        <v>153430100</v>
      </c>
      <c r="S2121" s="40">
        <v>0</v>
      </c>
    </row>
    <row r="2122" spans="1:19" s="92" customFormat="1" ht="51">
      <c r="A2122" s="5">
        <v>2107</v>
      </c>
      <c r="B2122" s="15" t="s">
        <v>710</v>
      </c>
      <c r="C2122" s="40" t="s">
        <v>597</v>
      </c>
      <c r="D2122" s="11" t="s">
        <v>850</v>
      </c>
      <c r="E2122" s="76" t="s">
        <v>1736</v>
      </c>
      <c r="F2122" s="76" t="s">
        <v>851</v>
      </c>
      <c r="G2122" s="76" t="s">
        <v>1737</v>
      </c>
      <c r="H2122" s="76" t="s">
        <v>852</v>
      </c>
      <c r="I2122" s="76" t="s">
        <v>3199</v>
      </c>
      <c r="J2122" s="76" t="s">
        <v>3200</v>
      </c>
      <c r="K2122" s="40" t="s">
        <v>591</v>
      </c>
      <c r="L2122" s="11" t="s">
        <v>914</v>
      </c>
      <c r="M2122" s="97">
        <v>1</v>
      </c>
      <c r="N2122" s="94">
        <f>10000*5</f>
        <v>50000</v>
      </c>
      <c r="O2122" s="94">
        <f>N2122</f>
        <v>50000</v>
      </c>
      <c r="P2122" s="40" t="s">
        <v>698</v>
      </c>
      <c r="Q2122" s="40" t="s">
        <v>766</v>
      </c>
      <c r="R2122" s="84">
        <v>153430100</v>
      </c>
      <c r="S2122" s="40">
        <v>0</v>
      </c>
    </row>
    <row r="2123" spans="1:19" s="92" customFormat="1" ht="51">
      <c r="A2123" s="5">
        <v>2108</v>
      </c>
      <c r="B2123" s="15" t="s">
        <v>710</v>
      </c>
      <c r="C2123" s="40" t="s">
        <v>597</v>
      </c>
      <c r="D2123" s="40" t="s">
        <v>2594</v>
      </c>
      <c r="E2123" s="31" t="s">
        <v>2618</v>
      </c>
      <c r="F2123" s="31" t="s">
        <v>2595</v>
      </c>
      <c r="G2123" s="31" t="s">
        <v>2618</v>
      </c>
      <c r="H2123" s="40" t="s">
        <v>2595</v>
      </c>
      <c r="I2123" s="40" t="s">
        <v>3201</v>
      </c>
      <c r="J2123" s="40" t="s">
        <v>3202</v>
      </c>
      <c r="K2123" s="40" t="s">
        <v>591</v>
      </c>
      <c r="L2123" s="11" t="s">
        <v>914</v>
      </c>
      <c r="M2123" s="93">
        <v>1</v>
      </c>
      <c r="N2123" s="94">
        <f>10500*3</f>
        <v>31500</v>
      </c>
      <c r="O2123" s="94">
        <f>N2123</f>
        <v>31500</v>
      </c>
      <c r="P2123" s="40" t="s">
        <v>3116</v>
      </c>
      <c r="Q2123" s="40" t="s">
        <v>766</v>
      </c>
      <c r="R2123" s="84">
        <v>153430100</v>
      </c>
      <c r="S2123" s="40">
        <v>30</v>
      </c>
    </row>
    <row r="2124" spans="1:19" s="92" customFormat="1" ht="89.25">
      <c r="A2124" s="5">
        <v>2109</v>
      </c>
      <c r="B2124" s="15" t="s">
        <v>710</v>
      </c>
      <c r="C2124" s="40" t="s">
        <v>711</v>
      </c>
      <c r="D2124" s="40" t="s">
        <v>976</v>
      </c>
      <c r="E2124" s="31" t="s">
        <v>730</v>
      </c>
      <c r="F2124" s="31" t="s">
        <v>731</v>
      </c>
      <c r="G2124" s="31" t="s">
        <v>977</v>
      </c>
      <c r="H2124" s="40" t="s">
        <v>978</v>
      </c>
      <c r="I2124" s="40" t="s">
        <v>3203</v>
      </c>
      <c r="J2124" s="40" t="s">
        <v>3204</v>
      </c>
      <c r="K2124" s="40" t="s">
        <v>591</v>
      </c>
      <c r="L2124" s="40" t="s">
        <v>644</v>
      </c>
      <c r="M2124" s="93">
        <v>2</v>
      </c>
      <c r="N2124" s="94">
        <v>26800</v>
      </c>
      <c r="O2124" s="94">
        <f>N2124*M2124</f>
        <v>53600</v>
      </c>
      <c r="P2124" s="40" t="s">
        <v>3116</v>
      </c>
      <c r="Q2124" s="40" t="s">
        <v>1051</v>
      </c>
      <c r="R2124" s="84">
        <v>153430100</v>
      </c>
      <c r="S2124" s="40">
        <v>100</v>
      </c>
    </row>
    <row r="2125" spans="1:19" s="92" customFormat="1" ht="63.75">
      <c r="A2125" s="5">
        <v>2110</v>
      </c>
      <c r="B2125" s="15" t="s">
        <v>710</v>
      </c>
      <c r="C2125" s="40" t="s">
        <v>711</v>
      </c>
      <c r="D2125" s="40" t="s">
        <v>744</v>
      </c>
      <c r="E2125" s="31" t="s">
        <v>745</v>
      </c>
      <c r="F2125" s="31" t="s">
        <v>109</v>
      </c>
      <c r="G2125" s="31" t="s">
        <v>746</v>
      </c>
      <c r="H2125" s="40" t="s">
        <v>3205</v>
      </c>
      <c r="I2125" s="40" t="s">
        <v>3206</v>
      </c>
      <c r="J2125" s="40" t="s">
        <v>3207</v>
      </c>
      <c r="K2125" s="40" t="s">
        <v>591</v>
      </c>
      <c r="L2125" s="40" t="s">
        <v>644</v>
      </c>
      <c r="M2125" s="93">
        <v>6</v>
      </c>
      <c r="N2125" s="94">
        <v>4000</v>
      </c>
      <c r="O2125" s="94">
        <f>M2125*N2125</f>
        <v>24000</v>
      </c>
      <c r="P2125" s="40" t="s">
        <v>3116</v>
      </c>
      <c r="Q2125" s="40" t="s">
        <v>1051</v>
      </c>
      <c r="R2125" s="84">
        <v>153430100</v>
      </c>
      <c r="S2125" s="40">
        <v>100</v>
      </c>
    </row>
    <row r="2126" spans="1:19" s="92" customFormat="1" ht="51">
      <c r="A2126" s="5">
        <v>2111</v>
      </c>
      <c r="B2126" s="15" t="s">
        <v>710</v>
      </c>
      <c r="C2126" s="40" t="s">
        <v>711</v>
      </c>
      <c r="D2126" s="98" t="s">
        <v>422</v>
      </c>
      <c r="E2126" s="76" t="s">
        <v>423</v>
      </c>
      <c r="F2126" s="76" t="s">
        <v>427</v>
      </c>
      <c r="G2126" s="76" t="s">
        <v>837</v>
      </c>
      <c r="H2126" s="76" t="s">
        <v>425</v>
      </c>
      <c r="I2126" s="76" t="s">
        <v>3208</v>
      </c>
      <c r="J2126" s="76" t="s">
        <v>3209</v>
      </c>
      <c r="K2126" s="76" t="s">
        <v>591</v>
      </c>
      <c r="L2126" s="11" t="s">
        <v>909</v>
      </c>
      <c r="M2126" s="53">
        <v>18</v>
      </c>
      <c r="N2126" s="94">
        <v>640</v>
      </c>
      <c r="O2126" s="94">
        <f>N2126*M2126</f>
        <v>11520</v>
      </c>
      <c r="P2126" s="40" t="s">
        <v>3116</v>
      </c>
      <c r="Q2126" s="40" t="s">
        <v>766</v>
      </c>
      <c r="R2126" s="84">
        <v>153430100</v>
      </c>
      <c r="S2126" s="40">
        <v>100</v>
      </c>
    </row>
    <row r="2127" spans="1:19" s="92" customFormat="1" ht="76.5">
      <c r="A2127" s="5">
        <v>2112</v>
      </c>
      <c r="B2127" s="15" t="s">
        <v>710</v>
      </c>
      <c r="C2127" s="40" t="s">
        <v>711</v>
      </c>
      <c r="D2127" s="40" t="s">
        <v>723</v>
      </c>
      <c r="E2127" s="31" t="s">
        <v>874</v>
      </c>
      <c r="F2127" s="31" t="s">
        <v>874</v>
      </c>
      <c r="G2127" s="31" t="s">
        <v>875</v>
      </c>
      <c r="H2127" s="40" t="s">
        <v>876</v>
      </c>
      <c r="I2127" s="40" t="s">
        <v>3210</v>
      </c>
      <c r="J2127" s="40" t="s">
        <v>3211</v>
      </c>
      <c r="K2127" s="40" t="s">
        <v>591</v>
      </c>
      <c r="L2127" s="40" t="s">
        <v>644</v>
      </c>
      <c r="M2127" s="93">
        <v>1</v>
      </c>
      <c r="N2127" s="94">
        <v>30000</v>
      </c>
      <c r="O2127" s="94">
        <f>N2127*M2127</f>
        <v>30000</v>
      </c>
      <c r="P2127" s="40" t="s">
        <v>3116</v>
      </c>
      <c r="Q2127" s="40" t="s">
        <v>1051</v>
      </c>
      <c r="R2127" s="84">
        <v>153430100</v>
      </c>
      <c r="S2127" s="40">
        <v>100</v>
      </c>
    </row>
    <row r="2128" spans="1:19" s="92" customFormat="1" ht="89.25">
      <c r="A2128" s="5">
        <v>2113</v>
      </c>
      <c r="B2128" s="15" t="s">
        <v>710</v>
      </c>
      <c r="C2128" s="40" t="s">
        <v>597</v>
      </c>
      <c r="D2128" s="40" t="s">
        <v>598</v>
      </c>
      <c r="E2128" s="31" t="s">
        <v>599</v>
      </c>
      <c r="F2128" s="31" t="s">
        <v>782</v>
      </c>
      <c r="G2128" s="31" t="s">
        <v>3195</v>
      </c>
      <c r="H2128" s="40" t="s">
        <v>602</v>
      </c>
      <c r="I2128" s="40" t="s">
        <v>3196</v>
      </c>
      <c r="J2128" s="40" t="s">
        <v>3197</v>
      </c>
      <c r="K2128" s="40" t="s">
        <v>591</v>
      </c>
      <c r="L2128" s="11" t="s">
        <v>914</v>
      </c>
      <c r="M2128" s="93">
        <v>1</v>
      </c>
      <c r="N2128" s="94">
        <v>624400</v>
      </c>
      <c r="O2128" s="94">
        <v>624400</v>
      </c>
      <c r="P2128" s="40" t="s">
        <v>502</v>
      </c>
      <c r="Q2128" s="40" t="s">
        <v>766</v>
      </c>
      <c r="R2128" s="84">
        <v>153630100</v>
      </c>
      <c r="S2128" s="40">
        <v>0</v>
      </c>
    </row>
    <row r="2129" spans="1:19" s="92" customFormat="1" ht="89.25">
      <c r="A2129" s="5">
        <v>2114</v>
      </c>
      <c r="B2129" s="15" t="s">
        <v>710</v>
      </c>
      <c r="C2129" s="40" t="s">
        <v>597</v>
      </c>
      <c r="D2129" s="40" t="s">
        <v>598</v>
      </c>
      <c r="E2129" s="31" t="s">
        <v>599</v>
      </c>
      <c r="F2129" s="31" t="s">
        <v>782</v>
      </c>
      <c r="G2129" s="31" t="s">
        <v>3195</v>
      </c>
      <c r="H2129" s="40" t="s">
        <v>602</v>
      </c>
      <c r="I2129" s="40" t="s">
        <v>3196</v>
      </c>
      <c r="J2129" s="40" t="s">
        <v>3197</v>
      </c>
      <c r="K2129" s="40" t="s">
        <v>591</v>
      </c>
      <c r="L2129" s="11" t="s">
        <v>914</v>
      </c>
      <c r="M2129" s="93">
        <v>1</v>
      </c>
      <c r="N2129" s="94">
        <v>624400</v>
      </c>
      <c r="O2129" s="94">
        <v>624400</v>
      </c>
      <c r="P2129" s="40" t="s">
        <v>502</v>
      </c>
      <c r="Q2129" s="40" t="s">
        <v>766</v>
      </c>
      <c r="R2129" s="84">
        <v>153630100</v>
      </c>
      <c r="S2129" s="40">
        <v>0</v>
      </c>
    </row>
    <row r="2130" spans="1:19" s="92" customFormat="1" ht="51">
      <c r="A2130" s="5">
        <v>2115</v>
      </c>
      <c r="B2130" s="15" t="s">
        <v>710</v>
      </c>
      <c r="C2130" s="40" t="s">
        <v>597</v>
      </c>
      <c r="D2130" s="11" t="s">
        <v>850</v>
      </c>
      <c r="E2130" s="76" t="s">
        <v>1736</v>
      </c>
      <c r="F2130" s="76" t="s">
        <v>851</v>
      </c>
      <c r="G2130" s="76" t="s">
        <v>1737</v>
      </c>
      <c r="H2130" s="76" t="s">
        <v>852</v>
      </c>
      <c r="I2130" s="76" t="s">
        <v>3199</v>
      </c>
      <c r="J2130" s="76" t="s">
        <v>3200</v>
      </c>
      <c r="K2130" s="40" t="s">
        <v>591</v>
      </c>
      <c r="L2130" s="11" t="s">
        <v>914</v>
      </c>
      <c r="M2130" s="97">
        <v>1</v>
      </c>
      <c r="N2130" s="94">
        <f>10000*5</f>
        <v>50000</v>
      </c>
      <c r="O2130" s="94">
        <f>N2130</f>
        <v>50000</v>
      </c>
      <c r="P2130" s="40" t="s">
        <v>698</v>
      </c>
      <c r="Q2130" s="40" t="s">
        <v>766</v>
      </c>
      <c r="R2130" s="84">
        <v>153630100</v>
      </c>
      <c r="S2130" s="40">
        <v>0</v>
      </c>
    </row>
    <row r="2131" spans="1:19" s="92" customFormat="1" ht="51">
      <c r="A2131" s="5">
        <v>2116</v>
      </c>
      <c r="B2131" s="15" t="s">
        <v>710</v>
      </c>
      <c r="C2131" s="40" t="s">
        <v>597</v>
      </c>
      <c r="D2131" s="40" t="s">
        <v>2594</v>
      </c>
      <c r="E2131" s="31" t="s">
        <v>2618</v>
      </c>
      <c r="F2131" s="31" t="s">
        <v>2595</v>
      </c>
      <c r="G2131" s="31" t="s">
        <v>2618</v>
      </c>
      <c r="H2131" s="40" t="s">
        <v>2595</v>
      </c>
      <c r="I2131" s="40" t="s">
        <v>3201</v>
      </c>
      <c r="J2131" s="40" t="s">
        <v>3202</v>
      </c>
      <c r="K2131" s="40" t="s">
        <v>591</v>
      </c>
      <c r="L2131" s="11" t="s">
        <v>914</v>
      </c>
      <c r="M2131" s="93">
        <v>1</v>
      </c>
      <c r="N2131" s="94">
        <f>10500*3</f>
        <v>31500</v>
      </c>
      <c r="O2131" s="94">
        <f>N2131</f>
        <v>31500</v>
      </c>
      <c r="P2131" s="40" t="s">
        <v>3116</v>
      </c>
      <c r="Q2131" s="40" t="s">
        <v>766</v>
      </c>
      <c r="R2131" s="84">
        <v>153630100</v>
      </c>
      <c r="S2131" s="40">
        <v>30</v>
      </c>
    </row>
    <row r="2132" spans="1:19" s="92" customFormat="1" ht="89.25">
      <c r="A2132" s="5">
        <v>2117</v>
      </c>
      <c r="B2132" s="15" t="s">
        <v>710</v>
      </c>
      <c r="C2132" s="40" t="s">
        <v>711</v>
      </c>
      <c r="D2132" s="40" t="s">
        <v>976</v>
      </c>
      <c r="E2132" s="31" t="s">
        <v>730</v>
      </c>
      <c r="F2132" s="31" t="s">
        <v>731</v>
      </c>
      <c r="G2132" s="31" t="s">
        <v>977</v>
      </c>
      <c r="H2132" s="40" t="s">
        <v>978</v>
      </c>
      <c r="I2132" s="40" t="s">
        <v>3203</v>
      </c>
      <c r="J2132" s="40" t="s">
        <v>3204</v>
      </c>
      <c r="K2132" s="40" t="s">
        <v>591</v>
      </c>
      <c r="L2132" s="40" t="s">
        <v>644</v>
      </c>
      <c r="M2132" s="93">
        <v>2</v>
      </c>
      <c r="N2132" s="94">
        <v>26800</v>
      </c>
      <c r="O2132" s="94">
        <f>N2132*M2132</f>
        <v>53600</v>
      </c>
      <c r="P2132" s="40" t="s">
        <v>3116</v>
      </c>
      <c r="Q2132" s="40" t="s">
        <v>1051</v>
      </c>
      <c r="R2132" s="84">
        <v>153630100</v>
      </c>
      <c r="S2132" s="40">
        <v>100</v>
      </c>
    </row>
    <row r="2133" spans="1:19" s="92" customFormat="1" ht="63.75">
      <c r="A2133" s="5">
        <v>2118</v>
      </c>
      <c r="B2133" s="15" t="s">
        <v>710</v>
      </c>
      <c r="C2133" s="40" t="s">
        <v>711</v>
      </c>
      <c r="D2133" s="40" t="s">
        <v>744</v>
      </c>
      <c r="E2133" s="31" t="s">
        <v>745</v>
      </c>
      <c r="F2133" s="31" t="s">
        <v>109</v>
      </c>
      <c r="G2133" s="31" t="s">
        <v>746</v>
      </c>
      <c r="H2133" s="40" t="s">
        <v>3205</v>
      </c>
      <c r="I2133" s="40" t="s">
        <v>3206</v>
      </c>
      <c r="J2133" s="40" t="s">
        <v>3207</v>
      </c>
      <c r="K2133" s="40" t="s">
        <v>591</v>
      </c>
      <c r="L2133" s="40" t="s">
        <v>644</v>
      </c>
      <c r="M2133" s="93">
        <v>6</v>
      </c>
      <c r="N2133" s="94">
        <v>4000</v>
      </c>
      <c r="O2133" s="94">
        <f>M2133*N2133</f>
        <v>24000</v>
      </c>
      <c r="P2133" s="40" t="s">
        <v>3116</v>
      </c>
      <c r="Q2133" s="40" t="s">
        <v>1051</v>
      </c>
      <c r="R2133" s="84">
        <v>153630100</v>
      </c>
      <c r="S2133" s="40">
        <v>100</v>
      </c>
    </row>
    <row r="2134" spans="1:19" s="92" customFormat="1" ht="51">
      <c r="A2134" s="5">
        <v>2119</v>
      </c>
      <c r="B2134" s="15" t="s">
        <v>710</v>
      </c>
      <c r="C2134" s="40" t="s">
        <v>711</v>
      </c>
      <c r="D2134" s="98" t="s">
        <v>422</v>
      </c>
      <c r="E2134" s="76" t="s">
        <v>423</v>
      </c>
      <c r="F2134" s="76" t="s">
        <v>427</v>
      </c>
      <c r="G2134" s="76" t="s">
        <v>837</v>
      </c>
      <c r="H2134" s="76" t="s">
        <v>425</v>
      </c>
      <c r="I2134" s="76" t="s">
        <v>3208</v>
      </c>
      <c r="J2134" s="76" t="s">
        <v>3209</v>
      </c>
      <c r="K2134" s="76" t="s">
        <v>591</v>
      </c>
      <c r="L2134" s="11" t="s">
        <v>909</v>
      </c>
      <c r="M2134" s="53">
        <v>18</v>
      </c>
      <c r="N2134" s="94">
        <v>640</v>
      </c>
      <c r="O2134" s="94">
        <f>N2134*M2134</f>
        <v>11520</v>
      </c>
      <c r="P2134" s="40" t="s">
        <v>3116</v>
      </c>
      <c r="Q2134" s="40" t="s">
        <v>766</v>
      </c>
      <c r="R2134" s="84">
        <v>153630100</v>
      </c>
      <c r="S2134" s="40">
        <v>100</v>
      </c>
    </row>
    <row r="2135" spans="1:19" s="92" customFormat="1" ht="76.5">
      <c r="A2135" s="5">
        <v>2120</v>
      </c>
      <c r="B2135" s="15" t="s">
        <v>710</v>
      </c>
      <c r="C2135" s="40" t="s">
        <v>711</v>
      </c>
      <c r="D2135" s="40" t="s">
        <v>723</v>
      </c>
      <c r="E2135" s="31" t="s">
        <v>874</v>
      </c>
      <c r="F2135" s="31" t="s">
        <v>874</v>
      </c>
      <c r="G2135" s="31" t="s">
        <v>875</v>
      </c>
      <c r="H2135" s="40" t="s">
        <v>876</v>
      </c>
      <c r="I2135" s="40" t="s">
        <v>3210</v>
      </c>
      <c r="J2135" s="40" t="s">
        <v>3211</v>
      </c>
      <c r="K2135" s="40" t="s">
        <v>591</v>
      </c>
      <c r="L2135" s="40" t="s">
        <v>644</v>
      </c>
      <c r="M2135" s="93">
        <v>1</v>
      </c>
      <c r="N2135" s="94">
        <v>30000</v>
      </c>
      <c r="O2135" s="94">
        <f>N2135*M2135</f>
        <v>30000</v>
      </c>
      <c r="P2135" s="40" t="s">
        <v>3116</v>
      </c>
      <c r="Q2135" s="40" t="s">
        <v>1051</v>
      </c>
      <c r="R2135" s="84">
        <v>153630100</v>
      </c>
      <c r="S2135" s="40">
        <v>100</v>
      </c>
    </row>
    <row r="2136" spans="1:19" s="92" customFormat="1" ht="89.25">
      <c r="A2136" s="5">
        <v>2121</v>
      </c>
      <c r="B2136" s="15" t="s">
        <v>710</v>
      </c>
      <c r="C2136" s="40" t="s">
        <v>597</v>
      </c>
      <c r="D2136" s="40" t="s">
        <v>598</v>
      </c>
      <c r="E2136" s="31" t="s">
        <v>599</v>
      </c>
      <c r="F2136" s="31" t="s">
        <v>782</v>
      </c>
      <c r="G2136" s="31" t="s">
        <v>3195</v>
      </c>
      <c r="H2136" s="40" t="s">
        <v>602</v>
      </c>
      <c r="I2136" s="40" t="s">
        <v>3196</v>
      </c>
      <c r="J2136" s="40" t="s">
        <v>3197</v>
      </c>
      <c r="K2136" s="40" t="s">
        <v>591</v>
      </c>
      <c r="L2136" s="11" t="s">
        <v>914</v>
      </c>
      <c r="M2136" s="93">
        <v>1</v>
      </c>
      <c r="N2136" s="94">
        <v>624400</v>
      </c>
      <c r="O2136" s="94">
        <v>624400</v>
      </c>
      <c r="P2136" s="40" t="s">
        <v>502</v>
      </c>
      <c r="Q2136" s="40" t="s">
        <v>766</v>
      </c>
      <c r="R2136" s="84">
        <v>154030100</v>
      </c>
      <c r="S2136" s="40">
        <v>0</v>
      </c>
    </row>
    <row r="2137" spans="1:19" s="92" customFormat="1" ht="89.25">
      <c r="A2137" s="5">
        <v>2122</v>
      </c>
      <c r="B2137" s="15" t="s">
        <v>710</v>
      </c>
      <c r="C2137" s="40" t="s">
        <v>597</v>
      </c>
      <c r="D2137" s="40" t="s">
        <v>598</v>
      </c>
      <c r="E2137" s="31" t="s">
        <v>599</v>
      </c>
      <c r="F2137" s="31" t="s">
        <v>782</v>
      </c>
      <c r="G2137" s="31" t="s">
        <v>3195</v>
      </c>
      <c r="H2137" s="40" t="s">
        <v>602</v>
      </c>
      <c r="I2137" s="40" t="s">
        <v>3196</v>
      </c>
      <c r="J2137" s="40" t="s">
        <v>3197</v>
      </c>
      <c r="K2137" s="40" t="s">
        <v>591</v>
      </c>
      <c r="L2137" s="11" t="s">
        <v>914</v>
      </c>
      <c r="M2137" s="93">
        <v>1</v>
      </c>
      <c r="N2137" s="94">
        <v>624400</v>
      </c>
      <c r="O2137" s="94">
        <v>624400</v>
      </c>
      <c r="P2137" s="40" t="s">
        <v>502</v>
      </c>
      <c r="Q2137" s="40" t="s">
        <v>766</v>
      </c>
      <c r="R2137" s="84">
        <v>154030100</v>
      </c>
      <c r="S2137" s="40">
        <v>0</v>
      </c>
    </row>
    <row r="2138" spans="1:19" s="92" customFormat="1" ht="51">
      <c r="A2138" s="5">
        <v>2123</v>
      </c>
      <c r="B2138" s="15" t="s">
        <v>710</v>
      </c>
      <c r="C2138" s="40" t="s">
        <v>597</v>
      </c>
      <c r="D2138" s="11" t="s">
        <v>850</v>
      </c>
      <c r="E2138" s="76" t="s">
        <v>1736</v>
      </c>
      <c r="F2138" s="76" t="s">
        <v>851</v>
      </c>
      <c r="G2138" s="76" t="s">
        <v>1737</v>
      </c>
      <c r="H2138" s="76" t="s">
        <v>852</v>
      </c>
      <c r="I2138" s="76" t="s">
        <v>3199</v>
      </c>
      <c r="J2138" s="76" t="s">
        <v>3200</v>
      </c>
      <c r="K2138" s="40" t="s">
        <v>591</v>
      </c>
      <c r="L2138" s="11" t="s">
        <v>914</v>
      </c>
      <c r="M2138" s="97">
        <v>1</v>
      </c>
      <c r="N2138" s="94">
        <f>10000*5</f>
        <v>50000</v>
      </c>
      <c r="O2138" s="94">
        <f>N2138</f>
        <v>50000</v>
      </c>
      <c r="P2138" s="40" t="s">
        <v>698</v>
      </c>
      <c r="Q2138" s="40" t="s">
        <v>766</v>
      </c>
      <c r="R2138" s="84">
        <v>154030100</v>
      </c>
      <c r="S2138" s="40">
        <v>0</v>
      </c>
    </row>
    <row r="2139" spans="1:19" s="92" customFormat="1" ht="51">
      <c r="A2139" s="5">
        <v>2124</v>
      </c>
      <c r="B2139" s="15" t="s">
        <v>710</v>
      </c>
      <c r="C2139" s="40" t="s">
        <v>597</v>
      </c>
      <c r="D2139" s="40" t="s">
        <v>2594</v>
      </c>
      <c r="E2139" s="31" t="s">
        <v>2618</v>
      </c>
      <c r="F2139" s="31" t="s">
        <v>2595</v>
      </c>
      <c r="G2139" s="31" t="s">
        <v>2618</v>
      </c>
      <c r="H2139" s="40" t="s">
        <v>2595</v>
      </c>
      <c r="I2139" s="40" t="s">
        <v>3201</v>
      </c>
      <c r="J2139" s="40" t="s">
        <v>3202</v>
      </c>
      <c r="K2139" s="40" t="s">
        <v>591</v>
      </c>
      <c r="L2139" s="11" t="s">
        <v>914</v>
      </c>
      <c r="M2139" s="93">
        <v>1</v>
      </c>
      <c r="N2139" s="94">
        <f>10500*3</f>
        <v>31500</v>
      </c>
      <c r="O2139" s="94">
        <f>N2139</f>
        <v>31500</v>
      </c>
      <c r="P2139" s="40" t="s">
        <v>3116</v>
      </c>
      <c r="Q2139" s="40" t="s">
        <v>766</v>
      </c>
      <c r="R2139" s="84">
        <v>154030100</v>
      </c>
      <c r="S2139" s="40">
        <v>30</v>
      </c>
    </row>
    <row r="2140" spans="1:19" s="92" customFormat="1" ht="89.25">
      <c r="A2140" s="5">
        <v>2125</v>
      </c>
      <c r="B2140" s="15" t="s">
        <v>710</v>
      </c>
      <c r="C2140" s="40" t="s">
        <v>711</v>
      </c>
      <c r="D2140" s="40" t="s">
        <v>976</v>
      </c>
      <c r="E2140" s="31" t="s">
        <v>730</v>
      </c>
      <c r="F2140" s="31" t="s">
        <v>731</v>
      </c>
      <c r="G2140" s="31" t="s">
        <v>977</v>
      </c>
      <c r="H2140" s="40" t="s">
        <v>978</v>
      </c>
      <c r="I2140" s="40" t="s">
        <v>3203</v>
      </c>
      <c r="J2140" s="40" t="s">
        <v>3204</v>
      </c>
      <c r="K2140" s="40" t="s">
        <v>591</v>
      </c>
      <c r="L2140" s="40" t="s">
        <v>644</v>
      </c>
      <c r="M2140" s="93">
        <v>2</v>
      </c>
      <c r="N2140" s="94">
        <v>26800</v>
      </c>
      <c r="O2140" s="94">
        <f>N2140*M2140</f>
        <v>53600</v>
      </c>
      <c r="P2140" s="40" t="s">
        <v>3116</v>
      </c>
      <c r="Q2140" s="40" t="s">
        <v>1051</v>
      </c>
      <c r="R2140" s="84">
        <v>154030100</v>
      </c>
      <c r="S2140" s="40">
        <v>100</v>
      </c>
    </row>
    <row r="2141" spans="1:19" s="92" customFormat="1" ht="63.75">
      <c r="A2141" s="5">
        <v>2126</v>
      </c>
      <c r="B2141" s="15" t="s">
        <v>710</v>
      </c>
      <c r="C2141" s="40" t="s">
        <v>711</v>
      </c>
      <c r="D2141" s="40" t="s">
        <v>744</v>
      </c>
      <c r="E2141" s="31" t="s">
        <v>745</v>
      </c>
      <c r="F2141" s="31" t="s">
        <v>109</v>
      </c>
      <c r="G2141" s="31" t="s">
        <v>746</v>
      </c>
      <c r="H2141" s="40" t="s">
        <v>3205</v>
      </c>
      <c r="I2141" s="40" t="s">
        <v>3206</v>
      </c>
      <c r="J2141" s="40" t="s">
        <v>3207</v>
      </c>
      <c r="K2141" s="40" t="s">
        <v>591</v>
      </c>
      <c r="L2141" s="40" t="s">
        <v>644</v>
      </c>
      <c r="M2141" s="93">
        <v>6</v>
      </c>
      <c r="N2141" s="94">
        <v>4000</v>
      </c>
      <c r="O2141" s="94">
        <f>M2141*N2141</f>
        <v>24000</v>
      </c>
      <c r="P2141" s="40" t="s">
        <v>3116</v>
      </c>
      <c r="Q2141" s="40" t="s">
        <v>1051</v>
      </c>
      <c r="R2141" s="84">
        <v>154030100</v>
      </c>
      <c r="S2141" s="40">
        <v>100</v>
      </c>
    </row>
    <row r="2142" spans="1:19" s="92" customFormat="1" ht="51">
      <c r="A2142" s="5">
        <v>2127</v>
      </c>
      <c r="B2142" s="15" t="s">
        <v>710</v>
      </c>
      <c r="C2142" s="40" t="s">
        <v>711</v>
      </c>
      <c r="D2142" s="98" t="s">
        <v>422</v>
      </c>
      <c r="E2142" s="76" t="s">
        <v>423</v>
      </c>
      <c r="F2142" s="76" t="s">
        <v>427</v>
      </c>
      <c r="G2142" s="76" t="s">
        <v>837</v>
      </c>
      <c r="H2142" s="76" t="s">
        <v>425</v>
      </c>
      <c r="I2142" s="76" t="s">
        <v>3208</v>
      </c>
      <c r="J2142" s="76" t="s">
        <v>3209</v>
      </c>
      <c r="K2142" s="76" t="s">
        <v>591</v>
      </c>
      <c r="L2142" s="11" t="s">
        <v>909</v>
      </c>
      <c r="M2142" s="53">
        <v>18</v>
      </c>
      <c r="N2142" s="94">
        <v>640</v>
      </c>
      <c r="O2142" s="94">
        <f>N2142*M2142</f>
        <v>11520</v>
      </c>
      <c r="P2142" s="40" t="s">
        <v>3116</v>
      </c>
      <c r="Q2142" s="40" t="s">
        <v>766</v>
      </c>
      <c r="R2142" s="84">
        <v>154030100</v>
      </c>
      <c r="S2142" s="40">
        <v>100</v>
      </c>
    </row>
    <row r="2143" spans="1:19" s="92" customFormat="1" ht="76.5">
      <c r="A2143" s="5">
        <v>2128</v>
      </c>
      <c r="B2143" s="15" t="s">
        <v>710</v>
      </c>
      <c r="C2143" s="40" t="s">
        <v>711</v>
      </c>
      <c r="D2143" s="40" t="s">
        <v>723</v>
      </c>
      <c r="E2143" s="31" t="s">
        <v>874</v>
      </c>
      <c r="F2143" s="31" t="s">
        <v>874</v>
      </c>
      <c r="G2143" s="31" t="s">
        <v>875</v>
      </c>
      <c r="H2143" s="40" t="s">
        <v>876</v>
      </c>
      <c r="I2143" s="40" t="s">
        <v>3210</v>
      </c>
      <c r="J2143" s="40" t="s">
        <v>3211</v>
      </c>
      <c r="K2143" s="40" t="s">
        <v>591</v>
      </c>
      <c r="L2143" s="40" t="s">
        <v>644</v>
      </c>
      <c r="M2143" s="93">
        <v>1</v>
      </c>
      <c r="N2143" s="94">
        <v>30000</v>
      </c>
      <c r="O2143" s="94">
        <f>N2143*M2143</f>
        <v>30000</v>
      </c>
      <c r="P2143" s="40" t="s">
        <v>3116</v>
      </c>
      <c r="Q2143" s="40" t="s">
        <v>1051</v>
      </c>
      <c r="R2143" s="84">
        <v>154030100</v>
      </c>
      <c r="S2143" s="40">
        <v>100</v>
      </c>
    </row>
    <row r="2144" spans="1:19" s="92" customFormat="1" ht="89.25">
      <c r="A2144" s="5">
        <v>2129</v>
      </c>
      <c r="B2144" s="15" t="s">
        <v>710</v>
      </c>
      <c r="C2144" s="40" t="s">
        <v>597</v>
      </c>
      <c r="D2144" s="40" t="s">
        <v>598</v>
      </c>
      <c r="E2144" s="31" t="s">
        <v>599</v>
      </c>
      <c r="F2144" s="31" t="s">
        <v>782</v>
      </c>
      <c r="G2144" s="31" t="s">
        <v>3195</v>
      </c>
      <c r="H2144" s="40" t="s">
        <v>602</v>
      </c>
      <c r="I2144" s="40" t="s">
        <v>3196</v>
      </c>
      <c r="J2144" s="40" t="s">
        <v>3197</v>
      </c>
      <c r="K2144" s="40" t="s">
        <v>591</v>
      </c>
      <c r="L2144" s="11" t="s">
        <v>914</v>
      </c>
      <c r="M2144" s="93">
        <v>1</v>
      </c>
      <c r="N2144" s="94">
        <v>624400</v>
      </c>
      <c r="O2144" s="94">
        <v>624400</v>
      </c>
      <c r="P2144" s="40" t="s">
        <v>502</v>
      </c>
      <c r="Q2144" s="40" t="s">
        <v>766</v>
      </c>
      <c r="R2144" s="84">
        <v>154230100</v>
      </c>
      <c r="S2144" s="40">
        <v>0</v>
      </c>
    </row>
    <row r="2145" spans="1:19" s="92" customFormat="1" ht="89.25">
      <c r="A2145" s="5">
        <v>2130</v>
      </c>
      <c r="B2145" s="15" t="s">
        <v>710</v>
      </c>
      <c r="C2145" s="40" t="s">
        <v>597</v>
      </c>
      <c r="D2145" s="40" t="s">
        <v>598</v>
      </c>
      <c r="E2145" s="31" t="s">
        <v>599</v>
      </c>
      <c r="F2145" s="31" t="s">
        <v>782</v>
      </c>
      <c r="G2145" s="31" t="s">
        <v>3195</v>
      </c>
      <c r="H2145" s="40" t="s">
        <v>602</v>
      </c>
      <c r="I2145" s="40" t="s">
        <v>3196</v>
      </c>
      <c r="J2145" s="40" t="s">
        <v>3197</v>
      </c>
      <c r="K2145" s="40" t="s">
        <v>591</v>
      </c>
      <c r="L2145" s="11" t="s">
        <v>914</v>
      </c>
      <c r="M2145" s="93">
        <v>1</v>
      </c>
      <c r="N2145" s="94">
        <v>624400</v>
      </c>
      <c r="O2145" s="94">
        <v>624400</v>
      </c>
      <c r="P2145" s="40" t="s">
        <v>502</v>
      </c>
      <c r="Q2145" s="40" t="s">
        <v>766</v>
      </c>
      <c r="R2145" s="84">
        <v>154230100</v>
      </c>
      <c r="S2145" s="40">
        <v>0</v>
      </c>
    </row>
    <row r="2146" spans="1:19" s="92" customFormat="1" ht="51">
      <c r="A2146" s="5">
        <v>2131</v>
      </c>
      <c r="B2146" s="15" t="s">
        <v>710</v>
      </c>
      <c r="C2146" s="40" t="s">
        <v>597</v>
      </c>
      <c r="D2146" s="11" t="s">
        <v>850</v>
      </c>
      <c r="E2146" s="76" t="s">
        <v>1736</v>
      </c>
      <c r="F2146" s="76" t="s">
        <v>851</v>
      </c>
      <c r="G2146" s="76" t="s">
        <v>1737</v>
      </c>
      <c r="H2146" s="76" t="s">
        <v>852</v>
      </c>
      <c r="I2146" s="76" t="s">
        <v>3199</v>
      </c>
      <c r="J2146" s="76" t="s">
        <v>3200</v>
      </c>
      <c r="K2146" s="40" t="s">
        <v>591</v>
      </c>
      <c r="L2146" s="11" t="s">
        <v>914</v>
      </c>
      <c r="M2146" s="97">
        <v>1</v>
      </c>
      <c r="N2146" s="94">
        <f>10000*5</f>
        <v>50000</v>
      </c>
      <c r="O2146" s="94">
        <f>N2146</f>
        <v>50000</v>
      </c>
      <c r="P2146" s="40" t="s">
        <v>698</v>
      </c>
      <c r="Q2146" s="40" t="s">
        <v>766</v>
      </c>
      <c r="R2146" s="84">
        <v>154230100</v>
      </c>
      <c r="S2146" s="40">
        <v>0</v>
      </c>
    </row>
    <row r="2147" spans="1:19" s="92" customFormat="1" ht="51">
      <c r="A2147" s="5">
        <v>2132</v>
      </c>
      <c r="B2147" s="15" t="s">
        <v>710</v>
      </c>
      <c r="C2147" s="40" t="s">
        <v>597</v>
      </c>
      <c r="D2147" s="40" t="s">
        <v>2594</v>
      </c>
      <c r="E2147" s="31" t="s">
        <v>2618</v>
      </c>
      <c r="F2147" s="31" t="s">
        <v>2595</v>
      </c>
      <c r="G2147" s="31" t="s">
        <v>2618</v>
      </c>
      <c r="H2147" s="40" t="s">
        <v>2595</v>
      </c>
      <c r="I2147" s="40" t="s">
        <v>3201</v>
      </c>
      <c r="J2147" s="40" t="s">
        <v>3202</v>
      </c>
      <c r="K2147" s="40" t="s">
        <v>591</v>
      </c>
      <c r="L2147" s="11" t="s">
        <v>914</v>
      </c>
      <c r="M2147" s="93">
        <v>1</v>
      </c>
      <c r="N2147" s="94">
        <f>10500*3</f>
        <v>31500</v>
      </c>
      <c r="O2147" s="94">
        <f>N2147</f>
        <v>31500</v>
      </c>
      <c r="P2147" s="40" t="s">
        <v>3116</v>
      </c>
      <c r="Q2147" s="40" t="s">
        <v>766</v>
      </c>
      <c r="R2147" s="84">
        <v>154230100</v>
      </c>
      <c r="S2147" s="40">
        <v>30</v>
      </c>
    </row>
    <row r="2148" spans="1:19" s="92" customFormat="1" ht="89.25">
      <c r="A2148" s="5">
        <v>2133</v>
      </c>
      <c r="B2148" s="15" t="s">
        <v>710</v>
      </c>
      <c r="C2148" s="40" t="s">
        <v>711</v>
      </c>
      <c r="D2148" s="40" t="s">
        <v>976</v>
      </c>
      <c r="E2148" s="31" t="s">
        <v>730</v>
      </c>
      <c r="F2148" s="31" t="s">
        <v>731</v>
      </c>
      <c r="G2148" s="31" t="s">
        <v>977</v>
      </c>
      <c r="H2148" s="40" t="s">
        <v>978</v>
      </c>
      <c r="I2148" s="40" t="s">
        <v>3203</v>
      </c>
      <c r="J2148" s="40" t="s">
        <v>3204</v>
      </c>
      <c r="K2148" s="40" t="s">
        <v>591</v>
      </c>
      <c r="L2148" s="40" t="s">
        <v>644</v>
      </c>
      <c r="M2148" s="93">
        <v>2</v>
      </c>
      <c r="N2148" s="94">
        <v>26800</v>
      </c>
      <c r="O2148" s="94">
        <f>N2148*M2148</f>
        <v>53600</v>
      </c>
      <c r="P2148" s="40" t="s">
        <v>3116</v>
      </c>
      <c r="Q2148" s="40" t="s">
        <v>1051</v>
      </c>
      <c r="R2148" s="84">
        <v>154230100</v>
      </c>
      <c r="S2148" s="40">
        <v>100</v>
      </c>
    </row>
    <row r="2149" spans="1:19" s="92" customFormat="1" ht="63.75">
      <c r="A2149" s="5">
        <v>2134</v>
      </c>
      <c r="B2149" s="15" t="s">
        <v>710</v>
      </c>
      <c r="C2149" s="40" t="s">
        <v>711</v>
      </c>
      <c r="D2149" s="40" t="s">
        <v>744</v>
      </c>
      <c r="E2149" s="31" t="s">
        <v>745</v>
      </c>
      <c r="F2149" s="31" t="s">
        <v>109</v>
      </c>
      <c r="G2149" s="31" t="s">
        <v>746</v>
      </c>
      <c r="H2149" s="40" t="s">
        <v>3205</v>
      </c>
      <c r="I2149" s="40" t="s">
        <v>3206</v>
      </c>
      <c r="J2149" s="40" t="s">
        <v>3207</v>
      </c>
      <c r="K2149" s="40" t="s">
        <v>591</v>
      </c>
      <c r="L2149" s="40" t="s">
        <v>644</v>
      </c>
      <c r="M2149" s="93">
        <v>6</v>
      </c>
      <c r="N2149" s="94">
        <v>4000</v>
      </c>
      <c r="O2149" s="94">
        <f>M2149*N2149</f>
        <v>24000</v>
      </c>
      <c r="P2149" s="40" t="s">
        <v>3116</v>
      </c>
      <c r="Q2149" s="40" t="s">
        <v>1051</v>
      </c>
      <c r="R2149" s="84">
        <v>154230100</v>
      </c>
      <c r="S2149" s="40">
        <v>100</v>
      </c>
    </row>
    <row r="2150" spans="1:19" s="92" customFormat="1" ht="51">
      <c r="A2150" s="5">
        <v>2135</v>
      </c>
      <c r="B2150" s="15" t="s">
        <v>710</v>
      </c>
      <c r="C2150" s="40" t="s">
        <v>711</v>
      </c>
      <c r="D2150" s="98" t="s">
        <v>422</v>
      </c>
      <c r="E2150" s="76" t="s">
        <v>423</v>
      </c>
      <c r="F2150" s="76" t="s">
        <v>427</v>
      </c>
      <c r="G2150" s="76" t="s">
        <v>837</v>
      </c>
      <c r="H2150" s="76" t="s">
        <v>425</v>
      </c>
      <c r="I2150" s="76" t="s">
        <v>3208</v>
      </c>
      <c r="J2150" s="76" t="s">
        <v>3209</v>
      </c>
      <c r="K2150" s="76" t="s">
        <v>591</v>
      </c>
      <c r="L2150" s="11" t="s">
        <v>909</v>
      </c>
      <c r="M2150" s="53">
        <v>18</v>
      </c>
      <c r="N2150" s="94">
        <v>640</v>
      </c>
      <c r="O2150" s="94">
        <f>N2150*M2150</f>
        <v>11520</v>
      </c>
      <c r="P2150" s="40" t="s">
        <v>3116</v>
      </c>
      <c r="Q2150" s="40" t="s">
        <v>766</v>
      </c>
      <c r="R2150" s="84">
        <v>154230100</v>
      </c>
      <c r="S2150" s="40">
        <v>100</v>
      </c>
    </row>
    <row r="2151" spans="1:19" s="92" customFormat="1" ht="76.5">
      <c r="A2151" s="5">
        <v>2136</v>
      </c>
      <c r="B2151" s="15" t="s">
        <v>710</v>
      </c>
      <c r="C2151" s="40" t="s">
        <v>711</v>
      </c>
      <c r="D2151" s="40" t="s">
        <v>723</v>
      </c>
      <c r="E2151" s="31" t="s">
        <v>874</v>
      </c>
      <c r="F2151" s="31" t="s">
        <v>874</v>
      </c>
      <c r="G2151" s="31" t="s">
        <v>875</v>
      </c>
      <c r="H2151" s="40" t="s">
        <v>876</v>
      </c>
      <c r="I2151" s="40" t="s">
        <v>3210</v>
      </c>
      <c r="J2151" s="40" t="s">
        <v>3211</v>
      </c>
      <c r="K2151" s="40" t="s">
        <v>591</v>
      </c>
      <c r="L2151" s="40" t="s">
        <v>644</v>
      </c>
      <c r="M2151" s="93">
        <v>1</v>
      </c>
      <c r="N2151" s="94">
        <v>30000</v>
      </c>
      <c r="O2151" s="94">
        <f>N2151*M2151</f>
        <v>30000</v>
      </c>
      <c r="P2151" s="40" t="s">
        <v>3116</v>
      </c>
      <c r="Q2151" s="40" t="s">
        <v>1051</v>
      </c>
      <c r="R2151" s="84">
        <v>154230100</v>
      </c>
      <c r="S2151" s="40">
        <v>100</v>
      </c>
    </row>
    <row r="2152" spans="1:19" s="92" customFormat="1" ht="89.25">
      <c r="A2152" s="5">
        <v>2137</v>
      </c>
      <c r="B2152" s="15" t="s">
        <v>710</v>
      </c>
      <c r="C2152" s="40" t="s">
        <v>597</v>
      </c>
      <c r="D2152" s="40" t="s">
        <v>598</v>
      </c>
      <c r="E2152" s="31" t="s">
        <v>599</v>
      </c>
      <c r="F2152" s="31" t="s">
        <v>782</v>
      </c>
      <c r="G2152" s="31" t="s">
        <v>3195</v>
      </c>
      <c r="H2152" s="40" t="s">
        <v>602</v>
      </c>
      <c r="I2152" s="40" t="s">
        <v>3196</v>
      </c>
      <c r="J2152" s="40" t="s">
        <v>3197</v>
      </c>
      <c r="K2152" s="40" t="s">
        <v>591</v>
      </c>
      <c r="L2152" s="11" t="s">
        <v>914</v>
      </c>
      <c r="M2152" s="93">
        <v>1</v>
      </c>
      <c r="N2152" s="94">
        <v>624400</v>
      </c>
      <c r="O2152" s="94">
        <v>624400</v>
      </c>
      <c r="P2152" s="40" t="s">
        <v>502</v>
      </c>
      <c r="Q2152" s="40" t="s">
        <v>766</v>
      </c>
      <c r="R2152" s="84">
        <v>154630100</v>
      </c>
      <c r="S2152" s="40">
        <v>0</v>
      </c>
    </row>
    <row r="2153" spans="1:19" s="92" customFormat="1" ht="89.25">
      <c r="A2153" s="5">
        <v>2138</v>
      </c>
      <c r="B2153" s="15" t="s">
        <v>710</v>
      </c>
      <c r="C2153" s="40" t="s">
        <v>597</v>
      </c>
      <c r="D2153" s="40" t="s">
        <v>598</v>
      </c>
      <c r="E2153" s="31" t="s">
        <v>599</v>
      </c>
      <c r="F2153" s="31" t="s">
        <v>782</v>
      </c>
      <c r="G2153" s="31" t="s">
        <v>3195</v>
      </c>
      <c r="H2153" s="40" t="s">
        <v>602</v>
      </c>
      <c r="I2153" s="40" t="s">
        <v>3196</v>
      </c>
      <c r="J2153" s="40" t="s">
        <v>3197</v>
      </c>
      <c r="K2153" s="40" t="s">
        <v>591</v>
      </c>
      <c r="L2153" s="11" t="s">
        <v>914</v>
      </c>
      <c r="M2153" s="93">
        <v>1</v>
      </c>
      <c r="N2153" s="94">
        <v>624400</v>
      </c>
      <c r="O2153" s="94">
        <v>624400</v>
      </c>
      <c r="P2153" s="40" t="s">
        <v>502</v>
      </c>
      <c r="Q2153" s="40" t="s">
        <v>766</v>
      </c>
      <c r="R2153" s="84">
        <v>154630100</v>
      </c>
      <c r="S2153" s="40">
        <v>0</v>
      </c>
    </row>
    <row r="2154" spans="1:19" s="92" customFormat="1" ht="51">
      <c r="A2154" s="5">
        <v>2139</v>
      </c>
      <c r="B2154" s="15" t="s">
        <v>710</v>
      </c>
      <c r="C2154" s="40" t="s">
        <v>597</v>
      </c>
      <c r="D2154" s="11" t="s">
        <v>850</v>
      </c>
      <c r="E2154" s="76" t="s">
        <v>1736</v>
      </c>
      <c r="F2154" s="76" t="s">
        <v>851</v>
      </c>
      <c r="G2154" s="76" t="s">
        <v>1737</v>
      </c>
      <c r="H2154" s="76" t="s">
        <v>852</v>
      </c>
      <c r="I2154" s="76" t="s">
        <v>3199</v>
      </c>
      <c r="J2154" s="76" t="s">
        <v>3200</v>
      </c>
      <c r="K2154" s="40" t="s">
        <v>591</v>
      </c>
      <c r="L2154" s="11" t="s">
        <v>914</v>
      </c>
      <c r="M2154" s="97">
        <v>1</v>
      </c>
      <c r="N2154" s="94">
        <f>10000*5</f>
        <v>50000</v>
      </c>
      <c r="O2154" s="94">
        <f>N2154</f>
        <v>50000</v>
      </c>
      <c r="P2154" s="40" t="s">
        <v>698</v>
      </c>
      <c r="Q2154" s="40" t="s">
        <v>766</v>
      </c>
      <c r="R2154" s="84">
        <v>154630100</v>
      </c>
      <c r="S2154" s="40">
        <v>0</v>
      </c>
    </row>
    <row r="2155" spans="1:19" s="92" customFormat="1" ht="51">
      <c r="A2155" s="5">
        <v>2140</v>
      </c>
      <c r="B2155" s="15" t="s">
        <v>710</v>
      </c>
      <c r="C2155" s="40" t="s">
        <v>597</v>
      </c>
      <c r="D2155" s="40" t="s">
        <v>2594</v>
      </c>
      <c r="E2155" s="31" t="s">
        <v>2618</v>
      </c>
      <c r="F2155" s="31" t="s">
        <v>2595</v>
      </c>
      <c r="G2155" s="31" t="s">
        <v>2618</v>
      </c>
      <c r="H2155" s="40" t="s">
        <v>2595</v>
      </c>
      <c r="I2155" s="40" t="s">
        <v>3201</v>
      </c>
      <c r="J2155" s="40" t="s">
        <v>3202</v>
      </c>
      <c r="K2155" s="40" t="s">
        <v>591</v>
      </c>
      <c r="L2155" s="11" t="s">
        <v>914</v>
      </c>
      <c r="M2155" s="93">
        <v>1</v>
      </c>
      <c r="N2155" s="94">
        <f>10500*3</f>
        <v>31500</v>
      </c>
      <c r="O2155" s="94">
        <f>N2155</f>
        <v>31500</v>
      </c>
      <c r="P2155" s="40" t="s">
        <v>3116</v>
      </c>
      <c r="Q2155" s="40" t="s">
        <v>766</v>
      </c>
      <c r="R2155" s="84">
        <v>154630100</v>
      </c>
      <c r="S2155" s="40">
        <v>30</v>
      </c>
    </row>
    <row r="2156" spans="1:19" s="92" customFormat="1" ht="89.25">
      <c r="A2156" s="5">
        <v>2141</v>
      </c>
      <c r="B2156" s="15" t="s">
        <v>710</v>
      </c>
      <c r="C2156" s="40" t="s">
        <v>711</v>
      </c>
      <c r="D2156" s="40" t="s">
        <v>976</v>
      </c>
      <c r="E2156" s="31" t="s">
        <v>730</v>
      </c>
      <c r="F2156" s="31" t="s">
        <v>731</v>
      </c>
      <c r="G2156" s="31" t="s">
        <v>977</v>
      </c>
      <c r="H2156" s="40" t="s">
        <v>978</v>
      </c>
      <c r="I2156" s="40" t="s">
        <v>3203</v>
      </c>
      <c r="J2156" s="40" t="s">
        <v>3204</v>
      </c>
      <c r="K2156" s="40" t="s">
        <v>591</v>
      </c>
      <c r="L2156" s="40" t="s">
        <v>644</v>
      </c>
      <c r="M2156" s="93">
        <v>2</v>
      </c>
      <c r="N2156" s="94">
        <v>26800</v>
      </c>
      <c r="O2156" s="94">
        <f>N2156*M2156</f>
        <v>53600</v>
      </c>
      <c r="P2156" s="40" t="s">
        <v>3116</v>
      </c>
      <c r="Q2156" s="40" t="s">
        <v>1051</v>
      </c>
      <c r="R2156" s="84">
        <v>154630100</v>
      </c>
      <c r="S2156" s="40">
        <v>100</v>
      </c>
    </row>
    <row r="2157" spans="1:19" s="92" customFormat="1" ht="63.75">
      <c r="A2157" s="5">
        <v>2142</v>
      </c>
      <c r="B2157" s="15" t="s">
        <v>710</v>
      </c>
      <c r="C2157" s="40" t="s">
        <v>711</v>
      </c>
      <c r="D2157" s="40" t="s">
        <v>744</v>
      </c>
      <c r="E2157" s="31" t="s">
        <v>745</v>
      </c>
      <c r="F2157" s="31" t="s">
        <v>109</v>
      </c>
      <c r="G2157" s="31" t="s">
        <v>746</v>
      </c>
      <c r="H2157" s="40" t="s">
        <v>3205</v>
      </c>
      <c r="I2157" s="40" t="s">
        <v>3206</v>
      </c>
      <c r="J2157" s="40" t="s">
        <v>3207</v>
      </c>
      <c r="K2157" s="40" t="s">
        <v>591</v>
      </c>
      <c r="L2157" s="40" t="s">
        <v>644</v>
      </c>
      <c r="M2157" s="93">
        <v>6</v>
      </c>
      <c r="N2157" s="94">
        <v>4000</v>
      </c>
      <c r="O2157" s="94">
        <f>M2157*N2157</f>
        <v>24000</v>
      </c>
      <c r="P2157" s="40" t="s">
        <v>3116</v>
      </c>
      <c r="Q2157" s="40" t="s">
        <v>1051</v>
      </c>
      <c r="R2157" s="84">
        <v>154630100</v>
      </c>
      <c r="S2157" s="40">
        <v>100</v>
      </c>
    </row>
    <row r="2158" spans="1:19" s="92" customFormat="1" ht="51">
      <c r="A2158" s="5">
        <v>2143</v>
      </c>
      <c r="B2158" s="15" t="s">
        <v>710</v>
      </c>
      <c r="C2158" s="40" t="s">
        <v>711</v>
      </c>
      <c r="D2158" s="98" t="s">
        <v>422</v>
      </c>
      <c r="E2158" s="76" t="s">
        <v>423</v>
      </c>
      <c r="F2158" s="76" t="s">
        <v>427</v>
      </c>
      <c r="G2158" s="76" t="s">
        <v>837</v>
      </c>
      <c r="H2158" s="76" t="s">
        <v>425</v>
      </c>
      <c r="I2158" s="76" t="s">
        <v>3208</v>
      </c>
      <c r="J2158" s="76" t="s">
        <v>3209</v>
      </c>
      <c r="K2158" s="76" t="s">
        <v>591</v>
      </c>
      <c r="L2158" s="11" t="s">
        <v>909</v>
      </c>
      <c r="M2158" s="53">
        <v>18</v>
      </c>
      <c r="N2158" s="94">
        <v>640</v>
      </c>
      <c r="O2158" s="94">
        <f>N2158*M2158</f>
        <v>11520</v>
      </c>
      <c r="P2158" s="40" t="s">
        <v>3116</v>
      </c>
      <c r="Q2158" s="40" t="s">
        <v>766</v>
      </c>
      <c r="R2158" s="84">
        <v>154630100</v>
      </c>
      <c r="S2158" s="40">
        <v>100</v>
      </c>
    </row>
    <row r="2159" spans="1:19" s="92" customFormat="1" ht="76.5">
      <c r="A2159" s="5">
        <v>2144</v>
      </c>
      <c r="B2159" s="15" t="s">
        <v>710</v>
      </c>
      <c r="C2159" s="40" t="s">
        <v>711</v>
      </c>
      <c r="D2159" s="40" t="s">
        <v>723</v>
      </c>
      <c r="E2159" s="31" t="s">
        <v>874</v>
      </c>
      <c r="F2159" s="31" t="s">
        <v>874</v>
      </c>
      <c r="G2159" s="31" t="s">
        <v>875</v>
      </c>
      <c r="H2159" s="40" t="s">
        <v>876</v>
      </c>
      <c r="I2159" s="40" t="s">
        <v>3210</v>
      </c>
      <c r="J2159" s="40" t="s">
        <v>3211</v>
      </c>
      <c r="K2159" s="40" t="s">
        <v>591</v>
      </c>
      <c r="L2159" s="40" t="s">
        <v>644</v>
      </c>
      <c r="M2159" s="93">
        <v>1</v>
      </c>
      <c r="N2159" s="94">
        <v>30000</v>
      </c>
      <c r="O2159" s="94">
        <f>N2159*M2159</f>
        <v>30000</v>
      </c>
      <c r="P2159" s="40" t="s">
        <v>3116</v>
      </c>
      <c r="Q2159" s="40" t="s">
        <v>1051</v>
      </c>
      <c r="R2159" s="84">
        <v>154630100</v>
      </c>
      <c r="S2159" s="40">
        <v>100</v>
      </c>
    </row>
    <row r="2160" spans="1:19" s="92" customFormat="1" ht="89.25">
      <c r="A2160" s="5">
        <v>2145</v>
      </c>
      <c r="B2160" s="15" t="s">
        <v>710</v>
      </c>
      <c r="C2160" s="40" t="s">
        <v>597</v>
      </c>
      <c r="D2160" s="40" t="s">
        <v>598</v>
      </c>
      <c r="E2160" s="31" t="s">
        <v>599</v>
      </c>
      <c r="F2160" s="31" t="s">
        <v>782</v>
      </c>
      <c r="G2160" s="31" t="s">
        <v>3195</v>
      </c>
      <c r="H2160" s="40" t="s">
        <v>602</v>
      </c>
      <c r="I2160" s="40" t="s">
        <v>3196</v>
      </c>
      <c r="J2160" s="40" t="s">
        <v>3197</v>
      </c>
      <c r="K2160" s="40" t="s">
        <v>591</v>
      </c>
      <c r="L2160" s="11" t="s">
        <v>914</v>
      </c>
      <c r="M2160" s="93">
        <v>1</v>
      </c>
      <c r="N2160" s="94">
        <v>624400</v>
      </c>
      <c r="O2160" s="94">
        <v>624400</v>
      </c>
      <c r="P2160" s="40" t="s">
        <v>502</v>
      </c>
      <c r="Q2160" s="40" t="s">
        <v>766</v>
      </c>
      <c r="R2160" s="84">
        <v>154820100</v>
      </c>
      <c r="S2160" s="40">
        <v>0</v>
      </c>
    </row>
    <row r="2161" spans="1:19" s="92" customFormat="1" ht="89.25">
      <c r="A2161" s="5">
        <v>2146</v>
      </c>
      <c r="B2161" s="15" t="s">
        <v>710</v>
      </c>
      <c r="C2161" s="40" t="s">
        <v>597</v>
      </c>
      <c r="D2161" s="40" t="s">
        <v>598</v>
      </c>
      <c r="E2161" s="31" t="s">
        <v>599</v>
      </c>
      <c r="F2161" s="31" t="s">
        <v>782</v>
      </c>
      <c r="G2161" s="31" t="s">
        <v>3195</v>
      </c>
      <c r="H2161" s="40" t="s">
        <v>602</v>
      </c>
      <c r="I2161" s="40" t="s">
        <v>3196</v>
      </c>
      <c r="J2161" s="40" t="s">
        <v>3197</v>
      </c>
      <c r="K2161" s="40" t="s">
        <v>591</v>
      </c>
      <c r="L2161" s="11" t="s">
        <v>914</v>
      </c>
      <c r="M2161" s="93">
        <v>1</v>
      </c>
      <c r="N2161" s="94">
        <v>624400</v>
      </c>
      <c r="O2161" s="94">
        <v>624400</v>
      </c>
      <c r="P2161" s="40" t="s">
        <v>502</v>
      </c>
      <c r="Q2161" s="40" t="s">
        <v>766</v>
      </c>
      <c r="R2161" s="84">
        <v>154820100</v>
      </c>
      <c r="S2161" s="40">
        <v>0</v>
      </c>
    </row>
    <row r="2162" spans="1:19" s="92" customFormat="1" ht="51">
      <c r="A2162" s="5">
        <v>2147</v>
      </c>
      <c r="B2162" s="15" t="s">
        <v>710</v>
      </c>
      <c r="C2162" s="40" t="s">
        <v>597</v>
      </c>
      <c r="D2162" s="11" t="s">
        <v>850</v>
      </c>
      <c r="E2162" s="76" t="s">
        <v>1736</v>
      </c>
      <c r="F2162" s="76" t="s">
        <v>851</v>
      </c>
      <c r="G2162" s="76" t="s">
        <v>1737</v>
      </c>
      <c r="H2162" s="76" t="s">
        <v>852</v>
      </c>
      <c r="I2162" s="76" t="s">
        <v>3199</v>
      </c>
      <c r="J2162" s="76" t="s">
        <v>3200</v>
      </c>
      <c r="K2162" s="40" t="s">
        <v>591</v>
      </c>
      <c r="L2162" s="11" t="s">
        <v>914</v>
      </c>
      <c r="M2162" s="97">
        <v>1</v>
      </c>
      <c r="N2162" s="94">
        <f>10000*5</f>
        <v>50000</v>
      </c>
      <c r="O2162" s="94">
        <f>N2162</f>
        <v>50000</v>
      </c>
      <c r="P2162" s="40" t="s">
        <v>698</v>
      </c>
      <c r="Q2162" s="40" t="s">
        <v>766</v>
      </c>
      <c r="R2162" s="84">
        <v>154820100</v>
      </c>
      <c r="S2162" s="40">
        <v>0</v>
      </c>
    </row>
    <row r="2163" spans="1:19" s="92" customFormat="1" ht="51">
      <c r="A2163" s="5">
        <v>2148</v>
      </c>
      <c r="B2163" s="15" t="s">
        <v>710</v>
      </c>
      <c r="C2163" s="40" t="s">
        <v>597</v>
      </c>
      <c r="D2163" s="40" t="s">
        <v>2594</v>
      </c>
      <c r="E2163" s="31" t="s">
        <v>2618</v>
      </c>
      <c r="F2163" s="31" t="s">
        <v>2595</v>
      </c>
      <c r="G2163" s="31" t="s">
        <v>2618</v>
      </c>
      <c r="H2163" s="40" t="s">
        <v>2595</v>
      </c>
      <c r="I2163" s="40" t="s">
        <v>3201</v>
      </c>
      <c r="J2163" s="40" t="s">
        <v>3202</v>
      </c>
      <c r="K2163" s="40" t="s">
        <v>591</v>
      </c>
      <c r="L2163" s="11" t="s">
        <v>914</v>
      </c>
      <c r="M2163" s="93">
        <v>1</v>
      </c>
      <c r="N2163" s="94">
        <f>10500*3</f>
        <v>31500</v>
      </c>
      <c r="O2163" s="94">
        <f>N2163</f>
        <v>31500</v>
      </c>
      <c r="P2163" s="40" t="s">
        <v>3116</v>
      </c>
      <c r="Q2163" s="40" t="s">
        <v>766</v>
      </c>
      <c r="R2163" s="84">
        <v>154820100</v>
      </c>
      <c r="S2163" s="40">
        <v>30</v>
      </c>
    </row>
    <row r="2164" spans="1:19" s="92" customFormat="1" ht="89.25">
      <c r="A2164" s="5">
        <v>2149</v>
      </c>
      <c r="B2164" s="15" t="s">
        <v>710</v>
      </c>
      <c r="C2164" s="40" t="s">
        <v>711</v>
      </c>
      <c r="D2164" s="40" t="s">
        <v>976</v>
      </c>
      <c r="E2164" s="31" t="s">
        <v>730</v>
      </c>
      <c r="F2164" s="31" t="s">
        <v>731</v>
      </c>
      <c r="G2164" s="31" t="s">
        <v>977</v>
      </c>
      <c r="H2164" s="40" t="s">
        <v>978</v>
      </c>
      <c r="I2164" s="40" t="s">
        <v>3203</v>
      </c>
      <c r="J2164" s="40" t="s">
        <v>3204</v>
      </c>
      <c r="K2164" s="40" t="s">
        <v>591</v>
      </c>
      <c r="L2164" s="40" t="s">
        <v>644</v>
      </c>
      <c r="M2164" s="93">
        <v>2</v>
      </c>
      <c r="N2164" s="94">
        <v>26800</v>
      </c>
      <c r="O2164" s="94">
        <f>N2164*M2164</f>
        <v>53600</v>
      </c>
      <c r="P2164" s="40" t="s">
        <v>3116</v>
      </c>
      <c r="Q2164" s="40" t="s">
        <v>1051</v>
      </c>
      <c r="R2164" s="84">
        <v>154820100</v>
      </c>
      <c r="S2164" s="40">
        <v>100</v>
      </c>
    </row>
    <row r="2165" spans="1:19" s="92" customFormat="1" ht="63.75">
      <c r="A2165" s="5">
        <v>2150</v>
      </c>
      <c r="B2165" s="15" t="s">
        <v>710</v>
      </c>
      <c r="C2165" s="40" t="s">
        <v>711</v>
      </c>
      <c r="D2165" s="40" t="s">
        <v>744</v>
      </c>
      <c r="E2165" s="31" t="s">
        <v>745</v>
      </c>
      <c r="F2165" s="31" t="s">
        <v>109</v>
      </c>
      <c r="G2165" s="31" t="s">
        <v>746</v>
      </c>
      <c r="H2165" s="40" t="s">
        <v>3205</v>
      </c>
      <c r="I2165" s="40" t="s">
        <v>3206</v>
      </c>
      <c r="J2165" s="40" t="s">
        <v>3207</v>
      </c>
      <c r="K2165" s="40" t="s">
        <v>591</v>
      </c>
      <c r="L2165" s="40" t="s">
        <v>644</v>
      </c>
      <c r="M2165" s="93">
        <v>6</v>
      </c>
      <c r="N2165" s="94">
        <v>4000</v>
      </c>
      <c r="O2165" s="94">
        <f>M2165*N2165</f>
        <v>24000</v>
      </c>
      <c r="P2165" s="40" t="s">
        <v>3116</v>
      </c>
      <c r="Q2165" s="40" t="s">
        <v>1051</v>
      </c>
      <c r="R2165" s="84">
        <v>154820100</v>
      </c>
      <c r="S2165" s="40">
        <v>100</v>
      </c>
    </row>
    <row r="2166" spans="1:19" s="92" customFormat="1" ht="51">
      <c r="A2166" s="5">
        <v>2151</v>
      </c>
      <c r="B2166" s="15" t="s">
        <v>710</v>
      </c>
      <c r="C2166" s="40" t="s">
        <v>711</v>
      </c>
      <c r="D2166" s="98" t="s">
        <v>422</v>
      </c>
      <c r="E2166" s="76" t="s">
        <v>423</v>
      </c>
      <c r="F2166" s="76" t="s">
        <v>427</v>
      </c>
      <c r="G2166" s="76" t="s">
        <v>837</v>
      </c>
      <c r="H2166" s="76" t="s">
        <v>425</v>
      </c>
      <c r="I2166" s="76" t="s">
        <v>3208</v>
      </c>
      <c r="J2166" s="76" t="s">
        <v>3209</v>
      </c>
      <c r="K2166" s="76" t="s">
        <v>591</v>
      </c>
      <c r="L2166" s="11" t="s">
        <v>909</v>
      </c>
      <c r="M2166" s="53">
        <v>18</v>
      </c>
      <c r="N2166" s="94">
        <v>640</v>
      </c>
      <c r="O2166" s="94">
        <f>N2166*M2166</f>
        <v>11520</v>
      </c>
      <c r="P2166" s="40" t="s">
        <v>3116</v>
      </c>
      <c r="Q2166" s="40" t="s">
        <v>766</v>
      </c>
      <c r="R2166" s="84">
        <v>154820100</v>
      </c>
      <c r="S2166" s="40">
        <v>100</v>
      </c>
    </row>
    <row r="2167" spans="1:19" s="92" customFormat="1" ht="76.5">
      <c r="A2167" s="5">
        <v>2152</v>
      </c>
      <c r="B2167" s="15" t="s">
        <v>710</v>
      </c>
      <c r="C2167" s="40" t="s">
        <v>711</v>
      </c>
      <c r="D2167" s="40" t="s">
        <v>723</v>
      </c>
      <c r="E2167" s="31" t="s">
        <v>874</v>
      </c>
      <c r="F2167" s="31" t="s">
        <v>874</v>
      </c>
      <c r="G2167" s="31" t="s">
        <v>875</v>
      </c>
      <c r="H2167" s="40" t="s">
        <v>876</v>
      </c>
      <c r="I2167" s="40" t="s">
        <v>3210</v>
      </c>
      <c r="J2167" s="40" t="s">
        <v>3211</v>
      </c>
      <c r="K2167" s="40" t="s">
        <v>591</v>
      </c>
      <c r="L2167" s="40" t="s">
        <v>644</v>
      </c>
      <c r="M2167" s="93">
        <v>1</v>
      </c>
      <c r="N2167" s="94">
        <v>30000</v>
      </c>
      <c r="O2167" s="94">
        <f>N2167*M2167</f>
        <v>30000</v>
      </c>
      <c r="P2167" s="40" t="s">
        <v>3116</v>
      </c>
      <c r="Q2167" s="40" t="s">
        <v>1051</v>
      </c>
      <c r="R2167" s="84">
        <v>154820100</v>
      </c>
      <c r="S2167" s="40">
        <v>100</v>
      </c>
    </row>
    <row r="2168" spans="1:19" s="92" customFormat="1" ht="89.25">
      <c r="A2168" s="5">
        <v>2153</v>
      </c>
      <c r="B2168" s="15" t="s">
        <v>710</v>
      </c>
      <c r="C2168" s="40" t="s">
        <v>597</v>
      </c>
      <c r="D2168" s="40" t="s">
        <v>598</v>
      </c>
      <c r="E2168" s="31" t="s">
        <v>599</v>
      </c>
      <c r="F2168" s="31" t="s">
        <v>782</v>
      </c>
      <c r="G2168" s="31" t="s">
        <v>3195</v>
      </c>
      <c r="H2168" s="40" t="s">
        <v>602</v>
      </c>
      <c r="I2168" s="40" t="s">
        <v>3196</v>
      </c>
      <c r="J2168" s="40" t="s">
        <v>3197</v>
      </c>
      <c r="K2168" s="40" t="s">
        <v>591</v>
      </c>
      <c r="L2168" s="11" t="s">
        <v>914</v>
      </c>
      <c r="M2168" s="93">
        <v>1</v>
      </c>
      <c r="N2168" s="94">
        <v>624400</v>
      </c>
      <c r="O2168" s="94">
        <v>624400</v>
      </c>
      <c r="P2168" s="40" t="s">
        <v>502</v>
      </c>
      <c r="Q2168" s="40" t="s">
        <v>766</v>
      </c>
      <c r="R2168" s="84">
        <v>155230100</v>
      </c>
      <c r="S2168" s="40">
        <v>0</v>
      </c>
    </row>
    <row r="2169" spans="1:19" s="92" customFormat="1" ht="89.25">
      <c r="A2169" s="5">
        <v>2154</v>
      </c>
      <c r="B2169" s="15" t="s">
        <v>710</v>
      </c>
      <c r="C2169" s="40" t="s">
        <v>597</v>
      </c>
      <c r="D2169" s="40" t="s">
        <v>598</v>
      </c>
      <c r="E2169" s="31" t="s">
        <v>599</v>
      </c>
      <c r="F2169" s="31" t="s">
        <v>782</v>
      </c>
      <c r="G2169" s="31" t="s">
        <v>3195</v>
      </c>
      <c r="H2169" s="40" t="s">
        <v>602</v>
      </c>
      <c r="I2169" s="40" t="s">
        <v>3196</v>
      </c>
      <c r="J2169" s="40" t="s">
        <v>3197</v>
      </c>
      <c r="K2169" s="40" t="s">
        <v>591</v>
      </c>
      <c r="L2169" s="11" t="s">
        <v>914</v>
      </c>
      <c r="M2169" s="93">
        <v>1</v>
      </c>
      <c r="N2169" s="94">
        <v>624400</v>
      </c>
      <c r="O2169" s="94">
        <v>624400</v>
      </c>
      <c r="P2169" s="40" t="s">
        <v>502</v>
      </c>
      <c r="Q2169" s="40" t="s">
        <v>766</v>
      </c>
      <c r="R2169" s="84">
        <v>155230100</v>
      </c>
      <c r="S2169" s="40">
        <v>0</v>
      </c>
    </row>
    <row r="2170" spans="1:19" s="92" customFormat="1" ht="51">
      <c r="A2170" s="5">
        <v>2155</v>
      </c>
      <c r="B2170" s="15" t="s">
        <v>710</v>
      </c>
      <c r="C2170" s="40" t="s">
        <v>597</v>
      </c>
      <c r="D2170" s="11" t="s">
        <v>850</v>
      </c>
      <c r="E2170" s="76" t="s">
        <v>1736</v>
      </c>
      <c r="F2170" s="76" t="s">
        <v>851</v>
      </c>
      <c r="G2170" s="76" t="s">
        <v>1737</v>
      </c>
      <c r="H2170" s="76" t="s">
        <v>852</v>
      </c>
      <c r="I2170" s="76" t="s">
        <v>3199</v>
      </c>
      <c r="J2170" s="76" t="s">
        <v>3200</v>
      </c>
      <c r="K2170" s="40" t="s">
        <v>591</v>
      </c>
      <c r="L2170" s="11" t="s">
        <v>914</v>
      </c>
      <c r="M2170" s="97">
        <v>1</v>
      </c>
      <c r="N2170" s="94">
        <f>10000*5</f>
        <v>50000</v>
      </c>
      <c r="O2170" s="94">
        <f>N2170</f>
        <v>50000</v>
      </c>
      <c r="P2170" s="40" t="s">
        <v>698</v>
      </c>
      <c r="Q2170" s="40" t="s">
        <v>766</v>
      </c>
      <c r="R2170" s="84">
        <v>155230100</v>
      </c>
      <c r="S2170" s="40">
        <v>0</v>
      </c>
    </row>
    <row r="2171" spans="1:19" s="92" customFormat="1" ht="51">
      <c r="A2171" s="5">
        <v>2156</v>
      </c>
      <c r="B2171" s="15" t="s">
        <v>710</v>
      </c>
      <c r="C2171" s="40" t="s">
        <v>597</v>
      </c>
      <c r="D2171" s="40" t="s">
        <v>2594</v>
      </c>
      <c r="E2171" s="31" t="s">
        <v>2618</v>
      </c>
      <c r="F2171" s="31" t="s">
        <v>2595</v>
      </c>
      <c r="G2171" s="31" t="s">
        <v>2618</v>
      </c>
      <c r="H2171" s="40" t="s">
        <v>2595</v>
      </c>
      <c r="I2171" s="40" t="s">
        <v>3201</v>
      </c>
      <c r="J2171" s="40" t="s">
        <v>3202</v>
      </c>
      <c r="K2171" s="40" t="s">
        <v>591</v>
      </c>
      <c r="L2171" s="11" t="s">
        <v>914</v>
      </c>
      <c r="M2171" s="93">
        <v>1</v>
      </c>
      <c r="N2171" s="94">
        <f>10500*3</f>
        <v>31500</v>
      </c>
      <c r="O2171" s="94">
        <f>N2171</f>
        <v>31500</v>
      </c>
      <c r="P2171" s="40" t="s">
        <v>3116</v>
      </c>
      <c r="Q2171" s="40" t="s">
        <v>766</v>
      </c>
      <c r="R2171" s="84">
        <v>155230100</v>
      </c>
      <c r="S2171" s="40">
        <v>30</v>
      </c>
    </row>
    <row r="2172" spans="1:19" s="92" customFormat="1" ht="89.25">
      <c r="A2172" s="5">
        <v>2157</v>
      </c>
      <c r="B2172" s="15" t="s">
        <v>710</v>
      </c>
      <c r="C2172" s="40" t="s">
        <v>711</v>
      </c>
      <c r="D2172" s="40" t="s">
        <v>976</v>
      </c>
      <c r="E2172" s="31" t="s">
        <v>730</v>
      </c>
      <c r="F2172" s="31" t="s">
        <v>731</v>
      </c>
      <c r="G2172" s="31" t="s">
        <v>977</v>
      </c>
      <c r="H2172" s="40" t="s">
        <v>978</v>
      </c>
      <c r="I2172" s="40" t="s">
        <v>3203</v>
      </c>
      <c r="J2172" s="40" t="s">
        <v>3204</v>
      </c>
      <c r="K2172" s="40" t="s">
        <v>591</v>
      </c>
      <c r="L2172" s="40" t="s">
        <v>644</v>
      </c>
      <c r="M2172" s="93">
        <v>2</v>
      </c>
      <c r="N2172" s="94">
        <v>26800</v>
      </c>
      <c r="O2172" s="94">
        <f>N2172*M2172</f>
        <v>53600</v>
      </c>
      <c r="P2172" s="40" t="s">
        <v>3116</v>
      </c>
      <c r="Q2172" s="40" t="s">
        <v>1051</v>
      </c>
      <c r="R2172" s="84">
        <v>155230100</v>
      </c>
      <c r="S2172" s="40">
        <v>100</v>
      </c>
    </row>
    <row r="2173" spans="1:19" s="92" customFormat="1" ht="63.75">
      <c r="A2173" s="5">
        <v>2158</v>
      </c>
      <c r="B2173" s="15" t="s">
        <v>710</v>
      </c>
      <c r="C2173" s="40" t="s">
        <v>711</v>
      </c>
      <c r="D2173" s="40" t="s">
        <v>744</v>
      </c>
      <c r="E2173" s="31" t="s">
        <v>745</v>
      </c>
      <c r="F2173" s="31" t="s">
        <v>109</v>
      </c>
      <c r="G2173" s="31" t="s">
        <v>746</v>
      </c>
      <c r="H2173" s="40" t="s">
        <v>3205</v>
      </c>
      <c r="I2173" s="40" t="s">
        <v>3206</v>
      </c>
      <c r="J2173" s="40" t="s">
        <v>3207</v>
      </c>
      <c r="K2173" s="40" t="s">
        <v>591</v>
      </c>
      <c r="L2173" s="40" t="s">
        <v>644</v>
      </c>
      <c r="M2173" s="93">
        <v>6</v>
      </c>
      <c r="N2173" s="94">
        <v>4000</v>
      </c>
      <c r="O2173" s="94">
        <f>M2173*N2173</f>
        <v>24000</v>
      </c>
      <c r="P2173" s="40" t="s">
        <v>3116</v>
      </c>
      <c r="Q2173" s="40" t="s">
        <v>1051</v>
      </c>
      <c r="R2173" s="84">
        <v>155230100</v>
      </c>
      <c r="S2173" s="40">
        <v>100</v>
      </c>
    </row>
    <row r="2174" spans="1:19" s="92" customFormat="1" ht="51">
      <c r="A2174" s="5">
        <v>2159</v>
      </c>
      <c r="B2174" s="15" t="s">
        <v>710</v>
      </c>
      <c r="C2174" s="40" t="s">
        <v>711</v>
      </c>
      <c r="D2174" s="98" t="s">
        <v>422</v>
      </c>
      <c r="E2174" s="76" t="s">
        <v>423</v>
      </c>
      <c r="F2174" s="76" t="s">
        <v>427</v>
      </c>
      <c r="G2174" s="76" t="s">
        <v>837</v>
      </c>
      <c r="H2174" s="76" t="s">
        <v>425</v>
      </c>
      <c r="I2174" s="76" t="s">
        <v>3208</v>
      </c>
      <c r="J2174" s="76" t="s">
        <v>3209</v>
      </c>
      <c r="K2174" s="76" t="s">
        <v>591</v>
      </c>
      <c r="L2174" s="11" t="s">
        <v>909</v>
      </c>
      <c r="M2174" s="53">
        <v>18</v>
      </c>
      <c r="N2174" s="94">
        <v>640</v>
      </c>
      <c r="O2174" s="94">
        <f>N2174*M2174</f>
        <v>11520</v>
      </c>
      <c r="P2174" s="40" t="s">
        <v>3116</v>
      </c>
      <c r="Q2174" s="40" t="s">
        <v>766</v>
      </c>
      <c r="R2174" s="84">
        <v>155230100</v>
      </c>
      <c r="S2174" s="40">
        <v>100</v>
      </c>
    </row>
    <row r="2175" spans="1:19" s="92" customFormat="1" ht="76.5">
      <c r="A2175" s="5">
        <v>2160</v>
      </c>
      <c r="B2175" s="15" t="s">
        <v>710</v>
      </c>
      <c r="C2175" s="40" t="s">
        <v>711</v>
      </c>
      <c r="D2175" s="40" t="s">
        <v>723</v>
      </c>
      <c r="E2175" s="31" t="s">
        <v>874</v>
      </c>
      <c r="F2175" s="31" t="s">
        <v>874</v>
      </c>
      <c r="G2175" s="31" t="s">
        <v>875</v>
      </c>
      <c r="H2175" s="40" t="s">
        <v>876</v>
      </c>
      <c r="I2175" s="40" t="s">
        <v>3210</v>
      </c>
      <c r="J2175" s="40" t="s">
        <v>3211</v>
      </c>
      <c r="K2175" s="40" t="s">
        <v>591</v>
      </c>
      <c r="L2175" s="40" t="s">
        <v>644</v>
      </c>
      <c r="M2175" s="93">
        <v>1</v>
      </c>
      <c r="N2175" s="94">
        <v>30000</v>
      </c>
      <c r="O2175" s="94">
        <f>N2175*M2175</f>
        <v>30000</v>
      </c>
      <c r="P2175" s="40" t="s">
        <v>3116</v>
      </c>
      <c r="Q2175" s="40" t="s">
        <v>1051</v>
      </c>
      <c r="R2175" s="84">
        <v>155230100</v>
      </c>
      <c r="S2175" s="40">
        <v>100</v>
      </c>
    </row>
    <row r="2176" spans="1:19" s="92" customFormat="1" ht="89.25">
      <c r="A2176" s="5">
        <v>2161</v>
      </c>
      <c r="B2176" s="15" t="s">
        <v>710</v>
      </c>
      <c r="C2176" s="40" t="s">
        <v>597</v>
      </c>
      <c r="D2176" s="40" t="s">
        <v>598</v>
      </c>
      <c r="E2176" s="31" t="s">
        <v>599</v>
      </c>
      <c r="F2176" s="31" t="s">
        <v>782</v>
      </c>
      <c r="G2176" s="31" t="s">
        <v>3195</v>
      </c>
      <c r="H2176" s="40" t="s">
        <v>602</v>
      </c>
      <c r="I2176" s="40" t="s">
        <v>3196</v>
      </c>
      <c r="J2176" s="40" t="s">
        <v>3197</v>
      </c>
      <c r="K2176" s="40" t="s">
        <v>591</v>
      </c>
      <c r="L2176" s="11" t="s">
        <v>914</v>
      </c>
      <c r="M2176" s="93">
        <v>1</v>
      </c>
      <c r="N2176" s="94">
        <v>624400</v>
      </c>
      <c r="O2176" s="94">
        <v>624400</v>
      </c>
      <c r="P2176" s="40" t="s">
        <v>502</v>
      </c>
      <c r="Q2176" s="40" t="s">
        <v>766</v>
      </c>
      <c r="R2176" s="84">
        <v>155630100</v>
      </c>
      <c r="S2176" s="40">
        <v>0</v>
      </c>
    </row>
    <row r="2177" spans="1:19" s="92" customFormat="1" ht="89.25">
      <c r="A2177" s="5">
        <v>2162</v>
      </c>
      <c r="B2177" s="15" t="s">
        <v>710</v>
      </c>
      <c r="C2177" s="40" t="s">
        <v>597</v>
      </c>
      <c r="D2177" s="40" t="s">
        <v>598</v>
      </c>
      <c r="E2177" s="31" t="s">
        <v>599</v>
      </c>
      <c r="F2177" s="31" t="s">
        <v>782</v>
      </c>
      <c r="G2177" s="31" t="s">
        <v>3195</v>
      </c>
      <c r="H2177" s="40" t="s">
        <v>602</v>
      </c>
      <c r="I2177" s="40" t="s">
        <v>3196</v>
      </c>
      <c r="J2177" s="40" t="s">
        <v>3197</v>
      </c>
      <c r="K2177" s="40" t="s">
        <v>591</v>
      </c>
      <c r="L2177" s="11" t="s">
        <v>914</v>
      </c>
      <c r="M2177" s="93">
        <v>1</v>
      </c>
      <c r="N2177" s="94">
        <v>624400</v>
      </c>
      <c r="O2177" s="94">
        <v>624400</v>
      </c>
      <c r="P2177" s="40" t="s">
        <v>502</v>
      </c>
      <c r="Q2177" s="40" t="s">
        <v>766</v>
      </c>
      <c r="R2177" s="84">
        <v>155630100</v>
      </c>
      <c r="S2177" s="40">
        <v>0</v>
      </c>
    </row>
    <row r="2178" spans="1:19" s="92" customFormat="1" ht="51">
      <c r="A2178" s="5">
        <v>2163</v>
      </c>
      <c r="B2178" s="15" t="s">
        <v>710</v>
      </c>
      <c r="C2178" s="40" t="s">
        <v>597</v>
      </c>
      <c r="D2178" s="11" t="s">
        <v>850</v>
      </c>
      <c r="E2178" s="76" t="s">
        <v>1736</v>
      </c>
      <c r="F2178" s="76" t="s">
        <v>851</v>
      </c>
      <c r="G2178" s="76" t="s">
        <v>1737</v>
      </c>
      <c r="H2178" s="76" t="s">
        <v>852</v>
      </c>
      <c r="I2178" s="76" t="s">
        <v>3199</v>
      </c>
      <c r="J2178" s="76" t="s">
        <v>3200</v>
      </c>
      <c r="K2178" s="40" t="s">
        <v>591</v>
      </c>
      <c r="L2178" s="11" t="s">
        <v>914</v>
      </c>
      <c r="M2178" s="97">
        <v>1</v>
      </c>
      <c r="N2178" s="94">
        <f>10000*5</f>
        <v>50000</v>
      </c>
      <c r="O2178" s="94">
        <f>N2178</f>
        <v>50000</v>
      </c>
      <c r="P2178" s="40" t="s">
        <v>698</v>
      </c>
      <c r="Q2178" s="40" t="s">
        <v>766</v>
      </c>
      <c r="R2178" s="84">
        <v>155630100</v>
      </c>
      <c r="S2178" s="40">
        <v>0</v>
      </c>
    </row>
    <row r="2179" spans="1:19" s="92" customFormat="1" ht="51">
      <c r="A2179" s="5">
        <v>2164</v>
      </c>
      <c r="B2179" s="15" t="s">
        <v>710</v>
      </c>
      <c r="C2179" s="40" t="s">
        <v>597</v>
      </c>
      <c r="D2179" s="40" t="s">
        <v>2594</v>
      </c>
      <c r="E2179" s="31" t="s">
        <v>2618</v>
      </c>
      <c r="F2179" s="31" t="s">
        <v>2595</v>
      </c>
      <c r="G2179" s="31" t="s">
        <v>2618</v>
      </c>
      <c r="H2179" s="40" t="s">
        <v>2595</v>
      </c>
      <c r="I2179" s="40" t="s">
        <v>3201</v>
      </c>
      <c r="J2179" s="40" t="s">
        <v>3202</v>
      </c>
      <c r="K2179" s="40" t="s">
        <v>591</v>
      </c>
      <c r="L2179" s="11" t="s">
        <v>914</v>
      </c>
      <c r="M2179" s="93">
        <v>1</v>
      </c>
      <c r="N2179" s="94">
        <f>10500*3</f>
        <v>31500</v>
      </c>
      <c r="O2179" s="94">
        <f>N2179</f>
        <v>31500</v>
      </c>
      <c r="P2179" s="40" t="s">
        <v>3116</v>
      </c>
      <c r="Q2179" s="40" t="s">
        <v>766</v>
      </c>
      <c r="R2179" s="84">
        <v>155630100</v>
      </c>
      <c r="S2179" s="40">
        <v>30</v>
      </c>
    </row>
    <row r="2180" spans="1:19" s="92" customFormat="1" ht="89.25">
      <c r="A2180" s="5">
        <v>2165</v>
      </c>
      <c r="B2180" s="15" t="s">
        <v>710</v>
      </c>
      <c r="C2180" s="40" t="s">
        <v>711</v>
      </c>
      <c r="D2180" s="40" t="s">
        <v>976</v>
      </c>
      <c r="E2180" s="31" t="s">
        <v>730</v>
      </c>
      <c r="F2180" s="31" t="s">
        <v>731</v>
      </c>
      <c r="G2180" s="31" t="s">
        <v>977</v>
      </c>
      <c r="H2180" s="40" t="s">
        <v>978</v>
      </c>
      <c r="I2180" s="40" t="s">
        <v>3203</v>
      </c>
      <c r="J2180" s="40" t="s">
        <v>3204</v>
      </c>
      <c r="K2180" s="40" t="s">
        <v>591</v>
      </c>
      <c r="L2180" s="40" t="s">
        <v>644</v>
      </c>
      <c r="M2180" s="93">
        <v>2</v>
      </c>
      <c r="N2180" s="94">
        <v>26800</v>
      </c>
      <c r="O2180" s="94">
        <f>N2180*M2180</f>
        <v>53600</v>
      </c>
      <c r="P2180" s="40" t="s">
        <v>3116</v>
      </c>
      <c r="Q2180" s="40" t="s">
        <v>1051</v>
      </c>
      <c r="R2180" s="84">
        <v>155630100</v>
      </c>
      <c r="S2180" s="40">
        <v>100</v>
      </c>
    </row>
    <row r="2181" spans="1:19" s="92" customFormat="1" ht="63.75">
      <c r="A2181" s="5">
        <v>2166</v>
      </c>
      <c r="B2181" s="15" t="s">
        <v>710</v>
      </c>
      <c r="C2181" s="40" t="s">
        <v>711</v>
      </c>
      <c r="D2181" s="40" t="s">
        <v>744</v>
      </c>
      <c r="E2181" s="31" t="s">
        <v>745</v>
      </c>
      <c r="F2181" s="31" t="s">
        <v>109</v>
      </c>
      <c r="G2181" s="31" t="s">
        <v>746</v>
      </c>
      <c r="H2181" s="40" t="s">
        <v>3205</v>
      </c>
      <c r="I2181" s="40" t="s">
        <v>3206</v>
      </c>
      <c r="J2181" s="40" t="s">
        <v>3207</v>
      </c>
      <c r="K2181" s="40" t="s">
        <v>591</v>
      </c>
      <c r="L2181" s="40" t="s">
        <v>644</v>
      </c>
      <c r="M2181" s="93">
        <v>6</v>
      </c>
      <c r="N2181" s="94">
        <v>4000</v>
      </c>
      <c r="O2181" s="94">
        <f>M2181*N2181</f>
        <v>24000</v>
      </c>
      <c r="P2181" s="40" t="s">
        <v>3116</v>
      </c>
      <c r="Q2181" s="40" t="s">
        <v>1051</v>
      </c>
      <c r="R2181" s="84">
        <v>155630100</v>
      </c>
      <c r="S2181" s="40">
        <v>100</v>
      </c>
    </row>
    <row r="2182" spans="1:19" s="92" customFormat="1" ht="51">
      <c r="A2182" s="5">
        <v>2167</v>
      </c>
      <c r="B2182" s="15" t="s">
        <v>710</v>
      </c>
      <c r="C2182" s="40" t="s">
        <v>711</v>
      </c>
      <c r="D2182" s="98" t="s">
        <v>422</v>
      </c>
      <c r="E2182" s="76" t="s">
        <v>423</v>
      </c>
      <c r="F2182" s="76" t="s">
        <v>427</v>
      </c>
      <c r="G2182" s="76" t="s">
        <v>837</v>
      </c>
      <c r="H2182" s="76" t="s">
        <v>425</v>
      </c>
      <c r="I2182" s="76" t="s">
        <v>3208</v>
      </c>
      <c r="J2182" s="76" t="s">
        <v>3209</v>
      </c>
      <c r="K2182" s="76" t="s">
        <v>591</v>
      </c>
      <c r="L2182" s="11" t="s">
        <v>909</v>
      </c>
      <c r="M2182" s="53">
        <v>18</v>
      </c>
      <c r="N2182" s="94">
        <v>640</v>
      </c>
      <c r="O2182" s="94">
        <f>N2182*M2182</f>
        <v>11520</v>
      </c>
      <c r="P2182" s="40" t="s">
        <v>3116</v>
      </c>
      <c r="Q2182" s="40" t="s">
        <v>766</v>
      </c>
      <c r="R2182" s="84">
        <v>155630100</v>
      </c>
      <c r="S2182" s="40">
        <v>100</v>
      </c>
    </row>
    <row r="2183" spans="1:19" s="92" customFormat="1" ht="76.5">
      <c r="A2183" s="5">
        <v>2168</v>
      </c>
      <c r="B2183" s="15" t="s">
        <v>710</v>
      </c>
      <c r="C2183" s="40" t="s">
        <v>711</v>
      </c>
      <c r="D2183" s="40" t="s">
        <v>723</v>
      </c>
      <c r="E2183" s="31" t="s">
        <v>874</v>
      </c>
      <c r="F2183" s="31" t="s">
        <v>874</v>
      </c>
      <c r="G2183" s="31" t="s">
        <v>875</v>
      </c>
      <c r="H2183" s="40" t="s">
        <v>876</v>
      </c>
      <c r="I2183" s="40" t="s">
        <v>3210</v>
      </c>
      <c r="J2183" s="40" t="s">
        <v>3211</v>
      </c>
      <c r="K2183" s="40" t="s">
        <v>591</v>
      </c>
      <c r="L2183" s="40" t="s">
        <v>644</v>
      </c>
      <c r="M2183" s="93">
        <v>1</v>
      </c>
      <c r="N2183" s="94">
        <v>30000</v>
      </c>
      <c r="O2183" s="94">
        <f>N2183*M2183</f>
        <v>30000</v>
      </c>
      <c r="P2183" s="40" t="s">
        <v>3116</v>
      </c>
      <c r="Q2183" s="40" t="s">
        <v>1051</v>
      </c>
      <c r="R2183" s="84">
        <v>155630100</v>
      </c>
      <c r="S2183" s="40">
        <v>100</v>
      </c>
    </row>
    <row r="2184" spans="1:19" s="92" customFormat="1" ht="89.25">
      <c r="A2184" s="5">
        <v>2169</v>
      </c>
      <c r="B2184" s="15" t="s">
        <v>710</v>
      </c>
      <c r="C2184" s="40" t="s">
        <v>597</v>
      </c>
      <c r="D2184" s="40" t="s">
        <v>598</v>
      </c>
      <c r="E2184" s="31" t="s">
        <v>599</v>
      </c>
      <c r="F2184" s="31" t="s">
        <v>782</v>
      </c>
      <c r="G2184" s="31" t="s">
        <v>3195</v>
      </c>
      <c r="H2184" s="40" t="s">
        <v>602</v>
      </c>
      <c r="I2184" s="40" t="s">
        <v>3196</v>
      </c>
      <c r="J2184" s="40" t="s">
        <v>3197</v>
      </c>
      <c r="K2184" s="40" t="s">
        <v>591</v>
      </c>
      <c r="L2184" s="11" t="s">
        <v>914</v>
      </c>
      <c r="M2184" s="93">
        <v>1</v>
      </c>
      <c r="N2184" s="94">
        <v>624400</v>
      </c>
      <c r="O2184" s="94">
        <v>624400</v>
      </c>
      <c r="P2184" s="40" t="s">
        <v>502</v>
      </c>
      <c r="Q2184" s="40" t="s">
        <v>766</v>
      </c>
      <c r="R2184" s="84">
        <v>156420100</v>
      </c>
      <c r="S2184" s="40">
        <v>0</v>
      </c>
    </row>
    <row r="2185" spans="1:19" s="92" customFormat="1" ht="89.25">
      <c r="A2185" s="5">
        <v>2170</v>
      </c>
      <c r="B2185" s="15" t="s">
        <v>710</v>
      </c>
      <c r="C2185" s="40" t="s">
        <v>597</v>
      </c>
      <c r="D2185" s="40" t="s">
        <v>598</v>
      </c>
      <c r="E2185" s="31" t="s">
        <v>599</v>
      </c>
      <c r="F2185" s="31" t="s">
        <v>782</v>
      </c>
      <c r="G2185" s="31" t="s">
        <v>3195</v>
      </c>
      <c r="H2185" s="40" t="s">
        <v>602</v>
      </c>
      <c r="I2185" s="40" t="s">
        <v>3196</v>
      </c>
      <c r="J2185" s="40" t="s">
        <v>3197</v>
      </c>
      <c r="K2185" s="40" t="s">
        <v>591</v>
      </c>
      <c r="L2185" s="11" t="s">
        <v>914</v>
      </c>
      <c r="M2185" s="93">
        <v>1</v>
      </c>
      <c r="N2185" s="94">
        <v>624400</v>
      </c>
      <c r="O2185" s="94">
        <v>624400</v>
      </c>
      <c r="P2185" s="40" t="s">
        <v>502</v>
      </c>
      <c r="Q2185" s="40" t="s">
        <v>766</v>
      </c>
      <c r="R2185" s="84">
        <v>156420100</v>
      </c>
      <c r="S2185" s="40">
        <v>0</v>
      </c>
    </row>
    <row r="2186" spans="1:19" s="92" customFormat="1" ht="51">
      <c r="A2186" s="5">
        <v>2171</v>
      </c>
      <c r="B2186" s="15" t="s">
        <v>710</v>
      </c>
      <c r="C2186" s="40" t="s">
        <v>597</v>
      </c>
      <c r="D2186" s="11" t="s">
        <v>850</v>
      </c>
      <c r="E2186" s="76" t="s">
        <v>1736</v>
      </c>
      <c r="F2186" s="76" t="s">
        <v>851</v>
      </c>
      <c r="G2186" s="76" t="s">
        <v>1737</v>
      </c>
      <c r="H2186" s="76" t="s">
        <v>852</v>
      </c>
      <c r="I2186" s="76" t="s">
        <v>3199</v>
      </c>
      <c r="J2186" s="76" t="s">
        <v>3200</v>
      </c>
      <c r="K2186" s="40" t="s">
        <v>591</v>
      </c>
      <c r="L2186" s="11" t="s">
        <v>914</v>
      </c>
      <c r="M2186" s="97">
        <v>1</v>
      </c>
      <c r="N2186" s="94">
        <f>10000*5</f>
        <v>50000</v>
      </c>
      <c r="O2186" s="94">
        <f>N2186</f>
        <v>50000</v>
      </c>
      <c r="P2186" s="40" t="s">
        <v>698</v>
      </c>
      <c r="Q2186" s="40" t="s">
        <v>766</v>
      </c>
      <c r="R2186" s="84">
        <v>156420100</v>
      </c>
      <c r="S2186" s="40">
        <v>0</v>
      </c>
    </row>
    <row r="2187" spans="1:19" s="92" customFormat="1" ht="51">
      <c r="A2187" s="5">
        <v>2172</v>
      </c>
      <c r="B2187" s="15" t="s">
        <v>710</v>
      </c>
      <c r="C2187" s="40" t="s">
        <v>597</v>
      </c>
      <c r="D2187" s="40" t="s">
        <v>2594</v>
      </c>
      <c r="E2187" s="31" t="s">
        <v>2618</v>
      </c>
      <c r="F2187" s="31" t="s">
        <v>2595</v>
      </c>
      <c r="G2187" s="31" t="s">
        <v>2618</v>
      </c>
      <c r="H2187" s="40" t="s">
        <v>2595</v>
      </c>
      <c r="I2187" s="40" t="s">
        <v>3201</v>
      </c>
      <c r="J2187" s="40" t="s">
        <v>3202</v>
      </c>
      <c r="K2187" s="40" t="s">
        <v>591</v>
      </c>
      <c r="L2187" s="11" t="s">
        <v>914</v>
      </c>
      <c r="M2187" s="93">
        <v>1</v>
      </c>
      <c r="N2187" s="94">
        <f>10500*3</f>
        <v>31500</v>
      </c>
      <c r="O2187" s="94">
        <f>N2187</f>
        <v>31500</v>
      </c>
      <c r="P2187" s="40" t="s">
        <v>3116</v>
      </c>
      <c r="Q2187" s="40" t="s">
        <v>766</v>
      </c>
      <c r="R2187" s="84">
        <v>156420100</v>
      </c>
      <c r="S2187" s="40">
        <v>30</v>
      </c>
    </row>
    <row r="2188" spans="1:19" s="92" customFormat="1" ht="89.25">
      <c r="A2188" s="5">
        <v>2173</v>
      </c>
      <c r="B2188" s="15" t="s">
        <v>710</v>
      </c>
      <c r="C2188" s="40" t="s">
        <v>711</v>
      </c>
      <c r="D2188" s="40" t="s">
        <v>976</v>
      </c>
      <c r="E2188" s="31" t="s">
        <v>730</v>
      </c>
      <c r="F2188" s="31" t="s">
        <v>731</v>
      </c>
      <c r="G2188" s="31" t="s">
        <v>977</v>
      </c>
      <c r="H2188" s="40" t="s">
        <v>978</v>
      </c>
      <c r="I2188" s="40" t="s">
        <v>3203</v>
      </c>
      <c r="J2188" s="40" t="s">
        <v>3204</v>
      </c>
      <c r="K2188" s="40" t="s">
        <v>591</v>
      </c>
      <c r="L2188" s="40" t="s">
        <v>644</v>
      </c>
      <c r="M2188" s="93">
        <v>2</v>
      </c>
      <c r="N2188" s="94">
        <v>26800</v>
      </c>
      <c r="O2188" s="94">
        <f>N2188*M2188</f>
        <v>53600</v>
      </c>
      <c r="P2188" s="40" t="s">
        <v>3116</v>
      </c>
      <c r="Q2188" s="40" t="s">
        <v>1051</v>
      </c>
      <c r="R2188" s="84">
        <v>156420100</v>
      </c>
      <c r="S2188" s="40">
        <v>100</v>
      </c>
    </row>
    <row r="2189" spans="1:19" s="92" customFormat="1" ht="63.75">
      <c r="A2189" s="5">
        <v>2174</v>
      </c>
      <c r="B2189" s="15" t="s">
        <v>710</v>
      </c>
      <c r="C2189" s="40" t="s">
        <v>711</v>
      </c>
      <c r="D2189" s="40" t="s">
        <v>744</v>
      </c>
      <c r="E2189" s="31" t="s">
        <v>745</v>
      </c>
      <c r="F2189" s="31" t="s">
        <v>109</v>
      </c>
      <c r="G2189" s="31" t="s">
        <v>746</v>
      </c>
      <c r="H2189" s="40" t="s">
        <v>3205</v>
      </c>
      <c r="I2189" s="40" t="s">
        <v>3206</v>
      </c>
      <c r="J2189" s="40" t="s">
        <v>3207</v>
      </c>
      <c r="K2189" s="40" t="s">
        <v>591</v>
      </c>
      <c r="L2189" s="40" t="s">
        <v>644</v>
      </c>
      <c r="M2189" s="93">
        <v>6</v>
      </c>
      <c r="N2189" s="94">
        <v>4000</v>
      </c>
      <c r="O2189" s="94">
        <f>M2189*N2189</f>
        <v>24000</v>
      </c>
      <c r="P2189" s="40" t="s">
        <v>3116</v>
      </c>
      <c r="Q2189" s="40" t="s">
        <v>1051</v>
      </c>
      <c r="R2189" s="84">
        <v>156420100</v>
      </c>
      <c r="S2189" s="40">
        <v>100</v>
      </c>
    </row>
    <row r="2190" spans="1:19" s="92" customFormat="1" ht="51">
      <c r="A2190" s="5">
        <v>2175</v>
      </c>
      <c r="B2190" s="15" t="s">
        <v>710</v>
      </c>
      <c r="C2190" s="40" t="s">
        <v>711</v>
      </c>
      <c r="D2190" s="98" t="s">
        <v>422</v>
      </c>
      <c r="E2190" s="76" t="s">
        <v>423</v>
      </c>
      <c r="F2190" s="76" t="s">
        <v>427</v>
      </c>
      <c r="G2190" s="76" t="s">
        <v>837</v>
      </c>
      <c r="H2190" s="76" t="s">
        <v>425</v>
      </c>
      <c r="I2190" s="76" t="s">
        <v>3208</v>
      </c>
      <c r="J2190" s="76" t="s">
        <v>3209</v>
      </c>
      <c r="K2190" s="76" t="s">
        <v>591</v>
      </c>
      <c r="L2190" s="11" t="s">
        <v>909</v>
      </c>
      <c r="M2190" s="53">
        <v>18</v>
      </c>
      <c r="N2190" s="94">
        <v>640</v>
      </c>
      <c r="O2190" s="94">
        <f>N2190*M2190</f>
        <v>11520</v>
      </c>
      <c r="P2190" s="40" t="s">
        <v>3116</v>
      </c>
      <c r="Q2190" s="40" t="s">
        <v>766</v>
      </c>
      <c r="R2190" s="84">
        <v>156420100</v>
      </c>
      <c r="S2190" s="40">
        <v>100</v>
      </c>
    </row>
    <row r="2191" spans="1:19" s="92" customFormat="1" ht="76.5">
      <c r="A2191" s="5">
        <v>2176</v>
      </c>
      <c r="B2191" s="15" t="s">
        <v>710</v>
      </c>
      <c r="C2191" s="40" t="s">
        <v>711</v>
      </c>
      <c r="D2191" s="40" t="s">
        <v>723</v>
      </c>
      <c r="E2191" s="31" t="s">
        <v>874</v>
      </c>
      <c r="F2191" s="31" t="s">
        <v>874</v>
      </c>
      <c r="G2191" s="31" t="s">
        <v>875</v>
      </c>
      <c r="H2191" s="40" t="s">
        <v>876</v>
      </c>
      <c r="I2191" s="40" t="s">
        <v>3210</v>
      </c>
      <c r="J2191" s="40" t="s">
        <v>3211</v>
      </c>
      <c r="K2191" s="40" t="s">
        <v>591</v>
      </c>
      <c r="L2191" s="40" t="s">
        <v>644</v>
      </c>
      <c r="M2191" s="93">
        <v>1</v>
      </c>
      <c r="N2191" s="94">
        <v>30000</v>
      </c>
      <c r="O2191" s="94">
        <f>N2191*M2191</f>
        <v>30000</v>
      </c>
      <c r="P2191" s="40" t="s">
        <v>3116</v>
      </c>
      <c r="Q2191" s="40" t="s">
        <v>1051</v>
      </c>
      <c r="R2191" s="84">
        <v>156420100</v>
      </c>
      <c r="S2191" s="40">
        <v>100</v>
      </c>
    </row>
    <row r="2192" spans="1:19" s="92" customFormat="1" ht="89.25">
      <c r="A2192" s="5">
        <v>2177</v>
      </c>
      <c r="B2192" s="15" t="s">
        <v>710</v>
      </c>
      <c r="C2192" s="40" t="s">
        <v>597</v>
      </c>
      <c r="D2192" s="40" t="s">
        <v>598</v>
      </c>
      <c r="E2192" s="31" t="s">
        <v>599</v>
      </c>
      <c r="F2192" s="31" t="s">
        <v>782</v>
      </c>
      <c r="G2192" s="31" t="s">
        <v>3195</v>
      </c>
      <c r="H2192" s="40" t="s">
        <v>602</v>
      </c>
      <c r="I2192" s="40" t="s">
        <v>3196</v>
      </c>
      <c r="J2192" s="40" t="s">
        <v>3197</v>
      </c>
      <c r="K2192" s="40" t="s">
        <v>591</v>
      </c>
      <c r="L2192" s="11" t="s">
        <v>914</v>
      </c>
      <c r="M2192" s="93">
        <v>1</v>
      </c>
      <c r="N2192" s="94">
        <v>624400</v>
      </c>
      <c r="O2192" s="94">
        <v>624400</v>
      </c>
      <c r="P2192" s="40" t="s">
        <v>502</v>
      </c>
      <c r="Q2192" s="40" t="s">
        <v>766</v>
      </c>
      <c r="R2192" s="84">
        <v>156830100</v>
      </c>
      <c r="S2192" s="40">
        <v>0</v>
      </c>
    </row>
    <row r="2193" spans="1:19" s="92" customFormat="1" ht="89.25">
      <c r="A2193" s="5">
        <v>2178</v>
      </c>
      <c r="B2193" s="15" t="s">
        <v>710</v>
      </c>
      <c r="C2193" s="40" t="s">
        <v>597</v>
      </c>
      <c r="D2193" s="40" t="s">
        <v>598</v>
      </c>
      <c r="E2193" s="31" t="s">
        <v>599</v>
      </c>
      <c r="F2193" s="31" t="s">
        <v>782</v>
      </c>
      <c r="G2193" s="31" t="s">
        <v>3195</v>
      </c>
      <c r="H2193" s="40" t="s">
        <v>602</v>
      </c>
      <c r="I2193" s="40" t="s">
        <v>3196</v>
      </c>
      <c r="J2193" s="40" t="s">
        <v>3197</v>
      </c>
      <c r="K2193" s="40" t="s">
        <v>591</v>
      </c>
      <c r="L2193" s="11" t="s">
        <v>914</v>
      </c>
      <c r="M2193" s="93">
        <v>1</v>
      </c>
      <c r="N2193" s="94">
        <v>624400</v>
      </c>
      <c r="O2193" s="94">
        <v>624400</v>
      </c>
      <c r="P2193" s="40" t="s">
        <v>502</v>
      </c>
      <c r="Q2193" s="40" t="s">
        <v>766</v>
      </c>
      <c r="R2193" s="84">
        <v>156830100</v>
      </c>
      <c r="S2193" s="40">
        <v>0</v>
      </c>
    </row>
    <row r="2194" spans="1:19" s="92" customFormat="1" ht="51">
      <c r="A2194" s="5">
        <v>2179</v>
      </c>
      <c r="B2194" s="15" t="s">
        <v>710</v>
      </c>
      <c r="C2194" s="40" t="s">
        <v>597</v>
      </c>
      <c r="D2194" s="11" t="s">
        <v>850</v>
      </c>
      <c r="E2194" s="76" t="s">
        <v>1736</v>
      </c>
      <c r="F2194" s="76" t="s">
        <v>851</v>
      </c>
      <c r="G2194" s="76" t="s">
        <v>1737</v>
      </c>
      <c r="H2194" s="76" t="s">
        <v>852</v>
      </c>
      <c r="I2194" s="76" t="s">
        <v>3199</v>
      </c>
      <c r="J2194" s="76" t="s">
        <v>3200</v>
      </c>
      <c r="K2194" s="40" t="s">
        <v>591</v>
      </c>
      <c r="L2194" s="11" t="s">
        <v>914</v>
      </c>
      <c r="M2194" s="97">
        <v>1</v>
      </c>
      <c r="N2194" s="94">
        <f>10000*5</f>
        <v>50000</v>
      </c>
      <c r="O2194" s="94">
        <f>N2194</f>
        <v>50000</v>
      </c>
      <c r="P2194" s="40" t="s">
        <v>698</v>
      </c>
      <c r="Q2194" s="40" t="s">
        <v>766</v>
      </c>
      <c r="R2194" s="84">
        <v>156830100</v>
      </c>
      <c r="S2194" s="40">
        <v>0</v>
      </c>
    </row>
    <row r="2195" spans="1:19" s="92" customFormat="1" ht="51">
      <c r="A2195" s="5">
        <v>2180</v>
      </c>
      <c r="B2195" s="15" t="s">
        <v>710</v>
      </c>
      <c r="C2195" s="40" t="s">
        <v>597</v>
      </c>
      <c r="D2195" s="40" t="s">
        <v>2594</v>
      </c>
      <c r="E2195" s="31" t="s">
        <v>2618</v>
      </c>
      <c r="F2195" s="31" t="s">
        <v>2595</v>
      </c>
      <c r="G2195" s="31" t="s">
        <v>2618</v>
      </c>
      <c r="H2195" s="40" t="s">
        <v>2595</v>
      </c>
      <c r="I2195" s="40" t="s">
        <v>3201</v>
      </c>
      <c r="J2195" s="40" t="s">
        <v>3202</v>
      </c>
      <c r="K2195" s="40" t="s">
        <v>591</v>
      </c>
      <c r="L2195" s="11" t="s">
        <v>914</v>
      </c>
      <c r="M2195" s="93">
        <v>1</v>
      </c>
      <c r="N2195" s="94">
        <f>10500*3</f>
        <v>31500</v>
      </c>
      <c r="O2195" s="94">
        <f>N2195</f>
        <v>31500</v>
      </c>
      <c r="P2195" s="40" t="s">
        <v>3116</v>
      </c>
      <c r="Q2195" s="40" t="s">
        <v>766</v>
      </c>
      <c r="R2195" s="84">
        <v>156830100</v>
      </c>
      <c r="S2195" s="40">
        <v>30</v>
      </c>
    </row>
    <row r="2196" spans="1:19" s="92" customFormat="1" ht="89.25">
      <c r="A2196" s="5">
        <v>2181</v>
      </c>
      <c r="B2196" s="15" t="s">
        <v>710</v>
      </c>
      <c r="C2196" s="40" t="s">
        <v>711</v>
      </c>
      <c r="D2196" s="40" t="s">
        <v>976</v>
      </c>
      <c r="E2196" s="31" t="s">
        <v>730</v>
      </c>
      <c r="F2196" s="31" t="s">
        <v>731</v>
      </c>
      <c r="G2196" s="31" t="s">
        <v>977</v>
      </c>
      <c r="H2196" s="40" t="s">
        <v>978</v>
      </c>
      <c r="I2196" s="40" t="s">
        <v>3203</v>
      </c>
      <c r="J2196" s="40" t="s">
        <v>3204</v>
      </c>
      <c r="K2196" s="40" t="s">
        <v>591</v>
      </c>
      <c r="L2196" s="40" t="s">
        <v>644</v>
      </c>
      <c r="M2196" s="93">
        <v>2</v>
      </c>
      <c r="N2196" s="94">
        <v>26800</v>
      </c>
      <c r="O2196" s="94">
        <f>N2196*M2196</f>
        <v>53600</v>
      </c>
      <c r="P2196" s="40" t="s">
        <v>3116</v>
      </c>
      <c r="Q2196" s="40" t="s">
        <v>1051</v>
      </c>
      <c r="R2196" s="84">
        <v>156830100</v>
      </c>
      <c r="S2196" s="40">
        <v>100</v>
      </c>
    </row>
    <row r="2197" spans="1:19" s="92" customFormat="1" ht="63.75">
      <c r="A2197" s="5">
        <v>2182</v>
      </c>
      <c r="B2197" s="15" t="s">
        <v>710</v>
      </c>
      <c r="C2197" s="40" t="s">
        <v>711</v>
      </c>
      <c r="D2197" s="40" t="s">
        <v>744</v>
      </c>
      <c r="E2197" s="31" t="s">
        <v>745</v>
      </c>
      <c r="F2197" s="31" t="s">
        <v>109</v>
      </c>
      <c r="G2197" s="31" t="s">
        <v>746</v>
      </c>
      <c r="H2197" s="40" t="s">
        <v>3205</v>
      </c>
      <c r="I2197" s="40" t="s">
        <v>3206</v>
      </c>
      <c r="J2197" s="40" t="s">
        <v>3207</v>
      </c>
      <c r="K2197" s="40" t="s">
        <v>591</v>
      </c>
      <c r="L2197" s="40" t="s">
        <v>644</v>
      </c>
      <c r="M2197" s="93">
        <v>6</v>
      </c>
      <c r="N2197" s="94">
        <v>4000</v>
      </c>
      <c r="O2197" s="94">
        <f>M2197*N2197</f>
        <v>24000</v>
      </c>
      <c r="P2197" s="40" t="s">
        <v>3116</v>
      </c>
      <c r="Q2197" s="40" t="s">
        <v>1051</v>
      </c>
      <c r="R2197" s="84">
        <v>156830100</v>
      </c>
      <c r="S2197" s="40">
        <v>100</v>
      </c>
    </row>
    <row r="2198" spans="1:19" s="92" customFormat="1" ht="51">
      <c r="A2198" s="5">
        <v>2183</v>
      </c>
      <c r="B2198" s="15" t="s">
        <v>710</v>
      </c>
      <c r="C2198" s="40" t="s">
        <v>711</v>
      </c>
      <c r="D2198" s="98" t="s">
        <v>422</v>
      </c>
      <c r="E2198" s="76" t="s">
        <v>423</v>
      </c>
      <c r="F2198" s="76" t="s">
        <v>427</v>
      </c>
      <c r="G2198" s="76" t="s">
        <v>837</v>
      </c>
      <c r="H2198" s="76" t="s">
        <v>425</v>
      </c>
      <c r="I2198" s="76" t="s">
        <v>3208</v>
      </c>
      <c r="J2198" s="76" t="s">
        <v>3209</v>
      </c>
      <c r="K2198" s="76" t="s">
        <v>591</v>
      </c>
      <c r="L2198" s="11" t="s">
        <v>909</v>
      </c>
      <c r="M2198" s="53">
        <v>18</v>
      </c>
      <c r="N2198" s="94">
        <v>640</v>
      </c>
      <c r="O2198" s="94">
        <f>N2198*M2198</f>
        <v>11520</v>
      </c>
      <c r="P2198" s="40" t="s">
        <v>3116</v>
      </c>
      <c r="Q2198" s="40" t="s">
        <v>766</v>
      </c>
      <c r="R2198" s="84">
        <v>156830100</v>
      </c>
      <c r="S2198" s="40">
        <v>100</v>
      </c>
    </row>
    <row r="2199" spans="1:19" s="92" customFormat="1" ht="76.5">
      <c r="A2199" s="5">
        <v>2184</v>
      </c>
      <c r="B2199" s="15" t="s">
        <v>710</v>
      </c>
      <c r="C2199" s="40" t="s">
        <v>711</v>
      </c>
      <c r="D2199" s="40" t="s">
        <v>723</v>
      </c>
      <c r="E2199" s="31" t="s">
        <v>874</v>
      </c>
      <c r="F2199" s="31" t="s">
        <v>874</v>
      </c>
      <c r="G2199" s="31" t="s">
        <v>875</v>
      </c>
      <c r="H2199" s="40" t="s">
        <v>876</v>
      </c>
      <c r="I2199" s="40" t="s">
        <v>3210</v>
      </c>
      <c r="J2199" s="40" t="s">
        <v>3211</v>
      </c>
      <c r="K2199" s="40" t="s">
        <v>591</v>
      </c>
      <c r="L2199" s="40" t="s">
        <v>644</v>
      </c>
      <c r="M2199" s="93">
        <v>1</v>
      </c>
      <c r="N2199" s="94">
        <v>30000</v>
      </c>
      <c r="O2199" s="94">
        <f>N2199*M2199</f>
        <v>30000</v>
      </c>
      <c r="P2199" s="40" t="s">
        <v>3116</v>
      </c>
      <c r="Q2199" s="40" t="s">
        <v>1051</v>
      </c>
      <c r="R2199" s="84">
        <v>156830100</v>
      </c>
      <c r="S2199" s="40">
        <v>100</v>
      </c>
    </row>
    <row r="2200" spans="1:19" s="92" customFormat="1" ht="89.25">
      <c r="A2200" s="5">
        <v>2185</v>
      </c>
      <c r="B2200" s="15" t="s">
        <v>710</v>
      </c>
      <c r="C2200" s="40" t="s">
        <v>597</v>
      </c>
      <c r="D2200" s="40" t="s">
        <v>598</v>
      </c>
      <c r="E2200" s="31" t="s">
        <v>599</v>
      </c>
      <c r="F2200" s="31" t="s">
        <v>782</v>
      </c>
      <c r="G2200" s="31" t="s">
        <v>3195</v>
      </c>
      <c r="H2200" s="40" t="s">
        <v>602</v>
      </c>
      <c r="I2200" s="40" t="s">
        <v>3196</v>
      </c>
      <c r="J2200" s="40" t="s">
        <v>3197</v>
      </c>
      <c r="K2200" s="40" t="s">
        <v>591</v>
      </c>
      <c r="L2200" s="11" t="s">
        <v>914</v>
      </c>
      <c r="M2200" s="93">
        <v>1</v>
      </c>
      <c r="N2200" s="94">
        <v>624400</v>
      </c>
      <c r="O2200" s="94">
        <v>624400</v>
      </c>
      <c r="P2200" s="40" t="s">
        <v>502</v>
      </c>
      <c r="Q2200" s="40" t="s">
        <v>766</v>
      </c>
      <c r="R2200" s="84">
        <v>154825100</v>
      </c>
      <c r="S2200" s="40">
        <v>0</v>
      </c>
    </row>
    <row r="2201" spans="1:19" s="92" customFormat="1" ht="51">
      <c r="A2201" s="5">
        <v>2186</v>
      </c>
      <c r="B2201" s="15" t="s">
        <v>710</v>
      </c>
      <c r="C2201" s="40" t="s">
        <v>597</v>
      </c>
      <c r="D2201" s="11" t="s">
        <v>850</v>
      </c>
      <c r="E2201" s="76" t="s">
        <v>1736</v>
      </c>
      <c r="F2201" s="76" t="s">
        <v>851</v>
      </c>
      <c r="G2201" s="76" t="s">
        <v>1737</v>
      </c>
      <c r="H2201" s="76" t="s">
        <v>852</v>
      </c>
      <c r="I2201" s="76" t="s">
        <v>3199</v>
      </c>
      <c r="J2201" s="76" t="s">
        <v>3200</v>
      </c>
      <c r="K2201" s="40" t="s">
        <v>591</v>
      </c>
      <c r="L2201" s="11" t="s">
        <v>914</v>
      </c>
      <c r="M2201" s="97">
        <v>1</v>
      </c>
      <c r="N2201" s="94">
        <f>10000*5</f>
        <v>50000</v>
      </c>
      <c r="O2201" s="94">
        <f>N2201</f>
        <v>50000</v>
      </c>
      <c r="P2201" s="40" t="s">
        <v>698</v>
      </c>
      <c r="Q2201" s="40" t="s">
        <v>766</v>
      </c>
      <c r="R2201" s="84">
        <v>154825100</v>
      </c>
      <c r="S2201" s="40">
        <v>0</v>
      </c>
    </row>
    <row r="2202" spans="1:19" s="92" customFormat="1" ht="51">
      <c r="A2202" s="5">
        <v>2187</v>
      </c>
      <c r="B2202" s="15" t="s">
        <v>710</v>
      </c>
      <c r="C2202" s="40" t="s">
        <v>597</v>
      </c>
      <c r="D2202" s="40" t="s">
        <v>2594</v>
      </c>
      <c r="E2202" s="31" t="s">
        <v>2618</v>
      </c>
      <c r="F2202" s="31" t="s">
        <v>2595</v>
      </c>
      <c r="G2202" s="31" t="s">
        <v>2618</v>
      </c>
      <c r="H2202" s="40" t="s">
        <v>2595</v>
      </c>
      <c r="I2202" s="40" t="s">
        <v>3201</v>
      </c>
      <c r="J2202" s="40" t="s">
        <v>3202</v>
      </c>
      <c r="K2202" s="40" t="s">
        <v>591</v>
      </c>
      <c r="L2202" s="11" t="s">
        <v>914</v>
      </c>
      <c r="M2202" s="93">
        <v>1</v>
      </c>
      <c r="N2202" s="94">
        <f>10500*3</f>
        <v>31500</v>
      </c>
      <c r="O2202" s="94">
        <f>N2202</f>
        <v>31500</v>
      </c>
      <c r="P2202" s="40" t="s">
        <v>3116</v>
      </c>
      <c r="Q2202" s="40" t="s">
        <v>766</v>
      </c>
      <c r="R2202" s="84">
        <v>154825100</v>
      </c>
      <c r="S2202" s="40">
        <v>30</v>
      </c>
    </row>
    <row r="2203" spans="1:19" s="92" customFormat="1" ht="89.25">
      <c r="A2203" s="5">
        <v>2188</v>
      </c>
      <c r="B2203" s="15" t="s">
        <v>710</v>
      </c>
      <c r="C2203" s="40" t="s">
        <v>711</v>
      </c>
      <c r="D2203" s="40" t="s">
        <v>976</v>
      </c>
      <c r="E2203" s="31" t="s">
        <v>730</v>
      </c>
      <c r="F2203" s="31" t="s">
        <v>731</v>
      </c>
      <c r="G2203" s="31" t="s">
        <v>977</v>
      </c>
      <c r="H2203" s="40" t="s">
        <v>978</v>
      </c>
      <c r="I2203" s="40" t="s">
        <v>3203</v>
      </c>
      <c r="J2203" s="40" t="s">
        <v>3204</v>
      </c>
      <c r="K2203" s="40" t="s">
        <v>591</v>
      </c>
      <c r="L2203" s="40" t="s">
        <v>644</v>
      </c>
      <c r="M2203" s="93">
        <v>1</v>
      </c>
      <c r="N2203" s="94">
        <v>26800</v>
      </c>
      <c r="O2203" s="94">
        <f>N2203*M2203</f>
        <v>26800</v>
      </c>
      <c r="P2203" s="40" t="s">
        <v>3116</v>
      </c>
      <c r="Q2203" s="40" t="s">
        <v>1051</v>
      </c>
      <c r="R2203" s="84">
        <v>154825100</v>
      </c>
      <c r="S2203" s="40">
        <v>100</v>
      </c>
    </row>
    <row r="2204" spans="1:19" s="92" customFormat="1" ht="63.75">
      <c r="A2204" s="5">
        <v>2189</v>
      </c>
      <c r="B2204" s="15" t="s">
        <v>710</v>
      </c>
      <c r="C2204" s="40" t="s">
        <v>711</v>
      </c>
      <c r="D2204" s="40" t="s">
        <v>744</v>
      </c>
      <c r="E2204" s="31" t="s">
        <v>745</v>
      </c>
      <c r="F2204" s="31" t="s">
        <v>109</v>
      </c>
      <c r="G2204" s="31" t="s">
        <v>746</v>
      </c>
      <c r="H2204" s="40" t="s">
        <v>3205</v>
      </c>
      <c r="I2204" s="40" t="s">
        <v>3206</v>
      </c>
      <c r="J2204" s="40" t="s">
        <v>3207</v>
      </c>
      <c r="K2204" s="40" t="s">
        <v>591</v>
      </c>
      <c r="L2204" s="40" t="s">
        <v>644</v>
      </c>
      <c r="M2204" s="93">
        <v>1</v>
      </c>
      <c r="N2204" s="94">
        <f>4000*3</f>
        <v>12000</v>
      </c>
      <c r="O2204" s="94">
        <f>M2204*N2204</f>
        <v>12000</v>
      </c>
      <c r="P2204" s="40" t="s">
        <v>3116</v>
      </c>
      <c r="Q2204" s="40" t="s">
        <v>1051</v>
      </c>
      <c r="R2204" s="84">
        <v>154825100</v>
      </c>
      <c r="S2204" s="40">
        <v>100</v>
      </c>
    </row>
    <row r="2205" spans="1:19" s="92" customFormat="1" ht="51">
      <c r="A2205" s="5">
        <v>2190</v>
      </c>
      <c r="B2205" s="15" t="s">
        <v>710</v>
      </c>
      <c r="C2205" s="40" t="s">
        <v>711</v>
      </c>
      <c r="D2205" s="98" t="s">
        <v>422</v>
      </c>
      <c r="E2205" s="76" t="s">
        <v>423</v>
      </c>
      <c r="F2205" s="76" t="s">
        <v>427</v>
      </c>
      <c r="G2205" s="76" t="s">
        <v>837</v>
      </c>
      <c r="H2205" s="76" t="s">
        <v>425</v>
      </c>
      <c r="I2205" s="76" t="s">
        <v>3208</v>
      </c>
      <c r="J2205" s="76" t="s">
        <v>3209</v>
      </c>
      <c r="K2205" s="76" t="s">
        <v>591</v>
      </c>
      <c r="L2205" s="11" t="s">
        <v>909</v>
      </c>
      <c r="M2205" s="53">
        <v>18</v>
      </c>
      <c r="N2205" s="94">
        <v>640</v>
      </c>
      <c r="O2205" s="94">
        <f>N2205*M2205</f>
        <v>11520</v>
      </c>
      <c r="P2205" s="40" t="s">
        <v>3116</v>
      </c>
      <c r="Q2205" s="40" t="s">
        <v>766</v>
      </c>
      <c r="R2205" s="84">
        <v>154825100</v>
      </c>
      <c r="S2205" s="40">
        <v>100</v>
      </c>
    </row>
    <row r="2206" spans="1:19" s="92" customFormat="1" ht="76.5">
      <c r="A2206" s="5">
        <v>2191</v>
      </c>
      <c r="B2206" s="15" t="s">
        <v>710</v>
      </c>
      <c r="C2206" s="40" t="s">
        <v>711</v>
      </c>
      <c r="D2206" s="40" t="s">
        <v>723</v>
      </c>
      <c r="E2206" s="31" t="s">
        <v>874</v>
      </c>
      <c r="F2206" s="31" t="s">
        <v>874</v>
      </c>
      <c r="G2206" s="31" t="s">
        <v>875</v>
      </c>
      <c r="H2206" s="40" t="s">
        <v>876</v>
      </c>
      <c r="I2206" s="40" t="s">
        <v>3210</v>
      </c>
      <c r="J2206" s="40" t="s">
        <v>3211</v>
      </c>
      <c r="K2206" s="40" t="s">
        <v>591</v>
      </c>
      <c r="L2206" s="40" t="s">
        <v>644</v>
      </c>
      <c r="M2206" s="93">
        <v>1</v>
      </c>
      <c r="N2206" s="94">
        <v>30000</v>
      </c>
      <c r="O2206" s="94">
        <f>N2206*M2206</f>
        <v>30000</v>
      </c>
      <c r="P2206" s="40" t="s">
        <v>3116</v>
      </c>
      <c r="Q2206" s="40" t="s">
        <v>1051</v>
      </c>
      <c r="R2206" s="84">
        <v>154825100</v>
      </c>
      <c r="S2206" s="40">
        <v>100</v>
      </c>
    </row>
    <row r="2207" spans="1:19" s="92" customFormat="1" ht="89.25">
      <c r="A2207" s="5">
        <v>2192</v>
      </c>
      <c r="B2207" s="15" t="s">
        <v>710</v>
      </c>
      <c r="C2207" s="40" t="s">
        <v>597</v>
      </c>
      <c r="D2207" s="40" t="s">
        <v>598</v>
      </c>
      <c r="E2207" s="31" t="s">
        <v>599</v>
      </c>
      <c r="F2207" s="31" t="s">
        <v>782</v>
      </c>
      <c r="G2207" s="31" t="s">
        <v>3195</v>
      </c>
      <c r="H2207" s="40" t="s">
        <v>602</v>
      </c>
      <c r="I2207" s="40" t="s">
        <v>3196</v>
      </c>
      <c r="J2207" s="40" t="s">
        <v>3197</v>
      </c>
      <c r="K2207" s="40" t="s">
        <v>591</v>
      </c>
      <c r="L2207" s="11" t="s">
        <v>914</v>
      </c>
      <c r="M2207" s="93">
        <v>1</v>
      </c>
      <c r="N2207" s="94">
        <v>624400</v>
      </c>
      <c r="O2207" s="94">
        <v>624400</v>
      </c>
      <c r="P2207" s="40" t="s">
        <v>502</v>
      </c>
      <c r="Q2207" s="40" t="s">
        <v>766</v>
      </c>
      <c r="R2207" s="84">
        <v>155621100</v>
      </c>
      <c r="S2207" s="40">
        <v>0</v>
      </c>
    </row>
    <row r="2208" spans="1:19" s="92" customFormat="1" ht="51">
      <c r="A2208" s="5">
        <v>2193</v>
      </c>
      <c r="B2208" s="15" t="s">
        <v>710</v>
      </c>
      <c r="C2208" s="40" t="s">
        <v>597</v>
      </c>
      <c r="D2208" s="11" t="s">
        <v>850</v>
      </c>
      <c r="E2208" s="76" t="s">
        <v>1736</v>
      </c>
      <c r="F2208" s="76" t="s">
        <v>851</v>
      </c>
      <c r="G2208" s="76" t="s">
        <v>1737</v>
      </c>
      <c r="H2208" s="76" t="s">
        <v>852</v>
      </c>
      <c r="I2208" s="76" t="s">
        <v>3199</v>
      </c>
      <c r="J2208" s="76" t="s">
        <v>3200</v>
      </c>
      <c r="K2208" s="40" t="s">
        <v>591</v>
      </c>
      <c r="L2208" s="11" t="s">
        <v>914</v>
      </c>
      <c r="M2208" s="97">
        <v>1</v>
      </c>
      <c r="N2208" s="94">
        <f>10000*5</f>
        <v>50000</v>
      </c>
      <c r="O2208" s="94">
        <f>N2208</f>
        <v>50000</v>
      </c>
      <c r="P2208" s="40" t="s">
        <v>698</v>
      </c>
      <c r="Q2208" s="40" t="s">
        <v>766</v>
      </c>
      <c r="R2208" s="84">
        <v>155621100</v>
      </c>
      <c r="S2208" s="40">
        <v>0</v>
      </c>
    </row>
    <row r="2209" spans="1:19" s="92" customFormat="1" ht="51">
      <c r="A2209" s="5">
        <v>2194</v>
      </c>
      <c r="B2209" s="15" t="s">
        <v>710</v>
      </c>
      <c r="C2209" s="40" t="s">
        <v>597</v>
      </c>
      <c r="D2209" s="40" t="s">
        <v>2594</v>
      </c>
      <c r="E2209" s="31" t="s">
        <v>2618</v>
      </c>
      <c r="F2209" s="31" t="s">
        <v>2595</v>
      </c>
      <c r="G2209" s="31" t="s">
        <v>2618</v>
      </c>
      <c r="H2209" s="40" t="s">
        <v>2595</v>
      </c>
      <c r="I2209" s="40" t="s">
        <v>3201</v>
      </c>
      <c r="J2209" s="40" t="s">
        <v>3202</v>
      </c>
      <c r="K2209" s="40" t="s">
        <v>591</v>
      </c>
      <c r="L2209" s="11" t="s">
        <v>914</v>
      </c>
      <c r="M2209" s="93">
        <v>1</v>
      </c>
      <c r="N2209" s="94">
        <f>10500*3</f>
        <v>31500</v>
      </c>
      <c r="O2209" s="94">
        <f>N2209</f>
        <v>31500</v>
      </c>
      <c r="P2209" s="40" t="s">
        <v>3116</v>
      </c>
      <c r="Q2209" s="40" t="s">
        <v>766</v>
      </c>
      <c r="R2209" s="84">
        <v>155621100</v>
      </c>
      <c r="S2209" s="40">
        <v>30</v>
      </c>
    </row>
    <row r="2210" spans="1:19" s="92" customFormat="1" ht="89.25">
      <c r="A2210" s="5">
        <v>2195</v>
      </c>
      <c r="B2210" s="15" t="s">
        <v>710</v>
      </c>
      <c r="C2210" s="40" t="s">
        <v>711</v>
      </c>
      <c r="D2210" s="40" t="s">
        <v>976</v>
      </c>
      <c r="E2210" s="31" t="s">
        <v>730</v>
      </c>
      <c r="F2210" s="31" t="s">
        <v>731</v>
      </c>
      <c r="G2210" s="31" t="s">
        <v>977</v>
      </c>
      <c r="H2210" s="40" t="s">
        <v>978</v>
      </c>
      <c r="I2210" s="40" t="s">
        <v>3203</v>
      </c>
      <c r="J2210" s="40" t="s">
        <v>3204</v>
      </c>
      <c r="K2210" s="40" t="s">
        <v>591</v>
      </c>
      <c r="L2210" s="40" t="s">
        <v>644</v>
      </c>
      <c r="M2210" s="93">
        <v>1</v>
      </c>
      <c r="N2210" s="94">
        <v>26800</v>
      </c>
      <c r="O2210" s="94">
        <f>N2210*M2210</f>
        <v>26800</v>
      </c>
      <c r="P2210" s="40" t="s">
        <v>3116</v>
      </c>
      <c r="Q2210" s="40" t="s">
        <v>1051</v>
      </c>
      <c r="R2210" s="84">
        <v>155621100</v>
      </c>
      <c r="S2210" s="40">
        <v>100</v>
      </c>
    </row>
    <row r="2211" spans="1:19" s="92" customFormat="1" ht="63.75">
      <c r="A2211" s="5">
        <v>2196</v>
      </c>
      <c r="B2211" s="15" t="s">
        <v>710</v>
      </c>
      <c r="C2211" s="40" t="s">
        <v>711</v>
      </c>
      <c r="D2211" s="40" t="s">
        <v>744</v>
      </c>
      <c r="E2211" s="31" t="s">
        <v>745</v>
      </c>
      <c r="F2211" s="31" t="s">
        <v>109</v>
      </c>
      <c r="G2211" s="31" t="s">
        <v>746</v>
      </c>
      <c r="H2211" s="40" t="s">
        <v>3205</v>
      </c>
      <c r="I2211" s="40" t="s">
        <v>3206</v>
      </c>
      <c r="J2211" s="40" t="s">
        <v>3207</v>
      </c>
      <c r="K2211" s="40" t="s">
        <v>591</v>
      </c>
      <c r="L2211" s="40" t="s">
        <v>644</v>
      </c>
      <c r="M2211" s="93">
        <v>1</v>
      </c>
      <c r="N2211" s="94">
        <f>4000*3</f>
        <v>12000</v>
      </c>
      <c r="O2211" s="94">
        <f>M2211*N2211</f>
        <v>12000</v>
      </c>
      <c r="P2211" s="40" t="s">
        <v>3116</v>
      </c>
      <c r="Q2211" s="40" t="s">
        <v>1051</v>
      </c>
      <c r="R2211" s="84">
        <v>155621100</v>
      </c>
      <c r="S2211" s="40">
        <v>100</v>
      </c>
    </row>
    <row r="2212" spans="1:19" s="92" customFormat="1" ht="51">
      <c r="A2212" s="5">
        <v>2197</v>
      </c>
      <c r="B2212" s="15" t="s">
        <v>710</v>
      </c>
      <c r="C2212" s="40" t="s">
        <v>711</v>
      </c>
      <c r="D2212" s="98" t="s">
        <v>422</v>
      </c>
      <c r="E2212" s="76" t="s">
        <v>423</v>
      </c>
      <c r="F2212" s="76" t="s">
        <v>427</v>
      </c>
      <c r="G2212" s="76" t="s">
        <v>837</v>
      </c>
      <c r="H2212" s="76" t="s">
        <v>425</v>
      </c>
      <c r="I2212" s="76" t="s">
        <v>3208</v>
      </c>
      <c r="J2212" s="76" t="s">
        <v>3209</v>
      </c>
      <c r="K2212" s="76" t="s">
        <v>591</v>
      </c>
      <c r="L2212" s="11" t="s">
        <v>909</v>
      </c>
      <c r="M2212" s="53">
        <v>18</v>
      </c>
      <c r="N2212" s="94">
        <v>640</v>
      </c>
      <c r="O2212" s="94">
        <f>N2212*M2212</f>
        <v>11520</v>
      </c>
      <c r="P2212" s="40" t="s">
        <v>3116</v>
      </c>
      <c r="Q2212" s="40" t="s">
        <v>766</v>
      </c>
      <c r="R2212" s="84">
        <v>155621100</v>
      </c>
      <c r="S2212" s="40">
        <v>100</v>
      </c>
    </row>
    <row r="2213" spans="1:19" s="92" customFormat="1" ht="76.5">
      <c r="A2213" s="5">
        <v>2198</v>
      </c>
      <c r="B2213" s="15" t="s">
        <v>710</v>
      </c>
      <c r="C2213" s="40" t="s">
        <v>711</v>
      </c>
      <c r="D2213" s="40" t="s">
        <v>723</v>
      </c>
      <c r="E2213" s="31" t="s">
        <v>874</v>
      </c>
      <c r="F2213" s="31" t="s">
        <v>874</v>
      </c>
      <c r="G2213" s="31" t="s">
        <v>875</v>
      </c>
      <c r="H2213" s="40" t="s">
        <v>876</v>
      </c>
      <c r="I2213" s="40" t="s">
        <v>3210</v>
      </c>
      <c r="J2213" s="40" t="s">
        <v>3211</v>
      </c>
      <c r="K2213" s="40" t="s">
        <v>591</v>
      </c>
      <c r="L2213" s="40" t="s">
        <v>644</v>
      </c>
      <c r="M2213" s="93">
        <v>1</v>
      </c>
      <c r="N2213" s="94">
        <v>30000</v>
      </c>
      <c r="O2213" s="94">
        <f>N2213*M2213</f>
        <v>30000</v>
      </c>
      <c r="P2213" s="40" t="s">
        <v>3116</v>
      </c>
      <c r="Q2213" s="40" t="s">
        <v>1051</v>
      </c>
      <c r="R2213" s="84">
        <v>155621100</v>
      </c>
      <c r="S2213" s="40">
        <v>100</v>
      </c>
    </row>
    <row r="2214" spans="1:19" s="92" customFormat="1" ht="89.25">
      <c r="A2214" s="5">
        <v>2199</v>
      </c>
      <c r="B2214" s="15" t="s">
        <v>710</v>
      </c>
      <c r="C2214" s="40" t="s">
        <v>597</v>
      </c>
      <c r="D2214" s="40" t="s">
        <v>598</v>
      </c>
      <c r="E2214" s="31" t="s">
        <v>599</v>
      </c>
      <c r="F2214" s="31" t="s">
        <v>782</v>
      </c>
      <c r="G2214" s="31" t="s">
        <v>3195</v>
      </c>
      <c r="H2214" s="40" t="s">
        <v>602</v>
      </c>
      <c r="I2214" s="40" t="s">
        <v>3196</v>
      </c>
      <c r="J2214" s="40" t="s">
        <v>3197</v>
      </c>
      <c r="K2214" s="40" t="s">
        <v>591</v>
      </c>
      <c r="L2214" s="11" t="s">
        <v>914</v>
      </c>
      <c r="M2214" s="93">
        <v>1</v>
      </c>
      <c r="N2214" s="94">
        <v>624400</v>
      </c>
      <c r="O2214" s="94">
        <v>624400</v>
      </c>
      <c r="P2214" s="40" t="s">
        <v>502</v>
      </c>
      <c r="Q2214" s="40" t="s">
        <v>766</v>
      </c>
      <c r="R2214" s="84">
        <v>154823100</v>
      </c>
      <c r="S2214" s="40">
        <v>0</v>
      </c>
    </row>
    <row r="2215" spans="1:19" s="92" customFormat="1" ht="89.25">
      <c r="A2215" s="5">
        <v>2200</v>
      </c>
      <c r="B2215" s="15" t="s">
        <v>710</v>
      </c>
      <c r="C2215" s="40" t="s">
        <v>597</v>
      </c>
      <c r="D2215" s="40" t="s">
        <v>598</v>
      </c>
      <c r="E2215" s="31" t="s">
        <v>599</v>
      </c>
      <c r="F2215" s="31" t="s">
        <v>782</v>
      </c>
      <c r="G2215" s="31" t="s">
        <v>3195</v>
      </c>
      <c r="H2215" s="40" t="s">
        <v>602</v>
      </c>
      <c r="I2215" s="40" t="s">
        <v>3196</v>
      </c>
      <c r="J2215" s="40" t="s">
        <v>3197</v>
      </c>
      <c r="K2215" s="40" t="s">
        <v>591</v>
      </c>
      <c r="L2215" s="11" t="s">
        <v>914</v>
      </c>
      <c r="M2215" s="93">
        <v>1</v>
      </c>
      <c r="N2215" s="94">
        <v>624400</v>
      </c>
      <c r="O2215" s="94">
        <v>624400</v>
      </c>
      <c r="P2215" s="40" t="s">
        <v>502</v>
      </c>
      <c r="Q2215" s="40" t="s">
        <v>766</v>
      </c>
      <c r="R2215" s="84">
        <v>154823100</v>
      </c>
      <c r="S2215" s="40">
        <v>0</v>
      </c>
    </row>
    <row r="2216" spans="1:19" s="92" customFormat="1" ht="51">
      <c r="A2216" s="5">
        <v>2201</v>
      </c>
      <c r="B2216" s="15" t="s">
        <v>710</v>
      </c>
      <c r="C2216" s="40" t="s">
        <v>597</v>
      </c>
      <c r="D2216" s="11" t="s">
        <v>850</v>
      </c>
      <c r="E2216" s="76" t="s">
        <v>1736</v>
      </c>
      <c r="F2216" s="76" t="s">
        <v>851</v>
      </c>
      <c r="G2216" s="76" t="s">
        <v>1737</v>
      </c>
      <c r="H2216" s="76" t="s">
        <v>852</v>
      </c>
      <c r="I2216" s="76" t="s">
        <v>3199</v>
      </c>
      <c r="J2216" s="76" t="s">
        <v>3200</v>
      </c>
      <c r="K2216" s="40" t="s">
        <v>591</v>
      </c>
      <c r="L2216" s="11" t="s">
        <v>914</v>
      </c>
      <c r="M2216" s="97">
        <v>1</v>
      </c>
      <c r="N2216" s="94">
        <f>10000*5</f>
        <v>50000</v>
      </c>
      <c r="O2216" s="94">
        <f>N2216</f>
        <v>50000</v>
      </c>
      <c r="P2216" s="40" t="s">
        <v>698</v>
      </c>
      <c r="Q2216" s="40" t="s">
        <v>766</v>
      </c>
      <c r="R2216" s="84">
        <v>154823100</v>
      </c>
      <c r="S2216" s="40">
        <v>0</v>
      </c>
    </row>
    <row r="2217" spans="1:19" s="92" customFormat="1" ht="51">
      <c r="A2217" s="5">
        <v>2202</v>
      </c>
      <c r="B2217" s="15" t="s">
        <v>710</v>
      </c>
      <c r="C2217" s="40" t="s">
        <v>597</v>
      </c>
      <c r="D2217" s="40" t="s">
        <v>2594</v>
      </c>
      <c r="E2217" s="31" t="s">
        <v>2618</v>
      </c>
      <c r="F2217" s="31" t="s">
        <v>2595</v>
      </c>
      <c r="G2217" s="31" t="s">
        <v>2618</v>
      </c>
      <c r="H2217" s="40" t="s">
        <v>2595</v>
      </c>
      <c r="I2217" s="40" t="s">
        <v>3201</v>
      </c>
      <c r="J2217" s="40" t="s">
        <v>3202</v>
      </c>
      <c r="K2217" s="40" t="s">
        <v>591</v>
      </c>
      <c r="L2217" s="11" t="s">
        <v>914</v>
      </c>
      <c r="M2217" s="93">
        <v>1</v>
      </c>
      <c r="N2217" s="94">
        <f>10500*3</f>
        <v>31500</v>
      </c>
      <c r="O2217" s="94">
        <f>N2217</f>
        <v>31500</v>
      </c>
      <c r="P2217" s="40" t="s">
        <v>3116</v>
      </c>
      <c r="Q2217" s="40" t="s">
        <v>766</v>
      </c>
      <c r="R2217" s="84">
        <v>154823100</v>
      </c>
      <c r="S2217" s="40">
        <v>30</v>
      </c>
    </row>
    <row r="2218" spans="1:19" s="92" customFormat="1" ht="89.25">
      <c r="A2218" s="5">
        <v>2203</v>
      </c>
      <c r="B2218" s="15" t="s">
        <v>710</v>
      </c>
      <c r="C2218" s="40" t="s">
        <v>711</v>
      </c>
      <c r="D2218" s="40" t="s">
        <v>976</v>
      </c>
      <c r="E2218" s="31" t="s">
        <v>730</v>
      </c>
      <c r="F2218" s="31" t="s">
        <v>731</v>
      </c>
      <c r="G2218" s="31" t="s">
        <v>977</v>
      </c>
      <c r="H2218" s="40" t="s">
        <v>978</v>
      </c>
      <c r="I2218" s="40" t="s">
        <v>3203</v>
      </c>
      <c r="J2218" s="40" t="s">
        <v>3204</v>
      </c>
      <c r="K2218" s="40" t="s">
        <v>591</v>
      </c>
      <c r="L2218" s="40" t="s">
        <v>644</v>
      </c>
      <c r="M2218" s="93">
        <v>2</v>
      </c>
      <c r="N2218" s="94">
        <v>26800</v>
      </c>
      <c r="O2218" s="94">
        <f>N2218*M2218</f>
        <v>53600</v>
      </c>
      <c r="P2218" s="40" t="s">
        <v>3116</v>
      </c>
      <c r="Q2218" s="40" t="s">
        <v>1051</v>
      </c>
      <c r="R2218" s="84">
        <v>154823100</v>
      </c>
      <c r="S2218" s="40">
        <v>100</v>
      </c>
    </row>
    <row r="2219" spans="1:19" s="92" customFormat="1" ht="63.75">
      <c r="A2219" s="5">
        <v>2204</v>
      </c>
      <c r="B2219" s="15" t="s">
        <v>710</v>
      </c>
      <c r="C2219" s="40" t="s">
        <v>711</v>
      </c>
      <c r="D2219" s="40" t="s">
        <v>744</v>
      </c>
      <c r="E2219" s="31" t="s">
        <v>745</v>
      </c>
      <c r="F2219" s="31" t="s">
        <v>109</v>
      </c>
      <c r="G2219" s="31" t="s">
        <v>746</v>
      </c>
      <c r="H2219" s="40" t="s">
        <v>3205</v>
      </c>
      <c r="I2219" s="40" t="s">
        <v>3206</v>
      </c>
      <c r="J2219" s="40" t="s">
        <v>3207</v>
      </c>
      <c r="K2219" s="40" t="s">
        <v>591</v>
      </c>
      <c r="L2219" s="40" t="s">
        <v>644</v>
      </c>
      <c r="M2219" s="93">
        <v>6</v>
      </c>
      <c r="N2219" s="94">
        <v>4000</v>
      </c>
      <c r="O2219" s="94">
        <f>M2219*N2219</f>
        <v>24000</v>
      </c>
      <c r="P2219" s="40" t="s">
        <v>3116</v>
      </c>
      <c r="Q2219" s="40" t="s">
        <v>1051</v>
      </c>
      <c r="R2219" s="84">
        <v>154823100</v>
      </c>
      <c r="S2219" s="40">
        <v>100</v>
      </c>
    </row>
    <row r="2220" spans="1:19" s="92" customFormat="1" ht="51">
      <c r="A2220" s="5">
        <v>2205</v>
      </c>
      <c r="B2220" s="15" t="s">
        <v>710</v>
      </c>
      <c r="C2220" s="40" t="s">
        <v>711</v>
      </c>
      <c r="D2220" s="98" t="s">
        <v>422</v>
      </c>
      <c r="E2220" s="76" t="s">
        <v>423</v>
      </c>
      <c r="F2220" s="76" t="s">
        <v>427</v>
      </c>
      <c r="G2220" s="76" t="s">
        <v>837</v>
      </c>
      <c r="H2220" s="76" t="s">
        <v>425</v>
      </c>
      <c r="I2220" s="76" t="s">
        <v>3208</v>
      </c>
      <c r="J2220" s="76" t="s">
        <v>3209</v>
      </c>
      <c r="K2220" s="76" t="s">
        <v>591</v>
      </c>
      <c r="L2220" s="11" t="s">
        <v>909</v>
      </c>
      <c r="M2220" s="53">
        <v>18</v>
      </c>
      <c r="N2220" s="94">
        <v>640</v>
      </c>
      <c r="O2220" s="94">
        <f>N2220*M2220</f>
        <v>11520</v>
      </c>
      <c r="P2220" s="40" t="s">
        <v>3116</v>
      </c>
      <c r="Q2220" s="40" t="s">
        <v>766</v>
      </c>
      <c r="R2220" s="84">
        <v>154823100</v>
      </c>
      <c r="S2220" s="40">
        <v>100</v>
      </c>
    </row>
    <row r="2221" spans="1:19" s="92" customFormat="1" ht="76.5">
      <c r="A2221" s="5">
        <v>2206</v>
      </c>
      <c r="B2221" s="15" t="s">
        <v>710</v>
      </c>
      <c r="C2221" s="40" t="s">
        <v>711</v>
      </c>
      <c r="D2221" s="40" t="s">
        <v>723</v>
      </c>
      <c r="E2221" s="31" t="s">
        <v>874</v>
      </c>
      <c r="F2221" s="31" t="s">
        <v>874</v>
      </c>
      <c r="G2221" s="31" t="s">
        <v>875</v>
      </c>
      <c r="H2221" s="40" t="s">
        <v>876</v>
      </c>
      <c r="I2221" s="40" t="s">
        <v>3210</v>
      </c>
      <c r="J2221" s="40" t="s">
        <v>3211</v>
      </c>
      <c r="K2221" s="40" t="s">
        <v>591</v>
      </c>
      <c r="L2221" s="40" t="s">
        <v>644</v>
      </c>
      <c r="M2221" s="93">
        <v>1</v>
      </c>
      <c r="N2221" s="94">
        <v>30000</v>
      </c>
      <c r="O2221" s="94">
        <f>N2221*M2221</f>
        <v>30000</v>
      </c>
      <c r="P2221" s="40" t="s">
        <v>3116</v>
      </c>
      <c r="Q2221" s="40" t="s">
        <v>1051</v>
      </c>
      <c r="R2221" s="84">
        <v>154823100</v>
      </c>
      <c r="S2221" s="40">
        <v>100</v>
      </c>
    </row>
    <row r="2222" spans="1:19" s="92" customFormat="1" ht="51">
      <c r="A2222" s="5">
        <v>2207</v>
      </c>
      <c r="B2222" s="15" t="s">
        <v>710</v>
      </c>
      <c r="C2222" s="40" t="s">
        <v>597</v>
      </c>
      <c r="D2222" s="40" t="s">
        <v>3128</v>
      </c>
      <c r="E2222" s="31" t="s">
        <v>2620</v>
      </c>
      <c r="F2222" s="31" t="s">
        <v>1304</v>
      </c>
      <c r="G2222" s="31" t="s">
        <v>3129</v>
      </c>
      <c r="H2222" s="40" t="s">
        <v>3130</v>
      </c>
      <c r="I2222" s="40" t="s">
        <v>3131</v>
      </c>
      <c r="J2222" s="40" t="s">
        <v>3132</v>
      </c>
      <c r="K2222" s="40" t="s">
        <v>591</v>
      </c>
      <c r="L2222" s="11" t="s">
        <v>914</v>
      </c>
      <c r="M2222" s="93">
        <v>1</v>
      </c>
      <c r="N2222" s="94">
        <f>59000*17</f>
        <v>1003000</v>
      </c>
      <c r="O2222" s="94">
        <f>N2222*M2222</f>
        <v>1003000</v>
      </c>
      <c r="P2222" s="40" t="s">
        <v>3116</v>
      </c>
      <c r="Q2222" s="40" t="s">
        <v>766</v>
      </c>
      <c r="R2222" s="84">
        <v>191010000</v>
      </c>
      <c r="S2222" s="40">
        <v>50</v>
      </c>
    </row>
    <row r="2223" spans="1:19" s="92" customFormat="1" ht="76.5">
      <c r="A2223" s="5">
        <v>2208</v>
      </c>
      <c r="B2223" s="15" t="s">
        <v>710</v>
      </c>
      <c r="C2223" s="40" t="s">
        <v>3117</v>
      </c>
      <c r="D2223" s="40" t="s">
        <v>532</v>
      </c>
      <c r="E2223" s="31" t="s">
        <v>3133</v>
      </c>
      <c r="F2223" s="31" t="s">
        <v>534</v>
      </c>
      <c r="G2223" s="31" t="s">
        <v>3133</v>
      </c>
      <c r="H2223" s="31" t="s">
        <v>534</v>
      </c>
      <c r="I2223" s="40" t="s">
        <v>3134</v>
      </c>
      <c r="J2223" s="40" t="s">
        <v>3135</v>
      </c>
      <c r="K2223" s="40" t="s">
        <v>591</v>
      </c>
      <c r="L2223" s="11" t="s">
        <v>914</v>
      </c>
      <c r="M2223" s="93">
        <v>1</v>
      </c>
      <c r="N2223" s="94">
        <f>17*30000</f>
        <v>510000</v>
      </c>
      <c r="O2223" s="94">
        <f>N2223*M2223</f>
        <v>510000</v>
      </c>
      <c r="P2223" s="40" t="s">
        <v>3116</v>
      </c>
      <c r="Q2223" s="40" t="s">
        <v>1051</v>
      </c>
      <c r="R2223" s="84">
        <v>191010000</v>
      </c>
      <c r="S2223" s="40">
        <v>50</v>
      </c>
    </row>
    <row r="2224" spans="1:19" s="92" customFormat="1" ht="51">
      <c r="A2224" s="5">
        <v>2209</v>
      </c>
      <c r="B2224" s="15" t="s">
        <v>710</v>
      </c>
      <c r="C2224" s="40" t="s">
        <v>2433</v>
      </c>
      <c r="D2224" s="40" t="s">
        <v>3136</v>
      </c>
      <c r="E2224" s="40" t="s">
        <v>466</v>
      </c>
      <c r="F2224" s="40" t="s">
        <v>25</v>
      </c>
      <c r="G2224" s="40" t="s">
        <v>3212</v>
      </c>
      <c r="H2224" s="40" t="s">
        <v>467</v>
      </c>
      <c r="I2224" s="40" t="s">
        <v>3137</v>
      </c>
      <c r="J2224" s="40" t="s">
        <v>3138</v>
      </c>
      <c r="K2224" s="40" t="s">
        <v>591</v>
      </c>
      <c r="L2224" s="95" t="s">
        <v>644</v>
      </c>
      <c r="M2224" s="93">
        <f>34*5</f>
        <v>170</v>
      </c>
      <c r="N2224" s="94">
        <v>40</v>
      </c>
      <c r="O2224" s="94">
        <f>N2224*M2224</f>
        <v>6800</v>
      </c>
      <c r="P2224" s="40" t="s">
        <v>3139</v>
      </c>
      <c r="Q2224" s="40" t="s">
        <v>766</v>
      </c>
      <c r="R2224" s="84">
        <v>191010000</v>
      </c>
      <c r="S2224" s="40">
        <v>0</v>
      </c>
    </row>
    <row r="2225" spans="1:19" s="92" customFormat="1" ht="51">
      <c r="A2225" s="5">
        <v>2210</v>
      </c>
      <c r="B2225" s="15" t="s">
        <v>710</v>
      </c>
      <c r="C2225" s="40" t="s">
        <v>2433</v>
      </c>
      <c r="D2225" s="40" t="s">
        <v>3140</v>
      </c>
      <c r="E2225" s="40" t="s">
        <v>3141</v>
      </c>
      <c r="F2225" s="40" t="s">
        <v>3142</v>
      </c>
      <c r="G2225" s="40" t="s">
        <v>3213</v>
      </c>
      <c r="H2225" s="40" t="s">
        <v>3214</v>
      </c>
      <c r="I2225" s="40" t="s">
        <v>3143</v>
      </c>
      <c r="J2225" s="40" t="s">
        <v>3144</v>
      </c>
      <c r="K2225" s="40" t="s">
        <v>591</v>
      </c>
      <c r="L2225" s="95" t="s">
        <v>644</v>
      </c>
      <c r="M2225" s="93">
        <f>34*2</f>
        <v>68</v>
      </c>
      <c r="N2225" s="94">
        <v>170</v>
      </c>
      <c r="O2225" s="94">
        <f t="shared" ref="O2225:O2242" si="60">N2225*M2225</f>
        <v>11560</v>
      </c>
      <c r="P2225" s="40" t="s">
        <v>3139</v>
      </c>
      <c r="Q2225" s="40" t="s">
        <v>766</v>
      </c>
      <c r="R2225" s="84">
        <v>191010000</v>
      </c>
      <c r="S2225" s="40">
        <v>0</v>
      </c>
    </row>
    <row r="2226" spans="1:19" s="92" customFormat="1" ht="51">
      <c r="A2226" s="5">
        <v>2211</v>
      </c>
      <c r="B2226" s="15" t="s">
        <v>710</v>
      </c>
      <c r="C2226" s="40" t="s">
        <v>2433</v>
      </c>
      <c r="D2226" s="40" t="s">
        <v>452</v>
      </c>
      <c r="E2226" s="40" t="s">
        <v>453</v>
      </c>
      <c r="F2226" s="40" t="s">
        <v>454</v>
      </c>
      <c r="G2226" s="40" t="s">
        <v>455</v>
      </c>
      <c r="H2226" s="40" t="s">
        <v>456</v>
      </c>
      <c r="I2226" s="40" t="s">
        <v>3145</v>
      </c>
      <c r="J2226" s="40" t="s">
        <v>3146</v>
      </c>
      <c r="K2226" s="40" t="s">
        <v>591</v>
      </c>
      <c r="L2226" s="95" t="s">
        <v>480</v>
      </c>
      <c r="M2226" s="93">
        <f>34*5</f>
        <v>170</v>
      </c>
      <c r="N2226" s="94">
        <v>155</v>
      </c>
      <c r="O2226" s="94">
        <f t="shared" si="60"/>
        <v>26350</v>
      </c>
      <c r="P2226" s="40" t="s">
        <v>3139</v>
      </c>
      <c r="Q2226" s="40" t="s">
        <v>766</v>
      </c>
      <c r="R2226" s="84">
        <v>191010000</v>
      </c>
      <c r="S2226" s="40">
        <v>0</v>
      </c>
    </row>
    <row r="2227" spans="1:19" s="92" customFormat="1" ht="51">
      <c r="A2227" s="5">
        <v>2212</v>
      </c>
      <c r="B2227" s="15" t="s">
        <v>710</v>
      </c>
      <c r="C2227" s="40" t="s">
        <v>2433</v>
      </c>
      <c r="D2227" s="40" t="s">
        <v>452</v>
      </c>
      <c r="E2227" s="40" t="s">
        <v>453</v>
      </c>
      <c r="F2227" s="40" t="s">
        <v>454</v>
      </c>
      <c r="G2227" s="40" t="s">
        <v>455</v>
      </c>
      <c r="H2227" s="40" t="s">
        <v>456</v>
      </c>
      <c r="I2227" s="40" t="s">
        <v>3147</v>
      </c>
      <c r="J2227" s="40" t="s">
        <v>3148</v>
      </c>
      <c r="K2227" s="40" t="s">
        <v>591</v>
      </c>
      <c r="L2227" s="95" t="s">
        <v>480</v>
      </c>
      <c r="M2227" s="93">
        <f>34*5</f>
        <v>170</v>
      </c>
      <c r="N2227" s="94">
        <v>200</v>
      </c>
      <c r="O2227" s="94">
        <f t="shared" si="60"/>
        <v>34000</v>
      </c>
      <c r="P2227" s="40" t="s">
        <v>3139</v>
      </c>
      <c r="Q2227" s="40" t="s">
        <v>766</v>
      </c>
      <c r="R2227" s="84">
        <v>191010000</v>
      </c>
      <c r="S2227" s="40">
        <v>0</v>
      </c>
    </row>
    <row r="2228" spans="1:19" s="92" customFormat="1" ht="51">
      <c r="A2228" s="5">
        <v>2213</v>
      </c>
      <c r="B2228" s="15" t="s">
        <v>710</v>
      </c>
      <c r="C2228" s="40" t="s">
        <v>2433</v>
      </c>
      <c r="D2228" s="40" t="s">
        <v>432</v>
      </c>
      <c r="E2228" s="40" t="s">
        <v>433</v>
      </c>
      <c r="F2228" s="40" t="s">
        <v>434</v>
      </c>
      <c r="G2228" s="40" t="s">
        <v>435</v>
      </c>
      <c r="H2228" s="40" t="s">
        <v>436</v>
      </c>
      <c r="I2228" s="40" t="s">
        <v>3149</v>
      </c>
      <c r="J2228" s="40" t="s">
        <v>3150</v>
      </c>
      <c r="K2228" s="40" t="s">
        <v>591</v>
      </c>
      <c r="L2228" s="95" t="s">
        <v>644</v>
      </c>
      <c r="M2228" s="93">
        <f>34*5</f>
        <v>170</v>
      </c>
      <c r="N2228" s="94">
        <v>250</v>
      </c>
      <c r="O2228" s="94">
        <f t="shared" si="60"/>
        <v>42500</v>
      </c>
      <c r="P2228" s="40" t="s">
        <v>3139</v>
      </c>
      <c r="Q2228" s="40" t="s">
        <v>766</v>
      </c>
      <c r="R2228" s="84">
        <v>191010000</v>
      </c>
      <c r="S2228" s="40">
        <v>0</v>
      </c>
    </row>
    <row r="2229" spans="1:19" s="92" customFormat="1" ht="51">
      <c r="A2229" s="5">
        <v>2214</v>
      </c>
      <c r="B2229" s="15" t="s">
        <v>710</v>
      </c>
      <c r="C2229" s="40" t="s">
        <v>2433</v>
      </c>
      <c r="D2229" s="40" t="s">
        <v>447</v>
      </c>
      <c r="E2229" s="40" t="s">
        <v>24</v>
      </c>
      <c r="F2229" s="40" t="s">
        <v>24</v>
      </c>
      <c r="G2229" s="40" t="s">
        <v>3215</v>
      </c>
      <c r="H2229" s="40" t="s">
        <v>448</v>
      </c>
      <c r="I2229" s="40" t="s">
        <v>3151</v>
      </c>
      <c r="J2229" s="40" t="s">
        <v>3152</v>
      </c>
      <c r="K2229" s="40" t="s">
        <v>591</v>
      </c>
      <c r="L2229" s="95" t="s">
        <v>644</v>
      </c>
      <c r="M2229" s="93">
        <f>34*3</f>
        <v>102</v>
      </c>
      <c r="N2229" s="94">
        <v>250</v>
      </c>
      <c r="O2229" s="94">
        <f t="shared" si="60"/>
        <v>25500</v>
      </c>
      <c r="P2229" s="40" t="s">
        <v>3139</v>
      </c>
      <c r="Q2229" s="40" t="s">
        <v>766</v>
      </c>
      <c r="R2229" s="84">
        <v>191010000</v>
      </c>
      <c r="S2229" s="40">
        <v>0</v>
      </c>
    </row>
    <row r="2230" spans="1:19" s="92" customFormat="1" ht="51">
      <c r="A2230" s="5">
        <v>2215</v>
      </c>
      <c r="B2230" s="15" t="s">
        <v>710</v>
      </c>
      <c r="C2230" s="40" t="s">
        <v>2433</v>
      </c>
      <c r="D2230" s="40" t="s">
        <v>449</v>
      </c>
      <c r="E2230" s="40" t="s">
        <v>450</v>
      </c>
      <c r="F2230" s="40" t="s">
        <v>450</v>
      </c>
      <c r="G2230" s="40" t="s">
        <v>3216</v>
      </c>
      <c r="H2230" s="40" t="s">
        <v>451</v>
      </c>
      <c r="I2230" s="40" t="s">
        <v>3153</v>
      </c>
      <c r="J2230" s="40" t="s">
        <v>3154</v>
      </c>
      <c r="K2230" s="40" t="s">
        <v>591</v>
      </c>
      <c r="L2230" s="95" t="s">
        <v>480</v>
      </c>
      <c r="M2230" s="93">
        <f>34*3</f>
        <v>102</v>
      </c>
      <c r="N2230" s="94">
        <v>250</v>
      </c>
      <c r="O2230" s="94">
        <f t="shared" si="60"/>
        <v>25500</v>
      </c>
      <c r="P2230" s="40" t="s">
        <v>3139</v>
      </c>
      <c r="Q2230" s="40" t="s">
        <v>766</v>
      </c>
      <c r="R2230" s="84">
        <v>191010000</v>
      </c>
      <c r="S2230" s="40">
        <v>0</v>
      </c>
    </row>
    <row r="2231" spans="1:19" s="92" customFormat="1" ht="51">
      <c r="A2231" s="5">
        <v>2216</v>
      </c>
      <c r="B2231" s="15" t="s">
        <v>710</v>
      </c>
      <c r="C2231" s="40" t="s">
        <v>2433</v>
      </c>
      <c r="D2231" s="40" t="s">
        <v>3155</v>
      </c>
      <c r="E2231" s="40" t="s">
        <v>3156</v>
      </c>
      <c r="F2231" s="40" t="s">
        <v>3157</v>
      </c>
      <c r="G2231" s="40" t="s">
        <v>3217</v>
      </c>
      <c r="H2231" s="40" t="s">
        <v>3218</v>
      </c>
      <c r="I2231" s="40" t="s">
        <v>3158</v>
      </c>
      <c r="J2231" s="40" t="s">
        <v>3159</v>
      </c>
      <c r="K2231" s="40" t="s">
        <v>591</v>
      </c>
      <c r="L2231" s="95" t="s">
        <v>644</v>
      </c>
      <c r="M2231" s="93">
        <f>34*2</f>
        <v>68</v>
      </c>
      <c r="N2231" s="94">
        <v>150</v>
      </c>
      <c r="O2231" s="94">
        <f t="shared" si="60"/>
        <v>10200</v>
      </c>
      <c r="P2231" s="40" t="s">
        <v>3139</v>
      </c>
      <c r="Q2231" s="40" t="s">
        <v>766</v>
      </c>
      <c r="R2231" s="84">
        <v>191010000</v>
      </c>
      <c r="S2231" s="40">
        <v>0</v>
      </c>
    </row>
    <row r="2232" spans="1:19" s="92" customFormat="1" ht="51">
      <c r="A2232" s="5">
        <v>2217</v>
      </c>
      <c r="B2232" s="15" t="s">
        <v>710</v>
      </c>
      <c r="C2232" s="40" t="s">
        <v>2433</v>
      </c>
      <c r="D2232" s="40" t="s">
        <v>437</v>
      </c>
      <c r="E2232" s="40" t="s">
        <v>20</v>
      </c>
      <c r="F2232" s="40" t="s">
        <v>20</v>
      </c>
      <c r="G2232" s="40" t="s">
        <v>438</v>
      </c>
      <c r="H2232" s="40" t="s">
        <v>439</v>
      </c>
      <c r="I2232" s="40" t="s">
        <v>3160</v>
      </c>
      <c r="J2232" s="40" t="s">
        <v>3161</v>
      </c>
      <c r="K2232" s="40" t="s">
        <v>591</v>
      </c>
      <c r="L2232" s="95" t="s">
        <v>644</v>
      </c>
      <c r="M2232" s="93">
        <f>34*5</f>
        <v>170</v>
      </c>
      <c r="N2232" s="94">
        <v>100</v>
      </c>
      <c r="O2232" s="94">
        <f t="shared" si="60"/>
        <v>17000</v>
      </c>
      <c r="P2232" s="40" t="s">
        <v>3139</v>
      </c>
      <c r="Q2232" s="40" t="s">
        <v>766</v>
      </c>
      <c r="R2232" s="84">
        <v>191010000</v>
      </c>
      <c r="S2232" s="40">
        <v>0</v>
      </c>
    </row>
    <row r="2233" spans="1:19" s="92" customFormat="1" ht="51">
      <c r="A2233" s="5">
        <v>2218</v>
      </c>
      <c r="B2233" s="15" t="s">
        <v>710</v>
      </c>
      <c r="C2233" s="40" t="s">
        <v>2433</v>
      </c>
      <c r="D2233" s="40" t="s">
        <v>3162</v>
      </c>
      <c r="E2233" s="40" t="s">
        <v>3163</v>
      </c>
      <c r="F2233" s="40" t="s">
        <v>3164</v>
      </c>
      <c r="G2233" s="31" t="s">
        <v>3219</v>
      </c>
      <c r="H2233" s="40" t="s">
        <v>3220</v>
      </c>
      <c r="I2233" s="40" t="s">
        <v>3165</v>
      </c>
      <c r="J2233" s="40" t="s">
        <v>3166</v>
      </c>
      <c r="K2233" s="40" t="s">
        <v>591</v>
      </c>
      <c r="L2233" s="95" t="s">
        <v>480</v>
      </c>
      <c r="M2233" s="93">
        <f>34*5</f>
        <v>170</v>
      </c>
      <c r="N2233" s="94">
        <v>500</v>
      </c>
      <c r="O2233" s="94">
        <f t="shared" si="60"/>
        <v>85000</v>
      </c>
      <c r="P2233" s="40" t="s">
        <v>3139</v>
      </c>
      <c r="Q2233" s="40" t="s">
        <v>766</v>
      </c>
      <c r="R2233" s="84">
        <v>191010000</v>
      </c>
      <c r="S2233" s="40">
        <v>0</v>
      </c>
    </row>
    <row r="2234" spans="1:19" s="92" customFormat="1" ht="51">
      <c r="A2234" s="5">
        <v>2219</v>
      </c>
      <c r="B2234" s="15" t="s">
        <v>710</v>
      </c>
      <c r="C2234" s="40" t="s">
        <v>2433</v>
      </c>
      <c r="D2234" s="40" t="s">
        <v>440</v>
      </c>
      <c r="E2234" s="40" t="s">
        <v>21</v>
      </c>
      <c r="F2234" s="40" t="s">
        <v>21</v>
      </c>
      <c r="G2234" s="31" t="s">
        <v>441</v>
      </c>
      <c r="H2234" s="40" t="s">
        <v>442</v>
      </c>
      <c r="I2234" s="40" t="s">
        <v>3167</v>
      </c>
      <c r="J2234" s="40" t="s">
        <v>3168</v>
      </c>
      <c r="K2234" s="40" t="s">
        <v>591</v>
      </c>
      <c r="L2234" s="95" t="s">
        <v>644</v>
      </c>
      <c r="M2234" s="93">
        <f t="shared" ref="M2234:M2239" si="61">34*1</f>
        <v>34</v>
      </c>
      <c r="N2234" s="94">
        <v>1500</v>
      </c>
      <c r="O2234" s="94">
        <f t="shared" si="60"/>
        <v>51000</v>
      </c>
      <c r="P2234" s="40" t="s">
        <v>3139</v>
      </c>
      <c r="Q2234" s="40" t="s">
        <v>766</v>
      </c>
      <c r="R2234" s="84">
        <v>191010000</v>
      </c>
      <c r="S2234" s="40">
        <v>0</v>
      </c>
    </row>
    <row r="2235" spans="1:19" s="92" customFormat="1" ht="127.5">
      <c r="A2235" s="5">
        <v>2220</v>
      </c>
      <c r="B2235" s="15" t="s">
        <v>710</v>
      </c>
      <c r="C2235" s="40" t="s">
        <v>2433</v>
      </c>
      <c r="D2235" s="40" t="s">
        <v>470</v>
      </c>
      <c r="E2235" s="40" t="s">
        <v>27</v>
      </c>
      <c r="F2235" s="40" t="s">
        <v>27</v>
      </c>
      <c r="G2235" s="31" t="s">
        <v>471</v>
      </c>
      <c r="H2235" s="40" t="s">
        <v>472</v>
      </c>
      <c r="I2235" s="40" t="s">
        <v>3169</v>
      </c>
      <c r="J2235" s="40" t="s">
        <v>3170</v>
      </c>
      <c r="K2235" s="40" t="s">
        <v>591</v>
      </c>
      <c r="L2235" s="95" t="s">
        <v>644</v>
      </c>
      <c r="M2235" s="93">
        <f t="shared" si="61"/>
        <v>34</v>
      </c>
      <c r="N2235" s="94">
        <v>3500</v>
      </c>
      <c r="O2235" s="94">
        <f t="shared" si="60"/>
        <v>119000</v>
      </c>
      <c r="P2235" s="40" t="s">
        <v>3139</v>
      </c>
      <c r="Q2235" s="40" t="s">
        <v>766</v>
      </c>
      <c r="R2235" s="84">
        <v>191010000</v>
      </c>
      <c r="S2235" s="40">
        <v>0</v>
      </c>
    </row>
    <row r="2236" spans="1:19" s="92" customFormat="1" ht="76.5">
      <c r="A2236" s="5">
        <v>2221</v>
      </c>
      <c r="B2236" s="15" t="s">
        <v>710</v>
      </c>
      <c r="C2236" s="40" t="s">
        <v>2433</v>
      </c>
      <c r="D2236" s="40" t="s">
        <v>3171</v>
      </c>
      <c r="E2236" s="40" t="s">
        <v>3172</v>
      </c>
      <c r="F2236" s="40" t="s">
        <v>3172</v>
      </c>
      <c r="G2236" s="40" t="s">
        <v>3173</v>
      </c>
      <c r="H2236" s="40" t="s">
        <v>3174</v>
      </c>
      <c r="I2236" s="40" t="s">
        <v>3175</v>
      </c>
      <c r="J2236" s="40" t="s">
        <v>3176</v>
      </c>
      <c r="K2236" s="40" t="s">
        <v>591</v>
      </c>
      <c r="L2236" s="95" t="s">
        <v>644</v>
      </c>
      <c r="M2236" s="93">
        <f t="shared" si="61"/>
        <v>34</v>
      </c>
      <c r="N2236" s="94">
        <v>150</v>
      </c>
      <c r="O2236" s="94">
        <f t="shared" si="60"/>
        <v>5100</v>
      </c>
      <c r="P2236" s="40" t="s">
        <v>3139</v>
      </c>
      <c r="Q2236" s="40" t="s">
        <v>766</v>
      </c>
      <c r="R2236" s="84">
        <v>191010000</v>
      </c>
      <c r="S2236" s="40">
        <v>0</v>
      </c>
    </row>
    <row r="2237" spans="1:19" s="92" customFormat="1" ht="51">
      <c r="A2237" s="5">
        <v>2222</v>
      </c>
      <c r="B2237" s="15" t="s">
        <v>710</v>
      </c>
      <c r="C2237" s="40" t="s">
        <v>2433</v>
      </c>
      <c r="D2237" s="40" t="s">
        <v>457</v>
      </c>
      <c r="E2237" s="40" t="s">
        <v>17</v>
      </c>
      <c r="F2237" s="40" t="s">
        <v>17</v>
      </c>
      <c r="G2237" s="40" t="s">
        <v>3177</v>
      </c>
      <c r="H2237" s="40" t="s">
        <v>458</v>
      </c>
      <c r="I2237" s="40" t="s">
        <v>3178</v>
      </c>
      <c r="J2237" s="40" t="s">
        <v>3179</v>
      </c>
      <c r="K2237" s="40" t="s">
        <v>591</v>
      </c>
      <c r="L2237" s="95" t="s">
        <v>644</v>
      </c>
      <c r="M2237" s="93">
        <f t="shared" si="61"/>
        <v>34</v>
      </c>
      <c r="N2237" s="94">
        <v>600</v>
      </c>
      <c r="O2237" s="94">
        <f t="shared" si="60"/>
        <v>20400</v>
      </c>
      <c r="P2237" s="40" t="s">
        <v>3139</v>
      </c>
      <c r="Q2237" s="40" t="s">
        <v>766</v>
      </c>
      <c r="R2237" s="84">
        <v>191010000</v>
      </c>
      <c r="S2237" s="40">
        <v>0</v>
      </c>
    </row>
    <row r="2238" spans="1:19" s="92" customFormat="1" ht="51">
      <c r="A2238" s="5">
        <v>2223</v>
      </c>
      <c r="B2238" s="15" t="s">
        <v>710</v>
      </c>
      <c r="C2238" s="40" t="s">
        <v>2433</v>
      </c>
      <c r="D2238" s="40" t="s">
        <v>457</v>
      </c>
      <c r="E2238" s="40" t="s">
        <v>17</v>
      </c>
      <c r="F2238" s="40" t="s">
        <v>17</v>
      </c>
      <c r="G2238" s="40" t="s">
        <v>3177</v>
      </c>
      <c r="H2238" s="40" t="s">
        <v>458</v>
      </c>
      <c r="I2238" s="40" t="s">
        <v>3180</v>
      </c>
      <c r="J2238" s="40" t="s">
        <v>3181</v>
      </c>
      <c r="K2238" s="40" t="s">
        <v>591</v>
      </c>
      <c r="L2238" s="95" t="s">
        <v>644</v>
      </c>
      <c r="M2238" s="93">
        <f t="shared" si="61"/>
        <v>34</v>
      </c>
      <c r="N2238" s="94">
        <v>800</v>
      </c>
      <c r="O2238" s="94">
        <f t="shared" si="60"/>
        <v>27200</v>
      </c>
      <c r="P2238" s="40" t="s">
        <v>3139</v>
      </c>
      <c r="Q2238" s="40" t="s">
        <v>766</v>
      </c>
      <c r="R2238" s="84">
        <v>191010000</v>
      </c>
      <c r="S2238" s="40">
        <v>0</v>
      </c>
    </row>
    <row r="2239" spans="1:19" s="92" customFormat="1" ht="51">
      <c r="A2239" s="5">
        <v>2224</v>
      </c>
      <c r="B2239" s="15" t="s">
        <v>710</v>
      </c>
      <c r="C2239" s="40" t="s">
        <v>2433</v>
      </c>
      <c r="D2239" s="40" t="s">
        <v>476</v>
      </c>
      <c r="E2239" s="40" t="s">
        <v>477</v>
      </c>
      <c r="F2239" s="40" t="s">
        <v>28</v>
      </c>
      <c r="G2239" s="40" t="s">
        <v>478</v>
      </c>
      <c r="H2239" s="40" t="s">
        <v>479</v>
      </c>
      <c r="I2239" s="40" t="s">
        <v>3182</v>
      </c>
      <c r="J2239" s="40" t="s">
        <v>3183</v>
      </c>
      <c r="K2239" s="40" t="s">
        <v>591</v>
      </c>
      <c r="L2239" s="95" t="s">
        <v>644</v>
      </c>
      <c r="M2239" s="93">
        <f t="shared" si="61"/>
        <v>34</v>
      </c>
      <c r="N2239" s="94">
        <v>1500</v>
      </c>
      <c r="O2239" s="94">
        <f t="shared" si="60"/>
        <v>51000</v>
      </c>
      <c r="P2239" s="40" t="s">
        <v>3139</v>
      </c>
      <c r="Q2239" s="40" t="s">
        <v>766</v>
      </c>
      <c r="R2239" s="84">
        <v>191010000</v>
      </c>
      <c r="S2239" s="40">
        <v>0</v>
      </c>
    </row>
    <row r="2240" spans="1:19" s="92" customFormat="1" ht="51">
      <c r="A2240" s="5">
        <v>2225</v>
      </c>
      <c r="B2240" s="15" t="s">
        <v>710</v>
      </c>
      <c r="C2240" s="40" t="s">
        <v>2433</v>
      </c>
      <c r="D2240" s="40" t="s">
        <v>468</v>
      </c>
      <c r="E2240" s="40" t="s">
        <v>3184</v>
      </c>
      <c r="F2240" s="40" t="s">
        <v>26</v>
      </c>
      <c r="G2240" s="40" t="s">
        <v>3185</v>
      </c>
      <c r="H2240" s="40" t="s">
        <v>469</v>
      </c>
      <c r="I2240" s="40" t="s">
        <v>3186</v>
      </c>
      <c r="J2240" s="40" t="s">
        <v>3187</v>
      </c>
      <c r="K2240" s="40" t="s">
        <v>591</v>
      </c>
      <c r="L2240" s="95" t="s">
        <v>644</v>
      </c>
      <c r="M2240" s="93">
        <f>34*5</f>
        <v>170</v>
      </c>
      <c r="N2240" s="94">
        <v>250</v>
      </c>
      <c r="O2240" s="94">
        <f t="shared" si="60"/>
        <v>42500</v>
      </c>
      <c r="P2240" s="40" t="s">
        <v>3139</v>
      </c>
      <c r="Q2240" s="40" t="s">
        <v>766</v>
      </c>
      <c r="R2240" s="84">
        <v>191010000</v>
      </c>
      <c r="S2240" s="40">
        <v>0</v>
      </c>
    </row>
    <row r="2241" spans="1:19" s="92" customFormat="1" ht="51">
      <c r="A2241" s="5">
        <v>2226</v>
      </c>
      <c r="B2241" s="15" t="s">
        <v>710</v>
      </c>
      <c r="C2241" s="40" t="s">
        <v>2433</v>
      </c>
      <c r="D2241" s="40" t="s">
        <v>443</v>
      </c>
      <c r="E2241" s="40" t="s">
        <v>444</v>
      </c>
      <c r="F2241" s="40" t="s">
        <v>444</v>
      </c>
      <c r="G2241" s="40" t="s">
        <v>445</v>
      </c>
      <c r="H2241" s="40" t="s">
        <v>446</v>
      </c>
      <c r="I2241" s="40" t="s">
        <v>3188</v>
      </c>
      <c r="J2241" s="40" t="s">
        <v>3189</v>
      </c>
      <c r="K2241" s="40" t="s">
        <v>591</v>
      </c>
      <c r="L2241" s="95" t="s">
        <v>644</v>
      </c>
      <c r="M2241" s="93">
        <f>34*5</f>
        <v>170</v>
      </c>
      <c r="N2241" s="94">
        <v>500</v>
      </c>
      <c r="O2241" s="94">
        <f t="shared" si="60"/>
        <v>85000</v>
      </c>
      <c r="P2241" s="40" t="s">
        <v>3139</v>
      </c>
      <c r="Q2241" s="40" t="s">
        <v>766</v>
      </c>
      <c r="R2241" s="84">
        <v>191010000</v>
      </c>
      <c r="S2241" s="40">
        <v>0</v>
      </c>
    </row>
    <row r="2242" spans="1:19" s="92" customFormat="1" ht="51">
      <c r="A2242" s="5">
        <v>2227</v>
      </c>
      <c r="B2242" s="15" t="s">
        <v>710</v>
      </c>
      <c r="C2242" s="40" t="s">
        <v>711</v>
      </c>
      <c r="D2242" s="40" t="s">
        <v>3190</v>
      </c>
      <c r="E2242" s="31" t="s">
        <v>3191</v>
      </c>
      <c r="F2242" s="31" t="s">
        <v>3192</v>
      </c>
      <c r="G2242" s="40" t="s">
        <v>3264</v>
      </c>
      <c r="H2242" s="40" t="s">
        <v>3264</v>
      </c>
      <c r="I2242" s="31" t="s">
        <v>3193</v>
      </c>
      <c r="J2242" s="31" t="s">
        <v>3194</v>
      </c>
      <c r="K2242" s="40" t="s">
        <v>591</v>
      </c>
      <c r="L2242" s="95" t="s">
        <v>644</v>
      </c>
      <c r="M2242" s="93">
        <f>34*1</f>
        <v>34</v>
      </c>
      <c r="N2242" s="94">
        <v>1200</v>
      </c>
      <c r="O2242" s="94">
        <f t="shared" si="60"/>
        <v>40800</v>
      </c>
      <c r="P2242" s="40" t="s">
        <v>3139</v>
      </c>
      <c r="Q2242" s="40" t="s">
        <v>766</v>
      </c>
      <c r="R2242" s="84">
        <v>191010000</v>
      </c>
      <c r="S2242" s="40">
        <v>0</v>
      </c>
    </row>
    <row r="2243" spans="1:19" s="92" customFormat="1" ht="89.25">
      <c r="A2243" s="5">
        <v>2228</v>
      </c>
      <c r="B2243" s="15" t="s">
        <v>710</v>
      </c>
      <c r="C2243" s="40" t="s">
        <v>597</v>
      </c>
      <c r="D2243" s="40" t="s">
        <v>598</v>
      </c>
      <c r="E2243" s="31" t="s">
        <v>599</v>
      </c>
      <c r="F2243" s="31" t="s">
        <v>782</v>
      </c>
      <c r="G2243" s="31" t="s">
        <v>3195</v>
      </c>
      <c r="H2243" s="40" t="s">
        <v>602</v>
      </c>
      <c r="I2243" s="40" t="s">
        <v>3196</v>
      </c>
      <c r="J2243" s="40" t="s">
        <v>3197</v>
      </c>
      <c r="K2243" s="40" t="s">
        <v>591</v>
      </c>
      <c r="L2243" s="11" t="s">
        <v>914</v>
      </c>
      <c r="M2243" s="93">
        <v>1</v>
      </c>
      <c r="N2243" s="94">
        <v>624400</v>
      </c>
      <c r="O2243" s="94">
        <v>624400</v>
      </c>
      <c r="P2243" s="40" t="s">
        <v>502</v>
      </c>
      <c r="Q2243" s="40" t="s">
        <v>766</v>
      </c>
      <c r="R2243" s="84">
        <v>193420100</v>
      </c>
      <c r="S2243" s="40">
        <v>0</v>
      </c>
    </row>
    <row r="2244" spans="1:19" s="92" customFormat="1" ht="89.25">
      <c r="A2244" s="5">
        <v>2229</v>
      </c>
      <c r="B2244" s="15" t="s">
        <v>710</v>
      </c>
      <c r="C2244" s="40" t="s">
        <v>597</v>
      </c>
      <c r="D2244" s="40" t="s">
        <v>598</v>
      </c>
      <c r="E2244" s="31" t="s">
        <v>599</v>
      </c>
      <c r="F2244" s="31" t="s">
        <v>782</v>
      </c>
      <c r="G2244" s="31" t="s">
        <v>3195</v>
      </c>
      <c r="H2244" s="40" t="s">
        <v>602</v>
      </c>
      <c r="I2244" s="40" t="s">
        <v>3196</v>
      </c>
      <c r="J2244" s="40" t="s">
        <v>3197</v>
      </c>
      <c r="K2244" s="40" t="s">
        <v>591</v>
      </c>
      <c r="L2244" s="11" t="s">
        <v>914</v>
      </c>
      <c r="M2244" s="93">
        <v>1</v>
      </c>
      <c r="N2244" s="94">
        <v>624400</v>
      </c>
      <c r="O2244" s="94">
        <v>624400</v>
      </c>
      <c r="P2244" s="40" t="s">
        <v>502</v>
      </c>
      <c r="Q2244" s="40" t="s">
        <v>766</v>
      </c>
      <c r="R2244" s="84">
        <v>193420100</v>
      </c>
      <c r="S2244" s="40">
        <v>0</v>
      </c>
    </row>
    <row r="2245" spans="1:19" s="92" customFormat="1" ht="51">
      <c r="A2245" s="5">
        <v>2230</v>
      </c>
      <c r="B2245" s="15" t="s">
        <v>710</v>
      </c>
      <c r="C2245" s="40" t="s">
        <v>597</v>
      </c>
      <c r="D2245" s="11" t="s">
        <v>850</v>
      </c>
      <c r="E2245" s="76" t="s">
        <v>1736</v>
      </c>
      <c r="F2245" s="76" t="s">
        <v>851</v>
      </c>
      <c r="G2245" s="76" t="s">
        <v>1737</v>
      </c>
      <c r="H2245" s="76" t="s">
        <v>852</v>
      </c>
      <c r="I2245" s="76" t="s">
        <v>3199</v>
      </c>
      <c r="J2245" s="76" t="s">
        <v>3200</v>
      </c>
      <c r="K2245" s="40" t="s">
        <v>591</v>
      </c>
      <c r="L2245" s="11" t="s">
        <v>914</v>
      </c>
      <c r="M2245" s="97">
        <v>1</v>
      </c>
      <c r="N2245" s="94">
        <f>10000*5</f>
        <v>50000</v>
      </c>
      <c r="O2245" s="94">
        <f>N2245</f>
        <v>50000</v>
      </c>
      <c r="P2245" s="40" t="s">
        <v>698</v>
      </c>
      <c r="Q2245" s="40" t="s">
        <v>766</v>
      </c>
      <c r="R2245" s="84">
        <v>193420100</v>
      </c>
      <c r="S2245" s="40">
        <v>0</v>
      </c>
    </row>
    <row r="2246" spans="1:19" s="92" customFormat="1" ht="51">
      <c r="A2246" s="5">
        <v>2231</v>
      </c>
      <c r="B2246" s="15" t="s">
        <v>710</v>
      </c>
      <c r="C2246" s="40" t="s">
        <v>597</v>
      </c>
      <c r="D2246" s="40" t="s">
        <v>2594</v>
      </c>
      <c r="E2246" s="31" t="s">
        <v>2618</v>
      </c>
      <c r="F2246" s="31" t="s">
        <v>2595</v>
      </c>
      <c r="G2246" s="31" t="s">
        <v>2618</v>
      </c>
      <c r="H2246" s="40" t="s">
        <v>2595</v>
      </c>
      <c r="I2246" s="40" t="s">
        <v>3201</v>
      </c>
      <c r="J2246" s="40" t="s">
        <v>3202</v>
      </c>
      <c r="K2246" s="40" t="s">
        <v>591</v>
      </c>
      <c r="L2246" s="11" t="s">
        <v>914</v>
      </c>
      <c r="M2246" s="93">
        <v>1</v>
      </c>
      <c r="N2246" s="94">
        <f>10500*3</f>
        <v>31500</v>
      </c>
      <c r="O2246" s="94">
        <f>N2246</f>
        <v>31500</v>
      </c>
      <c r="P2246" s="40" t="s">
        <v>3116</v>
      </c>
      <c r="Q2246" s="40" t="s">
        <v>766</v>
      </c>
      <c r="R2246" s="84">
        <v>193420100</v>
      </c>
      <c r="S2246" s="40">
        <v>30</v>
      </c>
    </row>
    <row r="2247" spans="1:19" s="92" customFormat="1" ht="89.25">
      <c r="A2247" s="5">
        <v>2232</v>
      </c>
      <c r="B2247" s="15" t="s">
        <v>710</v>
      </c>
      <c r="C2247" s="40" t="s">
        <v>711</v>
      </c>
      <c r="D2247" s="40" t="s">
        <v>976</v>
      </c>
      <c r="E2247" s="31" t="s">
        <v>730</v>
      </c>
      <c r="F2247" s="31" t="s">
        <v>731</v>
      </c>
      <c r="G2247" s="31" t="s">
        <v>977</v>
      </c>
      <c r="H2247" s="40" t="s">
        <v>978</v>
      </c>
      <c r="I2247" s="40" t="s">
        <v>3203</v>
      </c>
      <c r="J2247" s="40" t="s">
        <v>3204</v>
      </c>
      <c r="K2247" s="40" t="s">
        <v>591</v>
      </c>
      <c r="L2247" s="40" t="s">
        <v>644</v>
      </c>
      <c r="M2247" s="93">
        <v>2</v>
      </c>
      <c r="N2247" s="94">
        <v>26800</v>
      </c>
      <c r="O2247" s="94">
        <f>N2247*M2247</f>
        <v>53600</v>
      </c>
      <c r="P2247" s="40" t="s">
        <v>3116</v>
      </c>
      <c r="Q2247" s="40" t="s">
        <v>1051</v>
      </c>
      <c r="R2247" s="84">
        <v>193420100</v>
      </c>
      <c r="S2247" s="40">
        <v>100</v>
      </c>
    </row>
    <row r="2248" spans="1:19" s="92" customFormat="1" ht="63.75">
      <c r="A2248" s="5">
        <v>2233</v>
      </c>
      <c r="B2248" s="15" t="s">
        <v>710</v>
      </c>
      <c r="C2248" s="40" t="s">
        <v>711</v>
      </c>
      <c r="D2248" s="40" t="s">
        <v>744</v>
      </c>
      <c r="E2248" s="31" t="s">
        <v>745</v>
      </c>
      <c r="F2248" s="31" t="s">
        <v>109</v>
      </c>
      <c r="G2248" s="31" t="s">
        <v>746</v>
      </c>
      <c r="H2248" s="40" t="s">
        <v>3205</v>
      </c>
      <c r="I2248" s="40" t="s">
        <v>3206</v>
      </c>
      <c r="J2248" s="40" t="s">
        <v>3207</v>
      </c>
      <c r="K2248" s="40" t="s">
        <v>591</v>
      </c>
      <c r="L2248" s="40" t="s">
        <v>644</v>
      </c>
      <c r="M2248" s="93">
        <v>6</v>
      </c>
      <c r="N2248" s="94">
        <v>4000</v>
      </c>
      <c r="O2248" s="94">
        <f>M2248*N2248</f>
        <v>24000</v>
      </c>
      <c r="P2248" s="40" t="s">
        <v>3116</v>
      </c>
      <c r="Q2248" s="40" t="s">
        <v>1051</v>
      </c>
      <c r="R2248" s="84">
        <v>193420100</v>
      </c>
      <c r="S2248" s="40">
        <v>100</v>
      </c>
    </row>
    <row r="2249" spans="1:19" s="92" customFormat="1" ht="51">
      <c r="A2249" s="5">
        <v>2234</v>
      </c>
      <c r="B2249" s="15" t="s">
        <v>710</v>
      </c>
      <c r="C2249" s="40" t="s">
        <v>711</v>
      </c>
      <c r="D2249" s="98" t="s">
        <v>422</v>
      </c>
      <c r="E2249" s="76" t="s">
        <v>423</v>
      </c>
      <c r="F2249" s="76" t="s">
        <v>427</v>
      </c>
      <c r="G2249" s="76" t="s">
        <v>837</v>
      </c>
      <c r="H2249" s="76" t="s">
        <v>425</v>
      </c>
      <c r="I2249" s="76" t="s">
        <v>3208</v>
      </c>
      <c r="J2249" s="76" t="s">
        <v>3209</v>
      </c>
      <c r="K2249" s="76" t="s">
        <v>591</v>
      </c>
      <c r="L2249" s="11" t="s">
        <v>909</v>
      </c>
      <c r="M2249" s="53">
        <v>18</v>
      </c>
      <c r="N2249" s="94">
        <v>640</v>
      </c>
      <c r="O2249" s="94">
        <f>N2249*M2249</f>
        <v>11520</v>
      </c>
      <c r="P2249" s="40" t="s">
        <v>3116</v>
      </c>
      <c r="Q2249" s="40" t="s">
        <v>766</v>
      </c>
      <c r="R2249" s="84">
        <v>193420100</v>
      </c>
      <c r="S2249" s="40">
        <v>100</v>
      </c>
    </row>
    <row r="2250" spans="1:19" s="92" customFormat="1" ht="76.5">
      <c r="A2250" s="5">
        <v>2235</v>
      </c>
      <c r="B2250" s="15" t="s">
        <v>710</v>
      </c>
      <c r="C2250" s="40" t="s">
        <v>711</v>
      </c>
      <c r="D2250" s="40" t="s">
        <v>723</v>
      </c>
      <c r="E2250" s="31" t="s">
        <v>874</v>
      </c>
      <c r="F2250" s="31" t="s">
        <v>874</v>
      </c>
      <c r="G2250" s="31" t="s">
        <v>875</v>
      </c>
      <c r="H2250" s="40" t="s">
        <v>876</v>
      </c>
      <c r="I2250" s="40" t="s">
        <v>3210</v>
      </c>
      <c r="J2250" s="40" t="s">
        <v>3211</v>
      </c>
      <c r="K2250" s="40" t="s">
        <v>591</v>
      </c>
      <c r="L2250" s="40" t="s">
        <v>644</v>
      </c>
      <c r="M2250" s="93">
        <v>1</v>
      </c>
      <c r="N2250" s="94">
        <v>30000</v>
      </c>
      <c r="O2250" s="94">
        <f>N2250*M2250</f>
        <v>30000</v>
      </c>
      <c r="P2250" s="40" t="s">
        <v>3116</v>
      </c>
      <c r="Q2250" s="40" t="s">
        <v>1051</v>
      </c>
      <c r="R2250" s="84">
        <v>193420100</v>
      </c>
      <c r="S2250" s="40">
        <v>100</v>
      </c>
    </row>
    <row r="2251" spans="1:19" s="92" customFormat="1" ht="89.25">
      <c r="A2251" s="5">
        <v>2236</v>
      </c>
      <c r="B2251" s="15" t="s">
        <v>710</v>
      </c>
      <c r="C2251" s="40" t="s">
        <v>597</v>
      </c>
      <c r="D2251" s="40" t="s">
        <v>598</v>
      </c>
      <c r="E2251" s="31" t="s">
        <v>599</v>
      </c>
      <c r="F2251" s="31" t="s">
        <v>782</v>
      </c>
      <c r="G2251" s="31" t="s">
        <v>3195</v>
      </c>
      <c r="H2251" s="40" t="s">
        <v>602</v>
      </c>
      <c r="I2251" s="40" t="s">
        <v>3196</v>
      </c>
      <c r="J2251" s="40" t="s">
        <v>3197</v>
      </c>
      <c r="K2251" s="40" t="s">
        <v>591</v>
      </c>
      <c r="L2251" s="11" t="s">
        <v>914</v>
      </c>
      <c r="M2251" s="93">
        <v>1</v>
      </c>
      <c r="N2251" s="94">
        <v>624400</v>
      </c>
      <c r="O2251" s="94">
        <v>624400</v>
      </c>
      <c r="P2251" s="40" t="s">
        <v>502</v>
      </c>
      <c r="Q2251" s="40" t="s">
        <v>766</v>
      </c>
      <c r="R2251" s="84">
        <v>193630100</v>
      </c>
      <c r="S2251" s="40">
        <v>0</v>
      </c>
    </row>
    <row r="2252" spans="1:19" s="92" customFormat="1" ht="89.25">
      <c r="A2252" s="5">
        <v>2237</v>
      </c>
      <c r="B2252" s="15" t="s">
        <v>710</v>
      </c>
      <c r="C2252" s="40" t="s">
        <v>597</v>
      </c>
      <c r="D2252" s="40" t="s">
        <v>598</v>
      </c>
      <c r="E2252" s="31" t="s">
        <v>599</v>
      </c>
      <c r="F2252" s="31" t="s">
        <v>782</v>
      </c>
      <c r="G2252" s="31" t="s">
        <v>3195</v>
      </c>
      <c r="H2252" s="40" t="s">
        <v>602</v>
      </c>
      <c r="I2252" s="40" t="s">
        <v>3196</v>
      </c>
      <c r="J2252" s="40" t="s">
        <v>3197</v>
      </c>
      <c r="K2252" s="40" t="s">
        <v>591</v>
      </c>
      <c r="L2252" s="11" t="s">
        <v>914</v>
      </c>
      <c r="M2252" s="93">
        <v>1</v>
      </c>
      <c r="N2252" s="94">
        <v>624400</v>
      </c>
      <c r="O2252" s="94">
        <v>624400</v>
      </c>
      <c r="P2252" s="40" t="s">
        <v>502</v>
      </c>
      <c r="Q2252" s="40" t="s">
        <v>766</v>
      </c>
      <c r="R2252" s="84">
        <v>193630100</v>
      </c>
      <c r="S2252" s="40">
        <v>0</v>
      </c>
    </row>
    <row r="2253" spans="1:19" s="92" customFormat="1" ht="51">
      <c r="A2253" s="5">
        <v>2238</v>
      </c>
      <c r="B2253" s="15" t="s">
        <v>710</v>
      </c>
      <c r="C2253" s="40" t="s">
        <v>597</v>
      </c>
      <c r="D2253" s="11" t="s">
        <v>850</v>
      </c>
      <c r="E2253" s="76" t="s">
        <v>1736</v>
      </c>
      <c r="F2253" s="76" t="s">
        <v>851</v>
      </c>
      <c r="G2253" s="76" t="s">
        <v>1737</v>
      </c>
      <c r="H2253" s="76" t="s">
        <v>852</v>
      </c>
      <c r="I2253" s="76" t="s">
        <v>3199</v>
      </c>
      <c r="J2253" s="76" t="s">
        <v>3200</v>
      </c>
      <c r="K2253" s="40" t="s">
        <v>591</v>
      </c>
      <c r="L2253" s="11" t="s">
        <v>914</v>
      </c>
      <c r="M2253" s="97">
        <v>1</v>
      </c>
      <c r="N2253" s="94">
        <f>10000*5</f>
        <v>50000</v>
      </c>
      <c r="O2253" s="94">
        <f>N2253</f>
        <v>50000</v>
      </c>
      <c r="P2253" s="40" t="s">
        <v>698</v>
      </c>
      <c r="Q2253" s="40" t="s">
        <v>766</v>
      </c>
      <c r="R2253" s="84">
        <v>193630100</v>
      </c>
      <c r="S2253" s="40">
        <v>0</v>
      </c>
    </row>
    <row r="2254" spans="1:19" s="92" customFormat="1" ht="51">
      <c r="A2254" s="5">
        <v>2239</v>
      </c>
      <c r="B2254" s="15" t="s">
        <v>710</v>
      </c>
      <c r="C2254" s="40" t="s">
        <v>597</v>
      </c>
      <c r="D2254" s="40" t="s">
        <v>2594</v>
      </c>
      <c r="E2254" s="31" t="s">
        <v>2618</v>
      </c>
      <c r="F2254" s="31" t="s">
        <v>2595</v>
      </c>
      <c r="G2254" s="31" t="s">
        <v>2618</v>
      </c>
      <c r="H2254" s="40" t="s">
        <v>2595</v>
      </c>
      <c r="I2254" s="40" t="s">
        <v>3201</v>
      </c>
      <c r="J2254" s="40" t="s">
        <v>3202</v>
      </c>
      <c r="K2254" s="40" t="s">
        <v>591</v>
      </c>
      <c r="L2254" s="11" t="s">
        <v>914</v>
      </c>
      <c r="M2254" s="93">
        <v>1</v>
      </c>
      <c r="N2254" s="94">
        <f>10500*3</f>
        <v>31500</v>
      </c>
      <c r="O2254" s="94">
        <f>N2254</f>
        <v>31500</v>
      </c>
      <c r="P2254" s="40" t="s">
        <v>3116</v>
      </c>
      <c r="Q2254" s="40" t="s">
        <v>766</v>
      </c>
      <c r="R2254" s="84">
        <v>193630100</v>
      </c>
      <c r="S2254" s="40">
        <v>30</v>
      </c>
    </row>
    <row r="2255" spans="1:19" s="92" customFormat="1" ht="89.25">
      <c r="A2255" s="5">
        <v>2240</v>
      </c>
      <c r="B2255" s="15" t="s">
        <v>710</v>
      </c>
      <c r="C2255" s="40" t="s">
        <v>711</v>
      </c>
      <c r="D2255" s="40" t="s">
        <v>976</v>
      </c>
      <c r="E2255" s="31" t="s">
        <v>730</v>
      </c>
      <c r="F2255" s="31" t="s">
        <v>731</v>
      </c>
      <c r="G2255" s="31" t="s">
        <v>977</v>
      </c>
      <c r="H2255" s="40" t="s">
        <v>978</v>
      </c>
      <c r="I2255" s="40" t="s">
        <v>3203</v>
      </c>
      <c r="J2255" s="40" t="s">
        <v>3204</v>
      </c>
      <c r="K2255" s="40" t="s">
        <v>591</v>
      </c>
      <c r="L2255" s="40" t="s">
        <v>644</v>
      </c>
      <c r="M2255" s="93">
        <v>2</v>
      </c>
      <c r="N2255" s="94">
        <v>26800</v>
      </c>
      <c r="O2255" s="94">
        <f>N2255*M2255</f>
        <v>53600</v>
      </c>
      <c r="P2255" s="40" t="s">
        <v>3116</v>
      </c>
      <c r="Q2255" s="40" t="s">
        <v>1051</v>
      </c>
      <c r="R2255" s="84">
        <v>193630100</v>
      </c>
      <c r="S2255" s="40">
        <v>100</v>
      </c>
    </row>
    <row r="2256" spans="1:19" s="92" customFormat="1" ht="63.75">
      <c r="A2256" s="5">
        <v>2241</v>
      </c>
      <c r="B2256" s="15" t="s">
        <v>710</v>
      </c>
      <c r="C2256" s="40" t="s">
        <v>711</v>
      </c>
      <c r="D2256" s="40" t="s">
        <v>744</v>
      </c>
      <c r="E2256" s="31" t="s">
        <v>745</v>
      </c>
      <c r="F2256" s="31" t="s">
        <v>109</v>
      </c>
      <c r="G2256" s="31" t="s">
        <v>746</v>
      </c>
      <c r="H2256" s="40" t="s">
        <v>3205</v>
      </c>
      <c r="I2256" s="40" t="s">
        <v>3206</v>
      </c>
      <c r="J2256" s="40" t="s">
        <v>3207</v>
      </c>
      <c r="K2256" s="40" t="s">
        <v>591</v>
      </c>
      <c r="L2256" s="40" t="s">
        <v>644</v>
      </c>
      <c r="M2256" s="93">
        <v>6</v>
      </c>
      <c r="N2256" s="94">
        <v>4000</v>
      </c>
      <c r="O2256" s="94">
        <f>M2256*N2256</f>
        <v>24000</v>
      </c>
      <c r="P2256" s="40" t="s">
        <v>3116</v>
      </c>
      <c r="Q2256" s="40" t="s">
        <v>1051</v>
      </c>
      <c r="R2256" s="84">
        <v>193630100</v>
      </c>
      <c r="S2256" s="40">
        <v>100</v>
      </c>
    </row>
    <row r="2257" spans="1:19" s="92" customFormat="1" ht="51">
      <c r="A2257" s="5">
        <v>2242</v>
      </c>
      <c r="B2257" s="15" t="s">
        <v>710</v>
      </c>
      <c r="C2257" s="40" t="s">
        <v>711</v>
      </c>
      <c r="D2257" s="98" t="s">
        <v>422</v>
      </c>
      <c r="E2257" s="76" t="s">
        <v>423</v>
      </c>
      <c r="F2257" s="76" t="s">
        <v>427</v>
      </c>
      <c r="G2257" s="76" t="s">
        <v>837</v>
      </c>
      <c r="H2257" s="76" t="s">
        <v>425</v>
      </c>
      <c r="I2257" s="76" t="s">
        <v>3208</v>
      </c>
      <c r="J2257" s="76" t="s">
        <v>3209</v>
      </c>
      <c r="K2257" s="76" t="s">
        <v>591</v>
      </c>
      <c r="L2257" s="11" t="s">
        <v>909</v>
      </c>
      <c r="M2257" s="53">
        <v>18</v>
      </c>
      <c r="N2257" s="94">
        <v>640</v>
      </c>
      <c r="O2257" s="94">
        <f>N2257*M2257</f>
        <v>11520</v>
      </c>
      <c r="P2257" s="40" t="s">
        <v>3116</v>
      </c>
      <c r="Q2257" s="40" t="s">
        <v>766</v>
      </c>
      <c r="R2257" s="84">
        <v>193630100</v>
      </c>
      <c r="S2257" s="40">
        <v>100</v>
      </c>
    </row>
    <row r="2258" spans="1:19" s="92" customFormat="1" ht="76.5">
      <c r="A2258" s="5">
        <v>2243</v>
      </c>
      <c r="B2258" s="15" t="s">
        <v>710</v>
      </c>
      <c r="C2258" s="40" t="s">
        <v>711</v>
      </c>
      <c r="D2258" s="40" t="s">
        <v>723</v>
      </c>
      <c r="E2258" s="31" t="s">
        <v>874</v>
      </c>
      <c r="F2258" s="31" t="s">
        <v>874</v>
      </c>
      <c r="G2258" s="31" t="s">
        <v>875</v>
      </c>
      <c r="H2258" s="40" t="s">
        <v>876</v>
      </c>
      <c r="I2258" s="40" t="s">
        <v>3210</v>
      </c>
      <c r="J2258" s="40" t="s">
        <v>3211</v>
      </c>
      <c r="K2258" s="40" t="s">
        <v>591</v>
      </c>
      <c r="L2258" s="40" t="s">
        <v>644</v>
      </c>
      <c r="M2258" s="93">
        <v>1</v>
      </c>
      <c r="N2258" s="94">
        <v>30000</v>
      </c>
      <c r="O2258" s="94">
        <f>N2258*M2258</f>
        <v>30000</v>
      </c>
      <c r="P2258" s="40" t="s">
        <v>3116</v>
      </c>
      <c r="Q2258" s="40" t="s">
        <v>1051</v>
      </c>
      <c r="R2258" s="84">
        <v>193630100</v>
      </c>
      <c r="S2258" s="40">
        <v>100</v>
      </c>
    </row>
    <row r="2259" spans="1:19" s="92" customFormat="1" ht="89.25">
      <c r="A2259" s="5">
        <v>2244</v>
      </c>
      <c r="B2259" s="15" t="s">
        <v>710</v>
      </c>
      <c r="C2259" s="40" t="s">
        <v>597</v>
      </c>
      <c r="D2259" s="40" t="s">
        <v>598</v>
      </c>
      <c r="E2259" s="31" t="s">
        <v>599</v>
      </c>
      <c r="F2259" s="31" t="s">
        <v>782</v>
      </c>
      <c r="G2259" s="31" t="s">
        <v>3195</v>
      </c>
      <c r="H2259" s="40" t="s">
        <v>602</v>
      </c>
      <c r="I2259" s="40" t="s">
        <v>3196</v>
      </c>
      <c r="J2259" s="40" t="s">
        <v>3197</v>
      </c>
      <c r="K2259" s="40" t="s">
        <v>591</v>
      </c>
      <c r="L2259" s="11" t="s">
        <v>914</v>
      </c>
      <c r="M2259" s="93">
        <v>1</v>
      </c>
      <c r="N2259" s="94">
        <v>624400</v>
      </c>
      <c r="O2259" s="94">
        <v>624400</v>
      </c>
      <c r="P2259" s="40" t="s">
        <v>502</v>
      </c>
      <c r="Q2259" s="40" t="s">
        <v>766</v>
      </c>
      <c r="R2259" s="84">
        <v>195020100</v>
      </c>
      <c r="S2259" s="40">
        <v>0</v>
      </c>
    </row>
    <row r="2260" spans="1:19" s="92" customFormat="1" ht="89.25">
      <c r="A2260" s="5">
        <v>2245</v>
      </c>
      <c r="B2260" s="15" t="s">
        <v>710</v>
      </c>
      <c r="C2260" s="40" t="s">
        <v>597</v>
      </c>
      <c r="D2260" s="40" t="s">
        <v>598</v>
      </c>
      <c r="E2260" s="31" t="s">
        <v>599</v>
      </c>
      <c r="F2260" s="31" t="s">
        <v>782</v>
      </c>
      <c r="G2260" s="31" t="s">
        <v>3195</v>
      </c>
      <c r="H2260" s="40" t="s">
        <v>602</v>
      </c>
      <c r="I2260" s="40" t="s">
        <v>3196</v>
      </c>
      <c r="J2260" s="40" t="s">
        <v>3197</v>
      </c>
      <c r="K2260" s="40" t="s">
        <v>591</v>
      </c>
      <c r="L2260" s="11" t="s">
        <v>914</v>
      </c>
      <c r="M2260" s="93">
        <v>1</v>
      </c>
      <c r="N2260" s="94">
        <v>624400</v>
      </c>
      <c r="O2260" s="94">
        <v>624400</v>
      </c>
      <c r="P2260" s="40" t="s">
        <v>502</v>
      </c>
      <c r="Q2260" s="40" t="s">
        <v>766</v>
      </c>
      <c r="R2260" s="84">
        <v>195020100</v>
      </c>
      <c r="S2260" s="40">
        <v>0</v>
      </c>
    </row>
    <row r="2261" spans="1:19" s="92" customFormat="1" ht="51">
      <c r="A2261" s="5">
        <v>2246</v>
      </c>
      <c r="B2261" s="15" t="s">
        <v>710</v>
      </c>
      <c r="C2261" s="40" t="s">
        <v>597</v>
      </c>
      <c r="D2261" s="11" t="s">
        <v>850</v>
      </c>
      <c r="E2261" s="76" t="s">
        <v>1736</v>
      </c>
      <c r="F2261" s="76" t="s">
        <v>851</v>
      </c>
      <c r="G2261" s="76" t="s">
        <v>1737</v>
      </c>
      <c r="H2261" s="76" t="s">
        <v>852</v>
      </c>
      <c r="I2261" s="76" t="s">
        <v>3199</v>
      </c>
      <c r="J2261" s="76" t="s">
        <v>3200</v>
      </c>
      <c r="K2261" s="40" t="s">
        <v>591</v>
      </c>
      <c r="L2261" s="11" t="s">
        <v>914</v>
      </c>
      <c r="M2261" s="97">
        <v>1</v>
      </c>
      <c r="N2261" s="94">
        <f>10000*5</f>
        <v>50000</v>
      </c>
      <c r="O2261" s="94">
        <f>N2261</f>
        <v>50000</v>
      </c>
      <c r="P2261" s="40" t="s">
        <v>698</v>
      </c>
      <c r="Q2261" s="40" t="s">
        <v>766</v>
      </c>
      <c r="R2261" s="84">
        <v>195020100</v>
      </c>
      <c r="S2261" s="40">
        <v>0</v>
      </c>
    </row>
    <row r="2262" spans="1:19" s="92" customFormat="1" ht="51">
      <c r="A2262" s="5">
        <v>2247</v>
      </c>
      <c r="B2262" s="15" t="s">
        <v>710</v>
      </c>
      <c r="C2262" s="40" t="s">
        <v>597</v>
      </c>
      <c r="D2262" s="40" t="s">
        <v>2594</v>
      </c>
      <c r="E2262" s="31" t="s">
        <v>2618</v>
      </c>
      <c r="F2262" s="31" t="s">
        <v>2595</v>
      </c>
      <c r="G2262" s="31" t="s">
        <v>2618</v>
      </c>
      <c r="H2262" s="40" t="s">
        <v>2595</v>
      </c>
      <c r="I2262" s="40" t="s">
        <v>3201</v>
      </c>
      <c r="J2262" s="40" t="s">
        <v>3202</v>
      </c>
      <c r="K2262" s="40" t="s">
        <v>591</v>
      </c>
      <c r="L2262" s="11" t="s">
        <v>914</v>
      </c>
      <c r="M2262" s="93">
        <v>1</v>
      </c>
      <c r="N2262" s="94">
        <f>10500*3</f>
        <v>31500</v>
      </c>
      <c r="O2262" s="94">
        <f>N2262</f>
        <v>31500</v>
      </c>
      <c r="P2262" s="40" t="s">
        <v>3116</v>
      </c>
      <c r="Q2262" s="40" t="s">
        <v>766</v>
      </c>
      <c r="R2262" s="84">
        <v>195020100</v>
      </c>
      <c r="S2262" s="40">
        <v>30</v>
      </c>
    </row>
    <row r="2263" spans="1:19" s="92" customFormat="1" ht="89.25">
      <c r="A2263" s="5">
        <v>2248</v>
      </c>
      <c r="B2263" s="15" t="s">
        <v>710</v>
      </c>
      <c r="C2263" s="40" t="s">
        <v>711</v>
      </c>
      <c r="D2263" s="40" t="s">
        <v>976</v>
      </c>
      <c r="E2263" s="31" t="s">
        <v>730</v>
      </c>
      <c r="F2263" s="31" t="s">
        <v>731</v>
      </c>
      <c r="G2263" s="31" t="s">
        <v>977</v>
      </c>
      <c r="H2263" s="40" t="s">
        <v>978</v>
      </c>
      <c r="I2263" s="40" t="s">
        <v>3203</v>
      </c>
      <c r="J2263" s="40" t="s">
        <v>3204</v>
      </c>
      <c r="K2263" s="40" t="s">
        <v>591</v>
      </c>
      <c r="L2263" s="40" t="s">
        <v>644</v>
      </c>
      <c r="M2263" s="93">
        <v>2</v>
      </c>
      <c r="N2263" s="94">
        <v>26800</v>
      </c>
      <c r="O2263" s="94">
        <f>N2263*M2263</f>
        <v>53600</v>
      </c>
      <c r="P2263" s="40" t="s">
        <v>3116</v>
      </c>
      <c r="Q2263" s="40" t="s">
        <v>1051</v>
      </c>
      <c r="R2263" s="84">
        <v>195020100</v>
      </c>
      <c r="S2263" s="40">
        <v>100</v>
      </c>
    </row>
    <row r="2264" spans="1:19" s="92" customFormat="1" ht="63.75">
      <c r="A2264" s="5">
        <v>2249</v>
      </c>
      <c r="B2264" s="15" t="s">
        <v>710</v>
      </c>
      <c r="C2264" s="40" t="s">
        <v>711</v>
      </c>
      <c r="D2264" s="40" t="s">
        <v>744</v>
      </c>
      <c r="E2264" s="31" t="s">
        <v>745</v>
      </c>
      <c r="F2264" s="31" t="s">
        <v>109</v>
      </c>
      <c r="G2264" s="31" t="s">
        <v>746</v>
      </c>
      <c r="H2264" s="40" t="s">
        <v>3205</v>
      </c>
      <c r="I2264" s="40" t="s">
        <v>3206</v>
      </c>
      <c r="J2264" s="40" t="s">
        <v>3207</v>
      </c>
      <c r="K2264" s="40" t="s">
        <v>591</v>
      </c>
      <c r="L2264" s="40" t="s">
        <v>644</v>
      </c>
      <c r="M2264" s="93">
        <v>6</v>
      </c>
      <c r="N2264" s="94">
        <v>4000</v>
      </c>
      <c r="O2264" s="94">
        <f>M2264*N2264</f>
        <v>24000</v>
      </c>
      <c r="P2264" s="40" t="s">
        <v>3116</v>
      </c>
      <c r="Q2264" s="40" t="s">
        <v>1051</v>
      </c>
      <c r="R2264" s="84">
        <v>195020100</v>
      </c>
      <c r="S2264" s="40">
        <v>100</v>
      </c>
    </row>
    <row r="2265" spans="1:19" s="92" customFormat="1" ht="51">
      <c r="A2265" s="5">
        <v>2250</v>
      </c>
      <c r="B2265" s="15" t="s">
        <v>710</v>
      </c>
      <c r="C2265" s="40" t="s">
        <v>711</v>
      </c>
      <c r="D2265" s="98" t="s">
        <v>422</v>
      </c>
      <c r="E2265" s="76" t="s">
        <v>423</v>
      </c>
      <c r="F2265" s="76" t="s">
        <v>427</v>
      </c>
      <c r="G2265" s="76" t="s">
        <v>837</v>
      </c>
      <c r="H2265" s="76" t="s">
        <v>425</v>
      </c>
      <c r="I2265" s="76" t="s">
        <v>3208</v>
      </c>
      <c r="J2265" s="76" t="s">
        <v>3209</v>
      </c>
      <c r="K2265" s="76" t="s">
        <v>591</v>
      </c>
      <c r="L2265" s="11" t="s">
        <v>909</v>
      </c>
      <c r="M2265" s="53">
        <v>18</v>
      </c>
      <c r="N2265" s="94">
        <v>640</v>
      </c>
      <c r="O2265" s="94">
        <f>N2265*M2265</f>
        <v>11520</v>
      </c>
      <c r="P2265" s="40" t="s">
        <v>3116</v>
      </c>
      <c r="Q2265" s="40" t="s">
        <v>766</v>
      </c>
      <c r="R2265" s="84">
        <v>195020100</v>
      </c>
      <c r="S2265" s="40">
        <v>100</v>
      </c>
    </row>
    <row r="2266" spans="1:19" s="92" customFormat="1" ht="76.5">
      <c r="A2266" s="5">
        <v>2251</v>
      </c>
      <c r="B2266" s="15" t="s">
        <v>710</v>
      </c>
      <c r="C2266" s="40" t="s">
        <v>711</v>
      </c>
      <c r="D2266" s="40" t="s">
        <v>723</v>
      </c>
      <c r="E2266" s="31" t="s">
        <v>874</v>
      </c>
      <c r="F2266" s="31" t="s">
        <v>874</v>
      </c>
      <c r="G2266" s="31" t="s">
        <v>875</v>
      </c>
      <c r="H2266" s="40" t="s">
        <v>876</v>
      </c>
      <c r="I2266" s="40" t="s">
        <v>3210</v>
      </c>
      <c r="J2266" s="40" t="s">
        <v>3211</v>
      </c>
      <c r="K2266" s="40" t="s">
        <v>591</v>
      </c>
      <c r="L2266" s="40" t="s">
        <v>644</v>
      </c>
      <c r="M2266" s="93">
        <v>1</v>
      </c>
      <c r="N2266" s="94">
        <v>30000</v>
      </c>
      <c r="O2266" s="94">
        <f>N2266*M2266</f>
        <v>30000</v>
      </c>
      <c r="P2266" s="40" t="s">
        <v>3116</v>
      </c>
      <c r="Q2266" s="40" t="s">
        <v>1051</v>
      </c>
      <c r="R2266" s="84">
        <v>195020100</v>
      </c>
      <c r="S2266" s="40">
        <v>100</v>
      </c>
    </row>
    <row r="2267" spans="1:19" s="92" customFormat="1" ht="89.25">
      <c r="A2267" s="5">
        <v>2252</v>
      </c>
      <c r="B2267" s="15" t="s">
        <v>710</v>
      </c>
      <c r="C2267" s="40" t="s">
        <v>597</v>
      </c>
      <c r="D2267" s="40" t="s">
        <v>598</v>
      </c>
      <c r="E2267" s="31" t="s">
        <v>599</v>
      </c>
      <c r="F2267" s="31" t="s">
        <v>782</v>
      </c>
      <c r="G2267" s="31" t="s">
        <v>3195</v>
      </c>
      <c r="H2267" s="40" t="s">
        <v>602</v>
      </c>
      <c r="I2267" s="40" t="s">
        <v>3196</v>
      </c>
      <c r="J2267" s="40" t="s">
        <v>3197</v>
      </c>
      <c r="K2267" s="40" t="s">
        <v>591</v>
      </c>
      <c r="L2267" s="11" t="s">
        <v>914</v>
      </c>
      <c r="M2267" s="93">
        <v>1</v>
      </c>
      <c r="N2267" s="94">
        <v>624400</v>
      </c>
      <c r="O2267" s="94">
        <v>624400</v>
      </c>
      <c r="P2267" s="40" t="s">
        <v>502</v>
      </c>
      <c r="Q2267" s="40" t="s">
        <v>766</v>
      </c>
      <c r="R2267" s="84">
        <v>193230100</v>
      </c>
      <c r="S2267" s="40">
        <v>0</v>
      </c>
    </row>
    <row r="2268" spans="1:19" s="92" customFormat="1" ht="89.25">
      <c r="A2268" s="5">
        <v>2253</v>
      </c>
      <c r="B2268" s="15" t="s">
        <v>710</v>
      </c>
      <c r="C2268" s="40" t="s">
        <v>597</v>
      </c>
      <c r="D2268" s="40" t="s">
        <v>598</v>
      </c>
      <c r="E2268" s="31" t="s">
        <v>599</v>
      </c>
      <c r="F2268" s="31" t="s">
        <v>782</v>
      </c>
      <c r="G2268" s="31" t="s">
        <v>3195</v>
      </c>
      <c r="H2268" s="40" t="s">
        <v>602</v>
      </c>
      <c r="I2268" s="40" t="s">
        <v>3196</v>
      </c>
      <c r="J2268" s="40" t="s">
        <v>3197</v>
      </c>
      <c r="K2268" s="40" t="s">
        <v>591</v>
      </c>
      <c r="L2268" s="11" t="s">
        <v>914</v>
      </c>
      <c r="M2268" s="93">
        <v>1</v>
      </c>
      <c r="N2268" s="94">
        <v>624400</v>
      </c>
      <c r="O2268" s="94">
        <v>624400</v>
      </c>
      <c r="P2268" s="40" t="s">
        <v>502</v>
      </c>
      <c r="Q2268" s="40" t="s">
        <v>766</v>
      </c>
      <c r="R2268" s="84">
        <v>193230100</v>
      </c>
      <c r="S2268" s="40">
        <v>0</v>
      </c>
    </row>
    <row r="2269" spans="1:19" s="92" customFormat="1" ht="51">
      <c r="A2269" s="5">
        <v>2254</v>
      </c>
      <c r="B2269" s="15" t="s">
        <v>710</v>
      </c>
      <c r="C2269" s="40" t="s">
        <v>597</v>
      </c>
      <c r="D2269" s="11" t="s">
        <v>850</v>
      </c>
      <c r="E2269" s="76" t="s">
        <v>1736</v>
      </c>
      <c r="F2269" s="76" t="s">
        <v>851</v>
      </c>
      <c r="G2269" s="76" t="s">
        <v>1737</v>
      </c>
      <c r="H2269" s="76" t="s">
        <v>852</v>
      </c>
      <c r="I2269" s="76" t="s">
        <v>3199</v>
      </c>
      <c r="J2269" s="76" t="s">
        <v>3200</v>
      </c>
      <c r="K2269" s="40" t="s">
        <v>591</v>
      </c>
      <c r="L2269" s="11" t="s">
        <v>914</v>
      </c>
      <c r="M2269" s="97">
        <v>1</v>
      </c>
      <c r="N2269" s="94">
        <f>10000*5</f>
        <v>50000</v>
      </c>
      <c r="O2269" s="94">
        <f>N2269</f>
        <v>50000</v>
      </c>
      <c r="P2269" s="40" t="s">
        <v>698</v>
      </c>
      <c r="Q2269" s="40" t="s">
        <v>766</v>
      </c>
      <c r="R2269" s="84">
        <v>193230100</v>
      </c>
      <c r="S2269" s="40">
        <v>0</v>
      </c>
    </row>
    <row r="2270" spans="1:19" s="92" customFormat="1" ht="51">
      <c r="A2270" s="5">
        <v>2255</v>
      </c>
      <c r="B2270" s="15" t="s">
        <v>710</v>
      </c>
      <c r="C2270" s="40" t="s">
        <v>597</v>
      </c>
      <c r="D2270" s="40" t="s">
        <v>2594</v>
      </c>
      <c r="E2270" s="31" t="s">
        <v>2618</v>
      </c>
      <c r="F2270" s="31" t="s">
        <v>2595</v>
      </c>
      <c r="G2270" s="31" t="s">
        <v>2618</v>
      </c>
      <c r="H2270" s="40" t="s">
        <v>2595</v>
      </c>
      <c r="I2270" s="40" t="s">
        <v>3201</v>
      </c>
      <c r="J2270" s="40" t="s">
        <v>3202</v>
      </c>
      <c r="K2270" s="40" t="s">
        <v>591</v>
      </c>
      <c r="L2270" s="11" t="s">
        <v>914</v>
      </c>
      <c r="M2270" s="93">
        <v>1</v>
      </c>
      <c r="N2270" s="94">
        <f>10500*3</f>
        <v>31500</v>
      </c>
      <c r="O2270" s="94">
        <f>N2270</f>
        <v>31500</v>
      </c>
      <c r="P2270" s="40" t="s">
        <v>3116</v>
      </c>
      <c r="Q2270" s="40" t="s">
        <v>766</v>
      </c>
      <c r="R2270" s="84">
        <v>193230100</v>
      </c>
      <c r="S2270" s="40">
        <v>30</v>
      </c>
    </row>
    <row r="2271" spans="1:19" s="92" customFormat="1" ht="89.25">
      <c r="A2271" s="5">
        <v>2256</v>
      </c>
      <c r="B2271" s="15" t="s">
        <v>710</v>
      </c>
      <c r="C2271" s="40" t="s">
        <v>711</v>
      </c>
      <c r="D2271" s="40" t="s">
        <v>976</v>
      </c>
      <c r="E2271" s="31" t="s">
        <v>730</v>
      </c>
      <c r="F2271" s="31" t="s">
        <v>731</v>
      </c>
      <c r="G2271" s="31" t="s">
        <v>977</v>
      </c>
      <c r="H2271" s="40" t="s">
        <v>978</v>
      </c>
      <c r="I2271" s="40" t="s">
        <v>3203</v>
      </c>
      <c r="J2271" s="40" t="s">
        <v>3204</v>
      </c>
      <c r="K2271" s="40" t="s">
        <v>591</v>
      </c>
      <c r="L2271" s="40" t="s">
        <v>644</v>
      </c>
      <c r="M2271" s="93">
        <v>2</v>
      </c>
      <c r="N2271" s="94">
        <v>26800</v>
      </c>
      <c r="O2271" s="94">
        <f>N2271*M2271</f>
        <v>53600</v>
      </c>
      <c r="P2271" s="40" t="s">
        <v>3116</v>
      </c>
      <c r="Q2271" s="40" t="s">
        <v>1051</v>
      </c>
      <c r="R2271" s="84">
        <v>193230100</v>
      </c>
      <c r="S2271" s="40">
        <v>100</v>
      </c>
    </row>
    <row r="2272" spans="1:19" s="92" customFormat="1" ht="63.75">
      <c r="A2272" s="5">
        <v>2257</v>
      </c>
      <c r="B2272" s="15" t="s">
        <v>710</v>
      </c>
      <c r="C2272" s="40" t="s">
        <v>711</v>
      </c>
      <c r="D2272" s="40" t="s">
        <v>744</v>
      </c>
      <c r="E2272" s="31" t="s">
        <v>745</v>
      </c>
      <c r="F2272" s="31" t="s">
        <v>109</v>
      </c>
      <c r="G2272" s="31" t="s">
        <v>746</v>
      </c>
      <c r="H2272" s="40" t="s">
        <v>3205</v>
      </c>
      <c r="I2272" s="40" t="s">
        <v>3206</v>
      </c>
      <c r="J2272" s="40" t="s">
        <v>3207</v>
      </c>
      <c r="K2272" s="40" t="s">
        <v>591</v>
      </c>
      <c r="L2272" s="40" t="s">
        <v>644</v>
      </c>
      <c r="M2272" s="93">
        <v>6</v>
      </c>
      <c r="N2272" s="94">
        <v>4000</v>
      </c>
      <c r="O2272" s="94">
        <f>M2272*N2272</f>
        <v>24000</v>
      </c>
      <c r="P2272" s="40" t="s">
        <v>3116</v>
      </c>
      <c r="Q2272" s="40" t="s">
        <v>1051</v>
      </c>
      <c r="R2272" s="84">
        <v>193230100</v>
      </c>
      <c r="S2272" s="40">
        <v>100</v>
      </c>
    </row>
    <row r="2273" spans="1:19" s="92" customFormat="1" ht="51">
      <c r="A2273" s="5">
        <v>2258</v>
      </c>
      <c r="B2273" s="15" t="s">
        <v>710</v>
      </c>
      <c r="C2273" s="40" t="s">
        <v>711</v>
      </c>
      <c r="D2273" s="98" t="s">
        <v>422</v>
      </c>
      <c r="E2273" s="76" t="s">
        <v>423</v>
      </c>
      <c r="F2273" s="76" t="s">
        <v>427</v>
      </c>
      <c r="G2273" s="76" t="s">
        <v>837</v>
      </c>
      <c r="H2273" s="76" t="s">
        <v>425</v>
      </c>
      <c r="I2273" s="76" t="s">
        <v>3208</v>
      </c>
      <c r="J2273" s="76" t="s">
        <v>3209</v>
      </c>
      <c r="K2273" s="76" t="s">
        <v>591</v>
      </c>
      <c r="L2273" s="11" t="s">
        <v>909</v>
      </c>
      <c r="M2273" s="53">
        <v>18</v>
      </c>
      <c r="N2273" s="94">
        <v>640</v>
      </c>
      <c r="O2273" s="94">
        <f>N2273*M2273</f>
        <v>11520</v>
      </c>
      <c r="P2273" s="40" t="s">
        <v>3116</v>
      </c>
      <c r="Q2273" s="40" t="s">
        <v>766</v>
      </c>
      <c r="R2273" s="84">
        <v>193230100</v>
      </c>
      <c r="S2273" s="40">
        <v>100</v>
      </c>
    </row>
    <row r="2274" spans="1:19" s="92" customFormat="1" ht="76.5">
      <c r="A2274" s="5">
        <v>2259</v>
      </c>
      <c r="B2274" s="15" t="s">
        <v>710</v>
      </c>
      <c r="C2274" s="40" t="s">
        <v>711</v>
      </c>
      <c r="D2274" s="40" t="s">
        <v>723</v>
      </c>
      <c r="E2274" s="31" t="s">
        <v>874</v>
      </c>
      <c r="F2274" s="31" t="s">
        <v>874</v>
      </c>
      <c r="G2274" s="31" t="s">
        <v>875</v>
      </c>
      <c r="H2274" s="40" t="s">
        <v>876</v>
      </c>
      <c r="I2274" s="40" t="s">
        <v>3210</v>
      </c>
      <c r="J2274" s="40" t="s">
        <v>3211</v>
      </c>
      <c r="K2274" s="40" t="s">
        <v>591</v>
      </c>
      <c r="L2274" s="40" t="s">
        <v>644</v>
      </c>
      <c r="M2274" s="93">
        <v>1</v>
      </c>
      <c r="N2274" s="94">
        <v>30000</v>
      </c>
      <c r="O2274" s="94">
        <f>N2274*M2274</f>
        <v>30000</v>
      </c>
      <c r="P2274" s="40" t="s">
        <v>3116</v>
      </c>
      <c r="Q2274" s="40" t="s">
        <v>1051</v>
      </c>
      <c r="R2274" s="84">
        <v>193230100</v>
      </c>
      <c r="S2274" s="40">
        <v>100</v>
      </c>
    </row>
    <row r="2275" spans="1:19" s="92" customFormat="1" ht="89.25">
      <c r="A2275" s="5">
        <v>2260</v>
      </c>
      <c r="B2275" s="15" t="s">
        <v>710</v>
      </c>
      <c r="C2275" s="40" t="s">
        <v>597</v>
      </c>
      <c r="D2275" s="40" t="s">
        <v>598</v>
      </c>
      <c r="E2275" s="31" t="s">
        <v>599</v>
      </c>
      <c r="F2275" s="31" t="s">
        <v>782</v>
      </c>
      <c r="G2275" s="31" t="s">
        <v>3195</v>
      </c>
      <c r="H2275" s="40" t="s">
        <v>602</v>
      </c>
      <c r="I2275" s="40" t="s">
        <v>3196</v>
      </c>
      <c r="J2275" s="40" t="s">
        <v>3197</v>
      </c>
      <c r="K2275" s="40" t="s">
        <v>591</v>
      </c>
      <c r="L2275" s="11" t="s">
        <v>914</v>
      </c>
      <c r="M2275" s="93">
        <v>1</v>
      </c>
      <c r="N2275" s="94">
        <v>624400</v>
      </c>
      <c r="O2275" s="94">
        <v>624400</v>
      </c>
      <c r="P2275" s="40" t="s">
        <v>502</v>
      </c>
      <c r="Q2275" s="40" t="s">
        <v>766</v>
      </c>
      <c r="R2275" s="84">
        <v>196020100</v>
      </c>
      <c r="S2275" s="40">
        <v>0</v>
      </c>
    </row>
    <row r="2276" spans="1:19" s="92" customFormat="1" ht="89.25">
      <c r="A2276" s="5">
        <v>2261</v>
      </c>
      <c r="B2276" s="15" t="s">
        <v>710</v>
      </c>
      <c r="C2276" s="40" t="s">
        <v>597</v>
      </c>
      <c r="D2276" s="40" t="s">
        <v>598</v>
      </c>
      <c r="E2276" s="31" t="s">
        <v>599</v>
      </c>
      <c r="F2276" s="31" t="s">
        <v>782</v>
      </c>
      <c r="G2276" s="31" t="s">
        <v>3195</v>
      </c>
      <c r="H2276" s="40" t="s">
        <v>602</v>
      </c>
      <c r="I2276" s="40" t="s">
        <v>3196</v>
      </c>
      <c r="J2276" s="40" t="s">
        <v>3197</v>
      </c>
      <c r="K2276" s="40" t="s">
        <v>591</v>
      </c>
      <c r="L2276" s="11" t="s">
        <v>914</v>
      </c>
      <c r="M2276" s="93">
        <v>1</v>
      </c>
      <c r="N2276" s="94">
        <v>624400</v>
      </c>
      <c r="O2276" s="94">
        <v>624400</v>
      </c>
      <c r="P2276" s="40" t="s">
        <v>502</v>
      </c>
      <c r="Q2276" s="40" t="s">
        <v>766</v>
      </c>
      <c r="R2276" s="84">
        <v>196020100</v>
      </c>
      <c r="S2276" s="40">
        <v>0</v>
      </c>
    </row>
    <row r="2277" spans="1:19" s="92" customFormat="1" ht="51">
      <c r="A2277" s="5">
        <v>2262</v>
      </c>
      <c r="B2277" s="15" t="s">
        <v>710</v>
      </c>
      <c r="C2277" s="40" t="s">
        <v>597</v>
      </c>
      <c r="D2277" s="11" t="s">
        <v>850</v>
      </c>
      <c r="E2277" s="76" t="s">
        <v>1736</v>
      </c>
      <c r="F2277" s="76" t="s">
        <v>851</v>
      </c>
      <c r="G2277" s="76" t="s">
        <v>1737</v>
      </c>
      <c r="H2277" s="76" t="s">
        <v>852</v>
      </c>
      <c r="I2277" s="76" t="s">
        <v>3199</v>
      </c>
      <c r="J2277" s="76" t="s">
        <v>3200</v>
      </c>
      <c r="K2277" s="40" t="s">
        <v>591</v>
      </c>
      <c r="L2277" s="11" t="s">
        <v>914</v>
      </c>
      <c r="M2277" s="97">
        <v>1</v>
      </c>
      <c r="N2277" s="94">
        <f>10000*5</f>
        <v>50000</v>
      </c>
      <c r="O2277" s="94">
        <f>N2277</f>
        <v>50000</v>
      </c>
      <c r="P2277" s="40" t="s">
        <v>698</v>
      </c>
      <c r="Q2277" s="40" t="s">
        <v>766</v>
      </c>
      <c r="R2277" s="84">
        <v>196020100</v>
      </c>
      <c r="S2277" s="40">
        <v>0</v>
      </c>
    </row>
    <row r="2278" spans="1:19" s="92" customFormat="1" ht="51">
      <c r="A2278" s="5">
        <v>2263</v>
      </c>
      <c r="B2278" s="15" t="s">
        <v>710</v>
      </c>
      <c r="C2278" s="40" t="s">
        <v>597</v>
      </c>
      <c r="D2278" s="40" t="s">
        <v>2594</v>
      </c>
      <c r="E2278" s="31" t="s">
        <v>2618</v>
      </c>
      <c r="F2278" s="31" t="s">
        <v>2595</v>
      </c>
      <c r="G2278" s="31" t="s">
        <v>2618</v>
      </c>
      <c r="H2278" s="40" t="s">
        <v>2595</v>
      </c>
      <c r="I2278" s="40" t="s">
        <v>3201</v>
      </c>
      <c r="J2278" s="40" t="s">
        <v>3202</v>
      </c>
      <c r="K2278" s="40" t="s">
        <v>591</v>
      </c>
      <c r="L2278" s="11" t="s">
        <v>914</v>
      </c>
      <c r="M2278" s="93">
        <v>1</v>
      </c>
      <c r="N2278" s="94">
        <f>10500*3</f>
        <v>31500</v>
      </c>
      <c r="O2278" s="94">
        <f>N2278</f>
        <v>31500</v>
      </c>
      <c r="P2278" s="40" t="s">
        <v>3116</v>
      </c>
      <c r="Q2278" s="40" t="s">
        <v>766</v>
      </c>
      <c r="R2278" s="84">
        <v>196020100</v>
      </c>
      <c r="S2278" s="40">
        <v>30</v>
      </c>
    </row>
    <row r="2279" spans="1:19" s="92" customFormat="1" ht="89.25">
      <c r="A2279" s="5">
        <v>2264</v>
      </c>
      <c r="B2279" s="15" t="s">
        <v>710</v>
      </c>
      <c r="C2279" s="40" t="s">
        <v>711</v>
      </c>
      <c r="D2279" s="40" t="s">
        <v>976</v>
      </c>
      <c r="E2279" s="31" t="s">
        <v>730</v>
      </c>
      <c r="F2279" s="31" t="s">
        <v>731</v>
      </c>
      <c r="G2279" s="31" t="s">
        <v>977</v>
      </c>
      <c r="H2279" s="40" t="s">
        <v>978</v>
      </c>
      <c r="I2279" s="40" t="s">
        <v>3203</v>
      </c>
      <c r="J2279" s="40" t="s">
        <v>3204</v>
      </c>
      <c r="K2279" s="40" t="s">
        <v>591</v>
      </c>
      <c r="L2279" s="40" t="s">
        <v>644</v>
      </c>
      <c r="M2279" s="93">
        <v>2</v>
      </c>
      <c r="N2279" s="94">
        <v>26800</v>
      </c>
      <c r="O2279" s="94">
        <f>N2279*M2279</f>
        <v>53600</v>
      </c>
      <c r="P2279" s="40" t="s">
        <v>3116</v>
      </c>
      <c r="Q2279" s="40" t="s">
        <v>1051</v>
      </c>
      <c r="R2279" s="84">
        <v>196020100</v>
      </c>
      <c r="S2279" s="40">
        <v>100</v>
      </c>
    </row>
    <row r="2280" spans="1:19" s="92" customFormat="1" ht="63.75">
      <c r="A2280" s="5">
        <v>2265</v>
      </c>
      <c r="B2280" s="15" t="s">
        <v>710</v>
      </c>
      <c r="C2280" s="40" t="s">
        <v>711</v>
      </c>
      <c r="D2280" s="40" t="s">
        <v>744</v>
      </c>
      <c r="E2280" s="31" t="s">
        <v>745</v>
      </c>
      <c r="F2280" s="31" t="s">
        <v>109</v>
      </c>
      <c r="G2280" s="31" t="s">
        <v>746</v>
      </c>
      <c r="H2280" s="40" t="s">
        <v>3205</v>
      </c>
      <c r="I2280" s="40" t="s">
        <v>3206</v>
      </c>
      <c r="J2280" s="40" t="s">
        <v>3207</v>
      </c>
      <c r="K2280" s="40" t="s">
        <v>591</v>
      </c>
      <c r="L2280" s="40" t="s">
        <v>644</v>
      </c>
      <c r="M2280" s="93">
        <v>6</v>
      </c>
      <c r="N2280" s="94">
        <v>4000</v>
      </c>
      <c r="O2280" s="94">
        <f>M2280*N2280</f>
        <v>24000</v>
      </c>
      <c r="P2280" s="40" t="s">
        <v>3116</v>
      </c>
      <c r="Q2280" s="40" t="s">
        <v>1051</v>
      </c>
      <c r="R2280" s="84">
        <v>196020100</v>
      </c>
      <c r="S2280" s="40">
        <v>100</v>
      </c>
    </row>
    <row r="2281" spans="1:19" s="92" customFormat="1" ht="51">
      <c r="A2281" s="5">
        <v>2266</v>
      </c>
      <c r="B2281" s="15" t="s">
        <v>710</v>
      </c>
      <c r="C2281" s="40" t="s">
        <v>711</v>
      </c>
      <c r="D2281" s="98" t="s">
        <v>422</v>
      </c>
      <c r="E2281" s="76" t="s">
        <v>423</v>
      </c>
      <c r="F2281" s="76" t="s">
        <v>427</v>
      </c>
      <c r="G2281" s="76" t="s">
        <v>837</v>
      </c>
      <c r="H2281" s="76" t="s">
        <v>425</v>
      </c>
      <c r="I2281" s="76" t="s">
        <v>3208</v>
      </c>
      <c r="J2281" s="76" t="s">
        <v>3209</v>
      </c>
      <c r="K2281" s="76" t="s">
        <v>591</v>
      </c>
      <c r="L2281" s="11" t="s">
        <v>909</v>
      </c>
      <c r="M2281" s="53">
        <v>18</v>
      </c>
      <c r="N2281" s="94">
        <v>640</v>
      </c>
      <c r="O2281" s="94">
        <f>N2281*M2281</f>
        <v>11520</v>
      </c>
      <c r="P2281" s="40" t="s">
        <v>3116</v>
      </c>
      <c r="Q2281" s="40" t="s">
        <v>766</v>
      </c>
      <c r="R2281" s="84">
        <v>196020100</v>
      </c>
      <c r="S2281" s="40">
        <v>100</v>
      </c>
    </row>
    <row r="2282" spans="1:19" s="92" customFormat="1" ht="76.5">
      <c r="A2282" s="5">
        <v>2267</v>
      </c>
      <c r="B2282" s="15" t="s">
        <v>710</v>
      </c>
      <c r="C2282" s="40" t="s">
        <v>711</v>
      </c>
      <c r="D2282" s="40" t="s">
        <v>723</v>
      </c>
      <c r="E2282" s="31" t="s">
        <v>874</v>
      </c>
      <c r="F2282" s="31" t="s">
        <v>874</v>
      </c>
      <c r="G2282" s="31" t="s">
        <v>875</v>
      </c>
      <c r="H2282" s="40" t="s">
        <v>876</v>
      </c>
      <c r="I2282" s="40" t="s">
        <v>3210</v>
      </c>
      <c r="J2282" s="40" t="s">
        <v>3211</v>
      </c>
      <c r="K2282" s="40" t="s">
        <v>591</v>
      </c>
      <c r="L2282" s="40" t="s">
        <v>644</v>
      </c>
      <c r="M2282" s="93">
        <v>1</v>
      </c>
      <c r="N2282" s="94">
        <v>30000</v>
      </c>
      <c r="O2282" s="94">
        <f>N2282*M2282</f>
        <v>30000</v>
      </c>
      <c r="P2282" s="40" t="s">
        <v>3116</v>
      </c>
      <c r="Q2282" s="40" t="s">
        <v>1051</v>
      </c>
      <c r="R2282" s="84">
        <v>196020100</v>
      </c>
      <c r="S2282" s="40">
        <v>100</v>
      </c>
    </row>
    <row r="2283" spans="1:19" s="92" customFormat="1" ht="89.25">
      <c r="A2283" s="5">
        <v>2268</v>
      </c>
      <c r="B2283" s="15" t="s">
        <v>710</v>
      </c>
      <c r="C2283" s="40" t="s">
        <v>597</v>
      </c>
      <c r="D2283" s="40" t="s">
        <v>598</v>
      </c>
      <c r="E2283" s="31" t="s">
        <v>599</v>
      </c>
      <c r="F2283" s="31" t="s">
        <v>782</v>
      </c>
      <c r="G2283" s="31" t="s">
        <v>3195</v>
      </c>
      <c r="H2283" s="40" t="s">
        <v>602</v>
      </c>
      <c r="I2283" s="40" t="s">
        <v>3196</v>
      </c>
      <c r="J2283" s="40" t="s">
        <v>3197</v>
      </c>
      <c r="K2283" s="40" t="s">
        <v>591</v>
      </c>
      <c r="L2283" s="11" t="s">
        <v>914</v>
      </c>
      <c r="M2283" s="93">
        <v>1</v>
      </c>
      <c r="N2283" s="94">
        <v>624400</v>
      </c>
      <c r="O2283" s="94">
        <v>624400</v>
      </c>
      <c r="P2283" s="40" t="s">
        <v>502</v>
      </c>
      <c r="Q2283" s="40" t="s">
        <v>766</v>
      </c>
      <c r="R2283" s="84">
        <v>194830100</v>
      </c>
      <c r="S2283" s="40">
        <v>0</v>
      </c>
    </row>
    <row r="2284" spans="1:19" s="92" customFormat="1" ht="89.25">
      <c r="A2284" s="5">
        <v>2269</v>
      </c>
      <c r="B2284" s="15" t="s">
        <v>710</v>
      </c>
      <c r="C2284" s="40" t="s">
        <v>597</v>
      </c>
      <c r="D2284" s="40" t="s">
        <v>598</v>
      </c>
      <c r="E2284" s="31" t="s">
        <v>599</v>
      </c>
      <c r="F2284" s="31" t="s">
        <v>782</v>
      </c>
      <c r="G2284" s="31" t="s">
        <v>3195</v>
      </c>
      <c r="H2284" s="40" t="s">
        <v>602</v>
      </c>
      <c r="I2284" s="40" t="s">
        <v>3196</v>
      </c>
      <c r="J2284" s="40" t="s">
        <v>3197</v>
      </c>
      <c r="K2284" s="40" t="s">
        <v>591</v>
      </c>
      <c r="L2284" s="11" t="s">
        <v>914</v>
      </c>
      <c r="M2284" s="93">
        <v>1</v>
      </c>
      <c r="N2284" s="94">
        <v>624400</v>
      </c>
      <c r="O2284" s="94">
        <v>624400</v>
      </c>
      <c r="P2284" s="40" t="s">
        <v>502</v>
      </c>
      <c r="Q2284" s="40" t="s">
        <v>766</v>
      </c>
      <c r="R2284" s="84">
        <v>194830100</v>
      </c>
      <c r="S2284" s="40">
        <v>0</v>
      </c>
    </row>
    <row r="2285" spans="1:19" s="92" customFormat="1" ht="51">
      <c r="A2285" s="5">
        <v>2270</v>
      </c>
      <c r="B2285" s="15" t="s">
        <v>710</v>
      </c>
      <c r="C2285" s="40" t="s">
        <v>597</v>
      </c>
      <c r="D2285" s="11" t="s">
        <v>850</v>
      </c>
      <c r="E2285" s="76" t="s">
        <v>1736</v>
      </c>
      <c r="F2285" s="76" t="s">
        <v>851</v>
      </c>
      <c r="G2285" s="76" t="s">
        <v>1737</v>
      </c>
      <c r="H2285" s="76" t="s">
        <v>852</v>
      </c>
      <c r="I2285" s="76" t="s">
        <v>3199</v>
      </c>
      <c r="J2285" s="76" t="s">
        <v>3200</v>
      </c>
      <c r="K2285" s="40" t="s">
        <v>591</v>
      </c>
      <c r="L2285" s="11" t="s">
        <v>914</v>
      </c>
      <c r="M2285" s="97">
        <v>1</v>
      </c>
      <c r="N2285" s="94">
        <f>10000*5</f>
        <v>50000</v>
      </c>
      <c r="O2285" s="94">
        <f>N2285</f>
        <v>50000</v>
      </c>
      <c r="P2285" s="40" t="s">
        <v>698</v>
      </c>
      <c r="Q2285" s="40" t="s">
        <v>766</v>
      </c>
      <c r="R2285" s="84">
        <v>194830100</v>
      </c>
      <c r="S2285" s="40">
        <v>0</v>
      </c>
    </row>
    <row r="2286" spans="1:19" s="92" customFormat="1" ht="51">
      <c r="A2286" s="5">
        <v>2271</v>
      </c>
      <c r="B2286" s="15" t="s">
        <v>710</v>
      </c>
      <c r="C2286" s="40" t="s">
        <v>597</v>
      </c>
      <c r="D2286" s="40" t="s">
        <v>2594</v>
      </c>
      <c r="E2286" s="31" t="s">
        <v>2618</v>
      </c>
      <c r="F2286" s="31" t="s">
        <v>2595</v>
      </c>
      <c r="G2286" s="31" t="s">
        <v>2618</v>
      </c>
      <c r="H2286" s="40" t="s">
        <v>2595</v>
      </c>
      <c r="I2286" s="40" t="s">
        <v>3201</v>
      </c>
      <c r="J2286" s="40" t="s">
        <v>3202</v>
      </c>
      <c r="K2286" s="40" t="s">
        <v>591</v>
      </c>
      <c r="L2286" s="11" t="s">
        <v>914</v>
      </c>
      <c r="M2286" s="93">
        <v>1</v>
      </c>
      <c r="N2286" s="94">
        <f>10500*3</f>
        <v>31500</v>
      </c>
      <c r="O2286" s="94">
        <f>N2286</f>
        <v>31500</v>
      </c>
      <c r="P2286" s="40" t="s">
        <v>3116</v>
      </c>
      <c r="Q2286" s="40" t="s">
        <v>766</v>
      </c>
      <c r="R2286" s="84">
        <v>194830100</v>
      </c>
      <c r="S2286" s="40">
        <v>30</v>
      </c>
    </row>
    <row r="2287" spans="1:19" s="92" customFormat="1" ht="89.25">
      <c r="A2287" s="5">
        <v>2272</v>
      </c>
      <c r="B2287" s="15" t="s">
        <v>710</v>
      </c>
      <c r="C2287" s="40" t="s">
        <v>711</v>
      </c>
      <c r="D2287" s="40" t="s">
        <v>976</v>
      </c>
      <c r="E2287" s="31" t="s">
        <v>730</v>
      </c>
      <c r="F2287" s="31" t="s">
        <v>731</v>
      </c>
      <c r="G2287" s="31" t="s">
        <v>977</v>
      </c>
      <c r="H2287" s="40" t="s">
        <v>978</v>
      </c>
      <c r="I2287" s="40" t="s">
        <v>3203</v>
      </c>
      <c r="J2287" s="40" t="s">
        <v>3204</v>
      </c>
      <c r="K2287" s="40" t="s">
        <v>591</v>
      </c>
      <c r="L2287" s="40" t="s">
        <v>644</v>
      </c>
      <c r="M2287" s="93">
        <v>2</v>
      </c>
      <c r="N2287" s="94">
        <v>26800</v>
      </c>
      <c r="O2287" s="94">
        <f>N2287*M2287</f>
        <v>53600</v>
      </c>
      <c r="P2287" s="40" t="s">
        <v>3116</v>
      </c>
      <c r="Q2287" s="40" t="s">
        <v>1051</v>
      </c>
      <c r="R2287" s="84">
        <v>194830100</v>
      </c>
      <c r="S2287" s="40">
        <v>100</v>
      </c>
    </row>
    <row r="2288" spans="1:19" s="92" customFormat="1" ht="63.75">
      <c r="A2288" s="5">
        <v>2273</v>
      </c>
      <c r="B2288" s="15" t="s">
        <v>710</v>
      </c>
      <c r="C2288" s="40" t="s">
        <v>711</v>
      </c>
      <c r="D2288" s="40" t="s">
        <v>744</v>
      </c>
      <c r="E2288" s="31" t="s">
        <v>745</v>
      </c>
      <c r="F2288" s="31" t="s">
        <v>109</v>
      </c>
      <c r="G2288" s="31" t="s">
        <v>746</v>
      </c>
      <c r="H2288" s="40" t="s">
        <v>3205</v>
      </c>
      <c r="I2288" s="40" t="s">
        <v>3206</v>
      </c>
      <c r="J2288" s="40" t="s">
        <v>3207</v>
      </c>
      <c r="K2288" s="40" t="s">
        <v>591</v>
      </c>
      <c r="L2288" s="40" t="s">
        <v>644</v>
      </c>
      <c r="M2288" s="93">
        <v>6</v>
      </c>
      <c r="N2288" s="94">
        <v>4000</v>
      </c>
      <c r="O2288" s="94">
        <f>M2288*N2288</f>
        <v>24000</v>
      </c>
      <c r="P2288" s="40" t="s">
        <v>3116</v>
      </c>
      <c r="Q2288" s="40" t="s">
        <v>1051</v>
      </c>
      <c r="R2288" s="84">
        <v>194830100</v>
      </c>
      <c r="S2288" s="40">
        <v>100</v>
      </c>
    </row>
    <row r="2289" spans="1:19" s="92" customFormat="1" ht="51">
      <c r="A2289" s="5">
        <v>2274</v>
      </c>
      <c r="B2289" s="15" t="s">
        <v>710</v>
      </c>
      <c r="C2289" s="40" t="s">
        <v>711</v>
      </c>
      <c r="D2289" s="98" t="s">
        <v>422</v>
      </c>
      <c r="E2289" s="76" t="s">
        <v>423</v>
      </c>
      <c r="F2289" s="76" t="s">
        <v>427</v>
      </c>
      <c r="G2289" s="76" t="s">
        <v>837</v>
      </c>
      <c r="H2289" s="76" t="s">
        <v>425</v>
      </c>
      <c r="I2289" s="76" t="s">
        <v>3208</v>
      </c>
      <c r="J2289" s="76" t="s">
        <v>3209</v>
      </c>
      <c r="K2289" s="76" t="s">
        <v>591</v>
      </c>
      <c r="L2289" s="11" t="s">
        <v>909</v>
      </c>
      <c r="M2289" s="53">
        <v>18</v>
      </c>
      <c r="N2289" s="94">
        <v>640</v>
      </c>
      <c r="O2289" s="94">
        <f>N2289*M2289</f>
        <v>11520</v>
      </c>
      <c r="P2289" s="40" t="s">
        <v>3116</v>
      </c>
      <c r="Q2289" s="40" t="s">
        <v>766</v>
      </c>
      <c r="R2289" s="84">
        <v>194830100</v>
      </c>
      <c r="S2289" s="40">
        <v>100</v>
      </c>
    </row>
    <row r="2290" spans="1:19" s="92" customFormat="1" ht="76.5">
      <c r="A2290" s="5">
        <v>2275</v>
      </c>
      <c r="B2290" s="15" t="s">
        <v>710</v>
      </c>
      <c r="C2290" s="40" t="s">
        <v>711</v>
      </c>
      <c r="D2290" s="40" t="s">
        <v>723</v>
      </c>
      <c r="E2290" s="31" t="s">
        <v>874</v>
      </c>
      <c r="F2290" s="31" t="s">
        <v>874</v>
      </c>
      <c r="G2290" s="31" t="s">
        <v>875</v>
      </c>
      <c r="H2290" s="40" t="s">
        <v>876</v>
      </c>
      <c r="I2290" s="40" t="s">
        <v>3210</v>
      </c>
      <c r="J2290" s="40" t="s">
        <v>3211</v>
      </c>
      <c r="K2290" s="40" t="s">
        <v>591</v>
      </c>
      <c r="L2290" s="40" t="s">
        <v>644</v>
      </c>
      <c r="M2290" s="93">
        <v>1</v>
      </c>
      <c r="N2290" s="94">
        <v>30000</v>
      </c>
      <c r="O2290" s="94">
        <f>N2290*M2290</f>
        <v>30000</v>
      </c>
      <c r="P2290" s="40" t="s">
        <v>3116</v>
      </c>
      <c r="Q2290" s="40" t="s">
        <v>1051</v>
      </c>
      <c r="R2290" s="84">
        <v>194830100</v>
      </c>
      <c r="S2290" s="40">
        <v>100</v>
      </c>
    </row>
    <row r="2291" spans="1:19" s="92" customFormat="1" ht="89.25">
      <c r="A2291" s="5">
        <v>2276</v>
      </c>
      <c r="B2291" s="15" t="s">
        <v>710</v>
      </c>
      <c r="C2291" s="40" t="s">
        <v>597</v>
      </c>
      <c r="D2291" s="40" t="s">
        <v>598</v>
      </c>
      <c r="E2291" s="31" t="s">
        <v>599</v>
      </c>
      <c r="F2291" s="31" t="s">
        <v>782</v>
      </c>
      <c r="G2291" s="31" t="s">
        <v>3195</v>
      </c>
      <c r="H2291" s="40" t="s">
        <v>602</v>
      </c>
      <c r="I2291" s="40" t="s">
        <v>3196</v>
      </c>
      <c r="J2291" s="40" t="s">
        <v>3197</v>
      </c>
      <c r="K2291" s="40" t="s">
        <v>591</v>
      </c>
      <c r="L2291" s="11" t="s">
        <v>914</v>
      </c>
      <c r="M2291" s="93">
        <v>1</v>
      </c>
      <c r="N2291" s="94">
        <v>624400</v>
      </c>
      <c r="O2291" s="94">
        <v>624400</v>
      </c>
      <c r="P2291" s="40" t="s">
        <v>502</v>
      </c>
      <c r="Q2291" s="40" t="s">
        <v>766</v>
      </c>
      <c r="R2291" s="84">
        <v>194230100</v>
      </c>
      <c r="S2291" s="40">
        <v>0</v>
      </c>
    </row>
    <row r="2292" spans="1:19" s="92" customFormat="1" ht="89.25">
      <c r="A2292" s="5">
        <v>2277</v>
      </c>
      <c r="B2292" s="15" t="s">
        <v>710</v>
      </c>
      <c r="C2292" s="40" t="s">
        <v>597</v>
      </c>
      <c r="D2292" s="40" t="s">
        <v>598</v>
      </c>
      <c r="E2292" s="31" t="s">
        <v>599</v>
      </c>
      <c r="F2292" s="31" t="s">
        <v>782</v>
      </c>
      <c r="G2292" s="31" t="s">
        <v>3195</v>
      </c>
      <c r="H2292" s="40" t="s">
        <v>602</v>
      </c>
      <c r="I2292" s="40" t="s">
        <v>3196</v>
      </c>
      <c r="J2292" s="40" t="s">
        <v>3197</v>
      </c>
      <c r="K2292" s="40" t="s">
        <v>591</v>
      </c>
      <c r="L2292" s="11" t="s">
        <v>914</v>
      </c>
      <c r="M2292" s="93">
        <v>1</v>
      </c>
      <c r="N2292" s="94">
        <v>624400</v>
      </c>
      <c r="O2292" s="94">
        <v>624400</v>
      </c>
      <c r="P2292" s="40" t="s">
        <v>502</v>
      </c>
      <c r="Q2292" s="40" t="s">
        <v>766</v>
      </c>
      <c r="R2292" s="84">
        <v>194230100</v>
      </c>
      <c r="S2292" s="40">
        <v>0</v>
      </c>
    </row>
    <row r="2293" spans="1:19" s="92" customFormat="1" ht="51">
      <c r="A2293" s="5">
        <v>2278</v>
      </c>
      <c r="B2293" s="15" t="s">
        <v>710</v>
      </c>
      <c r="C2293" s="40" t="s">
        <v>597</v>
      </c>
      <c r="D2293" s="11" t="s">
        <v>850</v>
      </c>
      <c r="E2293" s="76" t="s">
        <v>1736</v>
      </c>
      <c r="F2293" s="76" t="s">
        <v>851</v>
      </c>
      <c r="G2293" s="76" t="s">
        <v>1737</v>
      </c>
      <c r="H2293" s="76" t="s">
        <v>852</v>
      </c>
      <c r="I2293" s="76" t="s">
        <v>3199</v>
      </c>
      <c r="J2293" s="76" t="s">
        <v>3200</v>
      </c>
      <c r="K2293" s="40" t="s">
        <v>591</v>
      </c>
      <c r="L2293" s="11" t="s">
        <v>914</v>
      </c>
      <c r="M2293" s="97">
        <v>1</v>
      </c>
      <c r="N2293" s="94">
        <f>10000*5</f>
        <v>50000</v>
      </c>
      <c r="O2293" s="94">
        <f>N2293</f>
        <v>50000</v>
      </c>
      <c r="P2293" s="40" t="s">
        <v>698</v>
      </c>
      <c r="Q2293" s="40" t="s">
        <v>766</v>
      </c>
      <c r="R2293" s="84">
        <v>194230100</v>
      </c>
      <c r="S2293" s="40">
        <v>0</v>
      </c>
    </row>
    <row r="2294" spans="1:19" s="92" customFormat="1" ht="51">
      <c r="A2294" s="5">
        <v>2279</v>
      </c>
      <c r="B2294" s="15" t="s">
        <v>710</v>
      </c>
      <c r="C2294" s="40" t="s">
        <v>597</v>
      </c>
      <c r="D2294" s="40" t="s">
        <v>2594</v>
      </c>
      <c r="E2294" s="31" t="s">
        <v>2618</v>
      </c>
      <c r="F2294" s="31" t="s">
        <v>2595</v>
      </c>
      <c r="G2294" s="31" t="s">
        <v>2618</v>
      </c>
      <c r="H2294" s="40" t="s">
        <v>2595</v>
      </c>
      <c r="I2294" s="40" t="s">
        <v>3201</v>
      </c>
      <c r="J2294" s="40" t="s">
        <v>3202</v>
      </c>
      <c r="K2294" s="40" t="s">
        <v>591</v>
      </c>
      <c r="L2294" s="11" t="s">
        <v>914</v>
      </c>
      <c r="M2294" s="93">
        <v>1</v>
      </c>
      <c r="N2294" s="94">
        <f>10500*3</f>
        <v>31500</v>
      </c>
      <c r="O2294" s="94">
        <f>N2294</f>
        <v>31500</v>
      </c>
      <c r="P2294" s="40" t="s">
        <v>3116</v>
      </c>
      <c r="Q2294" s="40" t="s">
        <v>766</v>
      </c>
      <c r="R2294" s="84">
        <v>194230100</v>
      </c>
      <c r="S2294" s="40">
        <v>30</v>
      </c>
    </row>
    <row r="2295" spans="1:19" s="92" customFormat="1" ht="89.25">
      <c r="A2295" s="5">
        <v>2280</v>
      </c>
      <c r="B2295" s="15" t="s">
        <v>710</v>
      </c>
      <c r="C2295" s="40" t="s">
        <v>711</v>
      </c>
      <c r="D2295" s="40" t="s">
        <v>976</v>
      </c>
      <c r="E2295" s="31" t="s">
        <v>730</v>
      </c>
      <c r="F2295" s="31" t="s">
        <v>731</v>
      </c>
      <c r="G2295" s="31" t="s">
        <v>977</v>
      </c>
      <c r="H2295" s="40" t="s">
        <v>978</v>
      </c>
      <c r="I2295" s="40" t="s">
        <v>3203</v>
      </c>
      <c r="J2295" s="40" t="s">
        <v>3204</v>
      </c>
      <c r="K2295" s="40" t="s">
        <v>591</v>
      </c>
      <c r="L2295" s="40" t="s">
        <v>644</v>
      </c>
      <c r="M2295" s="93">
        <v>2</v>
      </c>
      <c r="N2295" s="94">
        <v>26800</v>
      </c>
      <c r="O2295" s="94">
        <f>N2295*M2295</f>
        <v>53600</v>
      </c>
      <c r="P2295" s="40" t="s">
        <v>3116</v>
      </c>
      <c r="Q2295" s="40" t="s">
        <v>1051</v>
      </c>
      <c r="R2295" s="84">
        <v>194230100</v>
      </c>
      <c r="S2295" s="40">
        <v>100</v>
      </c>
    </row>
    <row r="2296" spans="1:19" s="92" customFormat="1" ht="63.75">
      <c r="A2296" s="5">
        <v>2281</v>
      </c>
      <c r="B2296" s="15" t="s">
        <v>710</v>
      </c>
      <c r="C2296" s="40" t="s">
        <v>711</v>
      </c>
      <c r="D2296" s="40" t="s">
        <v>744</v>
      </c>
      <c r="E2296" s="31" t="s">
        <v>745</v>
      </c>
      <c r="F2296" s="31" t="s">
        <v>109</v>
      </c>
      <c r="G2296" s="31" t="s">
        <v>746</v>
      </c>
      <c r="H2296" s="40" t="s">
        <v>3205</v>
      </c>
      <c r="I2296" s="40" t="s">
        <v>3206</v>
      </c>
      <c r="J2296" s="40" t="s">
        <v>3207</v>
      </c>
      <c r="K2296" s="40" t="s">
        <v>591</v>
      </c>
      <c r="L2296" s="40" t="s">
        <v>644</v>
      </c>
      <c r="M2296" s="93">
        <v>6</v>
      </c>
      <c r="N2296" s="94">
        <v>4000</v>
      </c>
      <c r="O2296" s="94">
        <f>M2296*N2296</f>
        <v>24000</v>
      </c>
      <c r="P2296" s="40" t="s">
        <v>3116</v>
      </c>
      <c r="Q2296" s="40" t="s">
        <v>1051</v>
      </c>
      <c r="R2296" s="84">
        <v>194230100</v>
      </c>
      <c r="S2296" s="40">
        <v>100</v>
      </c>
    </row>
    <row r="2297" spans="1:19" s="92" customFormat="1" ht="51">
      <c r="A2297" s="5">
        <v>2282</v>
      </c>
      <c r="B2297" s="15" t="s">
        <v>710</v>
      </c>
      <c r="C2297" s="40" t="s">
        <v>711</v>
      </c>
      <c r="D2297" s="98" t="s">
        <v>422</v>
      </c>
      <c r="E2297" s="76" t="s">
        <v>423</v>
      </c>
      <c r="F2297" s="76" t="s">
        <v>427</v>
      </c>
      <c r="G2297" s="76" t="s">
        <v>837</v>
      </c>
      <c r="H2297" s="76" t="s">
        <v>425</v>
      </c>
      <c r="I2297" s="76" t="s">
        <v>3208</v>
      </c>
      <c r="J2297" s="76" t="s">
        <v>3209</v>
      </c>
      <c r="K2297" s="76" t="s">
        <v>591</v>
      </c>
      <c r="L2297" s="11" t="s">
        <v>909</v>
      </c>
      <c r="M2297" s="53">
        <v>18</v>
      </c>
      <c r="N2297" s="94">
        <v>640</v>
      </c>
      <c r="O2297" s="94">
        <f>N2297*M2297</f>
        <v>11520</v>
      </c>
      <c r="P2297" s="40" t="s">
        <v>3116</v>
      </c>
      <c r="Q2297" s="40" t="s">
        <v>766</v>
      </c>
      <c r="R2297" s="84">
        <v>194230100</v>
      </c>
      <c r="S2297" s="40">
        <v>100</v>
      </c>
    </row>
    <row r="2298" spans="1:19" s="92" customFormat="1" ht="76.5">
      <c r="A2298" s="5">
        <v>2283</v>
      </c>
      <c r="B2298" s="15" t="s">
        <v>710</v>
      </c>
      <c r="C2298" s="40" t="s">
        <v>711</v>
      </c>
      <c r="D2298" s="40" t="s">
        <v>723</v>
      </c>
      <c r="E2298" s="31" t="s">
        <v>874</v>
      </c>
      <c r="F2298" s="31" t="s">
        <v>874</v>
      </c>
      <c r="G2298" s="31" t="s">
        <v>875</v>
      </c>
      <c r="H2298" s="40" t="s">
        <v>876</v>
      </c>
      <c r="I2298" s="40" t="s">
        <v>3210</v>
      </c>
      <c r="J2298" s="40" t="s">
        <v>3211</v>
      </c>
      <c r="K2298" s="40" t="s">
        <v>591</v>
      </c>
      <c r="L2298" s="40" t="s">
        <v>644</v>
      </c>
      <c r="M2298" s="93">
        <v>1</v>
      </c>
      <c r="N2298" s="94">
        <v>30000</v>
      </c>
      <c r="O2298" s="94">
        <f>N2298*M2298</f>
        <v>30000</v>
      </c>
      <c r="P2298" s="40" t="s">
        <v>3116</v>
      </c>
      <c r="Q2298" s="40" t="s">
        <v>1051</v>
      </c>
      <c r="R2298" s="84">
        <v>194230100</v>
      </c>
      <c r="S2298" s="40">
        <v>100</v>
      </c>
    </row>
    <row r="2299" spans="1:19" s="92" customFormat="1" ht="89.25">
      <c r="A2299" s="5">
        <v>2284</v>
      </c>
      <c r="B2299" s="15" t="s">
        <v>710</v>
      </c>
      <c r="C2299" s="40" t="s">
        <v>597</v>
      </c>
      <c r="D2299" s="40" t="s">
        <v>598</v>
      </c>
      <c r="E2299" s="31" t="s">
        <v>599</v>
      </c>
      <c r="F2299" s="31" t="s">
        <v>782</v>
      </c>
      <c r="G2299" s="31" t="s">
        <v>3195</v>
      </c>
      <c r="H2299" s="40" t="s">
        <v>602</v>
      </c>
      <c r="I2299" s="40" t="s">
        <v>3196</v>
      </c>
      <c r="J2299" s="40" t="s">
        <v>3197</v>
      </c>
      <c r="K2299" s="40" t="s">
        <v>591</v>
      </c>
      <c r="L2299" s="11" t="s">
        <v>914</v>
      </c>
      <c r="M2299" s="93">
        <v>1</v>
      </c>
      <c r="N2299" s="94">
        <v>624400</v>
      </c>
      <c r="O2299" s="94">
        <v>624400</v>
      </c>
      <c r="P2299" s="40" t="s">
        <v>502</v>
      </c>
      <c r="Q2299" s="40" t="s">
        <v>766</v>
      </c>
      <c r="R2299" s="84">
        <v>194630100</v>
      </c>
      <c r="S2299" s="40">
        <v>0</v>
      </c>
    </row>
    <row r="2300" spans="1:19" s="92" customFormat="1" ht="89.25">
      <c r="A2300" s="5">
        <v>2285</v>
      </c>
      <c r="B2300" s="15" t="s">
        <v>710</v>
      </c>
      <c r="C2300" s="40" t="s">
        <v>597</v>
      </c>
      <c r="D2300" s="40" t="s">
        <v>598</v>
      </c>
      <c r="E2300" s="31" t="s">
        <v>599</v>
      </c>
      <c r="F2300" s="31" t="s">
        <v>782</v>
      </c>
      <c r="G2300" s="31" t="s">
        <v>3195</v>
      </c>
      <c r="H2300" s="40" t="s">
        <v>602</v>
      </c>
      <c r="I2300" s="40" t="s">
        <v>3196</v>
      </c>
      <c r="J2300" s="40" t="s">
        <v>3197</v>
      </c>
      <c r="K2300" s="40" t="s">
        <v>591</v>
      </c>
      <c r="L2300" s="11" t="s">
        <v>914</v>
      </c>
      <c r="M2300" s="93">
        <v>1</v>
      </c>
      <c r="N2300" s="94">
        <v>624400</v>
      </c>
      <c r="O2300" s="94">
        <v>624400</v>
      </c>
      <c r="P2300" s="40" t="s">
        <v>502</v>
      </c>
      <c r="Q2300" s="40" t="s">
        <v>766</v>
      </c>
      <c r="R2300" s="84">
        <v>194630100</v>
      </c>
      <c r="S2300" s="40">
        <v>0</v>
      </c>
    </row>
    <row r="2301" spans="1:19" s="92" customFormat="1" ht="51">
      <c r="A2301" s="5">
        <v>2286</v>
      </c>
      <c r="B2301" s="15" t="s">
        <v>710</v>
      </c>
      <c r="C2301" s="40" t="s">
        <v>597</v>
      </c>
      <c r="D2301" s="11" t="s">
        <v>850</v>
      </c>
      <c r="E2301" s="76" t="s">
        <v>1736</v>
      </c>
      <c r="F2301" s="76" t="s">
        <v>851</v>
      </c>
      <c r="G2301" s="76" t="s">
        <v>1737</v>
      </c>
      <c r="H2301" s="76" t="s">
        <v>852</v>
      </c>
      <c r="I2301" s="76" t="s">
        <v>3199</v>
      </c>
      <c r="J2301" s="76" t="s">
        <v>3200</v>
      </c>
      <c r="K2301" s="40" t="s">
        <v>591</v>
      </c>
      <c r="L2301" s="11" t="s">
        <v>914</v>
      </c>
      <c r="M2301" s="97">
        <v>1</v>
      </c>
      <c r="N2301" s="94">
        <f>10000*5</f>
        <v>50000</v>
      </c>
      <c r="O2301" s="94">
        <f>N2301</f>
        <v>50000</v>
      </c>
      <c r="P2301" s="40" t="s">
        <v>698</v>
      </c>
      <c r="Q2301" s="40" t="s">
        <v>766</v>
      </c>
      <c r="R2301" s="84">
        <v>194630100</v>
      </c>
      <c r="S2301" s="40">
        <v>0</v>
      </c>
    </row>
    <row r="2302" spans="1:19" s="92" customFormat="1" ht="51">
      <c r="A2302" s="5">
        <v>2287</v>
      </c>
      <c r="B2302" s="15" t="s">
        <v>710</v>
      </c>
      <c r="C2302" s="40" t="s">
        <v>597</v>
      </c>
      <c r="D2302" s="40" t="s">
        <v>2594</v>
      </c>
      <c r="E2302" s="31" t="s">
        <v>2618</v>
      </c>
      <c r="F2302" s="31" t="s">
        <v>2595</v>
      </c>
      <c r="G2302" s="31" t="s">
        <v>2618</v>
      </c>
      <c r="H2302" s="40" t="s">
        <v>2595</v>
      </c>
      <c r="I2302" s="40" t="s">
        <v>3201</v>
      </c>
      <c r="J2302" s="40" t="s">
        <v>3202</v>
      </c>
      <c r="K2302" s="40" t="s">
        <v>591</v>
      </c>
      <c r="L2302" s="11" t="s">
        <v>914</v>
      </c>
      <c r="M2302" s="93">
        <v>1</v>
      </c>
      <c r="N2302" s="94">
        <f>10500*3</f>
        <v>31500</v>
      </c>
      <c r="O2302" s="94">
        <f>N2302</f>
        <v>31500</v>
      </c>
      <c r="P2302" s="40" t="s">
        <v>3116</v>
      </c>
      <c r="Q2302" s="40" t="s">
        <v>766</v>
      </c>
      <c r="R2302" s="84">
        <v>194630100</v>
      </c>
      <c r="S2302" s="40">
        <v>30</v>
      </c>
    </row>
    <row r="2303" spans="1:19" s="92" customFormat="1" ht="89.25">
      <c r="A2303" s="5">
        <v>2288</v>
      </c>
      <c r="B2303" s="15" t="s">
        <v>710</v>
      </c>
      <c r="C2303" s="40" t="s">
        <v>711</v>
      </c>
      <c r="D2303" s="40" t="s">
        <v>976</v>
      </c>
      <c r="E2303" s="31" t="s">
        <v>730</v>
      </c>
      <c r="F2303" s="31" t="s">
        <v>731</v>
      </c>
      <c r="G2303" s="31" t="s">
        <v>977</v>
      </c>
      <c r="H2303" s="40" t="s">
        <v>978</v>
      </c>
      <c r="I2303" s="40" t="s">
        <v>3203</v>
      </c>
      <c r="J2303" s="40" t="s">
        <v>3204</v>
      </c>
      <c r="K2303" s="40" t="s">
        <v>591</v>
      </c>
      <c r="L2303" s="40" t="s">
        <v>644</v>
      </c>
      <c r="M2303" s="93">
        <v>2</v>
      </c>
      <c r="N2303" s="94">
        <v>26800</v>
      </c>
      <c r="O2303" s="94">
        <f>N2303*M2303</f>
        <v>53600</v>
      </c>
      <c r="P2303" s="40" t="s">
        <v>3116</v>
      </c>
      <c r="Q2303" s="40" t="s">
        <v>1051</v>
      </c>
      <c r="R2303" s="84">
        <v>194630100</v>
      </c>
      <c r="S2303" s="40">
        <v>100</v>
      </c>
    </row>
    <row r="2304" spans="1:19" s="92" customFormat="1" ht="63.75">
      <c r="A2304" s="5">
        <v>2289</v>
      </c>
      <c r="B2304" s="15" t="s">
        <v>710</v>
      </c>
      <c r="C2304" s="40" t="s">
        <v>711</v>
      </c>
      <c r="D2304" s="40" t="s">
        <v>744</v>
      </c>
      <c r="E2304" s="31" t="s">
        <v>745</v>
      </c>
      <c r="F2304" s="31" t="s">
        <v>109</v>
      </c>
      <c r="G2304" s="31" t="s">
        <v>746</v>
      </c>
      <c r="H2304" s="40" t="s">
        <v>3205</v>
      </c>
      <c r="I2304" s="40" t="s">
        <v>3206</v>
      </c>
      <c r="J2304" s="40" t="s">
        <v>3207</v>
      </c>
      <c r="K2304" s="40" t="s">
        <v>591</v>
      </c>
      <c r="L2304" s="40" t="s">
        <v>644</v>
      </c>
      <c r="M2304" s="93">
        <v>6</v>
      </c>
      <c r="N2304" s="94">
        <v>4000</v>
      </c>
      <c r="O2304" s="94">
        <f>M2304*N2304</f>
        <v>24000</v>
      </c>
      <c r="P2304" s="40" t="s">
        <v>3116</v>
      </c>
      <c r="Q2304" s="40" t="s">
        <v>1051</v>
      </c>
      <c r="R2304" s="84">
        <v>194630100</v>
      </c>
      <c r="S2304" s="40">
        <v>100</v>
      </c>
    </row>
    <row r="2305" spans="1:19" s="92" customFormat="1" ht="51">
      <c r="A2305" s="5">
        <v>2290</v>
      </c>
      <c r="B2305" s="15" t="s">
        <v>710</v>
      </c>
      <c r="C2305" s="40" t="s">
        <v>711</v>
      </c>
      <c r="D2305" s="98" t="s">
        <v>422</v>
      </c>
      <c r="E2305" s="76" t="s">
        <v>423</v>
      </c>
      <c r="F2305" s="76" t="s">
        <v>427</v>
      </c>
      <c r="G2305" s="76" t="s">
        <v>837</v>
      </c>
      <c r="H2305" s="76" t="s">
        <v>425</v>
      </c>
      <c r="I2305" s="76" t="s">
        <v>3208</v>
      </c>
      <c r="J2305" s="76" t="s">
        <v>3209</v>
      </c>
      <c r="K2305" s="76" t="s">
        <v>591</v>
      </c>
      <c r="L2305" s="11" t="s">
        <v>909</v>
      </c>
      <c r="M2305" s="53">
        <v>18</v>
      </c>
      <c r="N2305" s="94">
        <v>640</v>
      </c>
      <c r="O2305" s="94">
        <f>N2305*M2305</f>
        <v>11520</v>
      </c>
      <c r="P2305" s="40" t="s">
        <v>3116</v>
      </c>
      <c r="Q2305" s="40" t="s">
        <v>766</v>
      </c>
      <c r="R2305" s="84">
        <v>194630100</v>
      </c>
      <c r="S2305" s="40">
        <v>100</v>
      </c>
    </row>
    <row r="2306" spans="1:19" s="92" customFormat="1" ht="76.5">
      <c r="A2306" s="5">
        <v>2291</v>
      </c>
      <c r="B2306" s="15" t="s">
        <v>710</v>
      </c>
      <c r="C2306" s="40" t="s">
        <v>711</v>
      </c>
      <c r="D2306" s="40" t="s">
        <v>723</v>
      </c>
      <c r="E2306" s="31" t="s">
        <v>874</v>
      </c>
      <c r="F2306" s="31" t="s">
        <v>874</v>
      </c>
      <c r="G2306" s="31" t="s">
        <v>875</v>
      </c>
      <c r="H2306" s="40" t="s">
        <v>876</v>
      </c>
      <c r="I2306" s="40" t="s">
        <v>3210</v>
      </c>
      <c r="J2306" s="40" t="s">
        <v>3211</v>
      </c>
      <c r="K2306" s="40" t="s">
        <v>591</v>
      </c>
      <c r="L2306" s="40" t="s">
        <v>644</v>
      </c>
      <c r="M2306" s="93">
        <v>1</v>
      </c>
      <c r="N2306" s="94">
        <v>30000</v>
      </c>
      <c r="O2306" s="94">
        <f>N2306*M2306</f>
        <v>30000</v>
      </c>
      <c r="P2306" s="40" t="s">
        <v>3116</v>
      </c>
      <c r="Q2306" s="40" t="s">
        <v>1051</v>
      </c>
      <c r="R2306" s="84">
        <v>194630100</v>
      </c>
      <c r="S2306" s="40">
        <v>100</v>
      </c>
    </row>
    <row r="2307" spans="1:19" s="92" customFormat="1" ht="89.25">
      <c r="A2307" s="5">
        <v>2292</v>
      </c>
      <c r="B2307" s="15" t="s">
        <v>710</v>
      </c>
      <c r="C2307" s="40" t="s">
        <v>597</v>
      </c>
      <c r="D2307" s="40" t="s">
        <v>598</v>
      </c>
      <c r="E2307" s="31" t="s">
        <v>599</v>
      </c>
      <c r="F2307" s="31" t="s">
        <v>782</v>
      </c>
      <c r="G2307" s="31" t="s">
        <v>3195</v>
      </c>
      <c r="H2307" s="40" t="s">
        <v>602</v>
      </c>
      <c r="I2307" s="40" t="s">
        <v>3196</v>
      </c>
      <c r="J2307" s="40" t="s">
        <v>3197</v>
      </c>
      <c r="K2307" s="40" t="s">
        <v>591</v>
      </c>
      <c r="L2307" s="11" t="s">
        <v>914</v>
      </c>
      <c r="M2307" s="93">
        <v>1</v>
      </c>
      <c r="N2307" s="94">
        <v>624400</v>
      </c>
      <c r="O2307" s="94">
        <v>624400</v>
      </c>
      <c r="P2307" s="40" t="s">
        <v>502</v>
      </c>
      <c r="Q2307" s="40" t="s">
        <v>766</v>
      </c>
      <c r="R2307" s="84">
        <v>195620100</v>
      </c>
      <c r="S2307" s="40">
        <v>0</v>
      </c>
    </row>
    <row r="2308" spans="1:19" s="92" customFormat="1" ht="89.25">
      <c r="A2308" s="5">
        <v>2293</v>
      </c>
      <c r="B2308" s="15" t="s">
        <v>710</v>
      </c>
      <c r="C2308" s="40" t="s">
        <v>597</v>
      </c>
      <c r="D2308" s="40" t="s">
        <v>598</v>
      </c>
      <c r="E2308" s="31" t="s">
        <v>599</v>
      </c>
      <c r="F2308" s="31" t="s">
        <v>782</v>
      </c>
      <c r="G2308" s="31" t="s">
        <v>3195</v>
      </c>
      <c r="H2308" s="40" t="s">
        <v>602</v>
      </c>
      <c r="I2308" s="40" t="s">
        <v>3196</v>
      </c>
      <c r="J2308" s="40" t="s">
        <v>3197</v>
      </c>
      <c r="K2308" s="40" t="s">
        <v>591</v>
      </c>
      <c r="L2308" s="11" t="s">
        <v>914</v>
      </c>
      <c r="M2308" s="93">
        <v>1</v>
      </c>
      <c r="N2308" s="94">
        <v>624400</v>
      </c>
      <c r="O2308" s="94">
        <v>624400</v>
      </c>
      <c r="P2308" s="40" t="s">
        <v>502</v>
      </c>
      <c r="Q2308" s="40" t="s">
        <v>766</v>
      </c>
      <c r="R2308" s="84">
        <v>195620100</v>
      </c>
      <c r="S2308" s="40">
        <v>0</v>
      </c>
    </row>
    <row r="2309" spans="1:19" s="92" customFormat="1" ht="51">
      <c r="A2309" s="5">
        <v>2294</v>
      </c>
      <c r="B2309" s="15" t="s">
        <v>710</v>
      </c>
      <c r="C2309" s="40" t="s">
        <v>597</v>
      </c>
      <c r="D2309" s="11" t="s">
        <v>850</v>
      </c>
      <c r="E2309" s="76" t="s">
        <v>1736</v>
      </c>
      <c r="F2309" s="76" t="s">
        <v>851</v>
      </c>
      <c r="G2309" s="76" t="s">
        <v>1737</v>
      </c>
      <c r="H2309" s="76" t="s">
        <v>852</v>
      </c>
      <c r="I2309" s="76" t="s">
        <v>3199</v>
      </c>
      <c r="J2309" s="76" t="s">
        <v>3200</v>
      </c>
      <c r="K2309" s="40" t="s">
        <v>591</v>
      </c>
      <c r="L2309" s="11" t="s">
        <v>914</v>
      </c>
      <c r="M2309" s="97">
        <v>1</v>
      </c>
      <c r="N2309" s="94">
        <f>10000*5</f>
        <v>50000</v>
      </c>
      <c r="O2309" s="94">
        <f>N2309</f>
        <v>50000</v>
      </c>
      <c r="P2309" s="40" t="s">
        <v>698</v>
      </c>
      <c r="Q2309" s="40" t="s">
        <v>766</v>
      </c>
      <c r="R2309" s="84">
        <v>195620100</v>
      </c>
      <c r="S2309" s="40">
        <v>0</v>
      </c>
    </row>
    <row r="2310" spans="1:19" s="92" customFormat="1" ht="51">
      <c r="A2310" s="5">
        <v>2295</v>
      </c>
      <c r="B2310" s="15" t="s">
        <v>710</v>
      </c>
      <c r="C2310" s="40" t="s">
        <v>597</v>
      </c>
      <c r="D2310" s="40" t="s">
        <v>2594</v>
      </c>
      <c r="E2310" s="31" t="s">
        <v>2618</v>
      </c>
      <c r="F2310" s="31" t="s">
        <v>2595</v>
      </c>
      <c r="G2310" s="31" t="s">
        <v>2618</v>
      </c>
      <c r="H2310" s="40" t="s">
        <v>2595</v>
      </c>
      <c r="I2310" s="40" t="s">
        <v>3201</v>
      </c>
      <c r="J2310" s="40" t="s">
        <v>3202</v>
      </c>
      <c r="K2310" s="40" t="s">
        <v>591</v>
      </c>
      <c r="L2310" s="11" t="s">
        <v>914</v>
      </c>
      <c r="M2310" s="93">
        <v>1</v>
      </c>
      <c r="N2310" s="94">
        <f>10500*3</f>
        <v>31500</v>
      </c>
      <c r="O2310" s="94">
        <f>N2310</f>
        <v>31500</v>
      </c>
      <c r="P2310" s="40" t="s">
        <v>3116</v>
      </c>
      <c r="Q2310" s="40" t="s">
        <v>766</v>
      </c>
      <c r="R2310" s="84">
        <v>195620100</v>
      </c>
      <c r="S2310" s="40">
        <v>30</v>
      </c>
    </row>
    <row r="2311" spans="1:19" s="92" customFormat="1" ht="89.25">
      <c r="A2311" s="5">
        <v>2296</v>
      </c>
      <c r="B2311" s="15" t="s">
        <v>710</v>
      </c>
      <c r="C2311" s="40" t="s">
        <v>711</v>
      </c>
      <c r="D2311" s="40" t="s">
        <v>976</v>
      </c>
      <c r="E2311" s="31" t="s">
        <v>730</v>
      </c>
      <c r="F2311" s="31" t="s">
        <v>731</v>
      </c>
      <c r="G2311" s="31" t="s">
        <v>977</v>
      </c>
      <c r="H2311" s="40" t="s">
        <v>978</v>
      </c>
      <c r="I2311" s="40" t="s">
        <v>3203</v>
      </c>
      <c r="J2311" s="40" t="s">
        <v>3204</v>
      </c>
      <c r="K2311" s="40" t="s">
        <v>591</v>
      </c>
      <c r="L2311" s="40" t="s">
        <v>644</v>
      </c>
      <c r="M2311" s="93">
        <v>2</v>
      </c>
      <c r="N2311" s="94">
        <v>26800</v>
      </c>
      <c r="O2311" s="94">
        <f>N2311*M2311</f>
        <v>53600</v>
      </c>
      <c r="P2311" s="40" t="s">
        <v>3116</v>
      </c>
      <c r="Q2311" s="40" t="s">
        <v>1051</v>
      </c>
      <c r="R2311" s="84">
        <v>195620100</v>
      </c>
      <c r="S2311" s="40">
        <v>100</v>
      </c>
    </row>
    <row r="2312" spans="1:19" s="92" customFormat="1" ht="63.75">
      <c r="A2312" s="5">
        <v>2297</v>
      </c>
      <c r="B2312" s="15" t="s">
        <v>710</v>
      </c>
      <c r="C2312" s="40" t="s">
        <v>711</v>
      </c>
      <c r="D2312" s="40" t="s">
        <v>744</v>
      </c>
      <c r="E2312" s="31" t="s">
        <v>745</v>
      </c>
      <c r="F2312" s="31" t="s">
        <v>109</v>
      </c>
      <c r="G2312" s="31" t="s">
        <v>746</v>
      </c>
      <c r="H2312" s="40" t="s">
        <v>3205</v>
      </c>
      <c r="I2312" s="40" t="s">
        <v>3206</v>
      </c>
      <c r="J2312" s="40" t="s">
        <v>3207</v>
      </c>
      <c r="K2312" s="40" t="s">
        <v>591</v>
      </c>
      <c r="L2312" s="40" t="s">
        <v>644</v>
      </c>
      <c r="M2312" s="93">
        <v>6</v>
      </c>
      <c r="N2312" s="94">
        <v>4000</v>
      </c>
      <c r="O2312" s="94">
        <f>M2312*N2312</f>
        <v>24000</v>
      </c>
      <c r="P2312" s="40" t="s">
        <v>3116</v>
      </c>
      <c r="Q2312" s="40" t="s">
        <v>1051</v>
      </c>
      <c r="R2312" s="84">
        <v>195620100</v>
      </c>
      <c r="S2312" s="40">
        <v>100</v>
      </c>
    </row>
    <row r="2313" spans="1:19" s="92" customFormat="1" ht="51">
      <c r="A2313" s="5">
        <v>2298</v>
      </c>
      <c r="B2313" s="15" t="s">
        <v>710</v>
      </c>
      <c r="C2313" s="40" t="s">
        <v>711</v>
      </c>
      <c r="D2313" s="98" t="s">
        <v>422</v>
      </c>
      <c r="E2313" s="76" t="s">
        <v>423</v>
      </c>
      <c r="F2313" s="76" t="s">
        <v>427</v>
      </c>
      <c r="G2313" s="76" t="s">
        <v>837</v>
      </c>
      <c r="H2313" s="76" t="s">
        <v>425</v>
      </c>
      <c r="I2313" s="76" t="s">
        <v>3208</v>
      </c>
      <c r="J2313" s="76" t="s">
        <v>3209</v>
      </c>
      <c r="K2313" s="76" t="s">
        <v>591</v>
      </c>
      <c r="L2313" s="11" t="s">
        <v>909</v>
      </c>
      <c r="M2313" s="53">
        <v>18</v>
      </c>
      <c r="N2313" s="94">
        <v>640</v>
      </c>
      <c r="O2313" s="94">
        <f>N2313*M2313</f>
        <v>11520</v>
      </c>
      <c r="P2313" s="40" t="s">
        <v>3116</v>
      </c>
      <c r="Q2313" s="40" t="s">
        <v>766</v>
      </c>
      <c r="R2313" s="84">
        <v>195620100</v>
      </c>
      <c r="S2313" s="40">
        <v>100</v>
      </c>
    </row>
    <row r="2314" spans="1:19" s="92" customFormat="1" ht="76.5">
      <c r="A2314" s="5">
        <v>2299</v>
      </c>
      <c r="B2314" s="15" t="s">
        <v>710</v>
      </c>
      <c r="C2314" s="40" t="s">
        <v>711</v>
      </c>
      <c r="D2314" s="40" t="s">
        <v>723</v>
      </c>
      <c r="E2314" s="31" t="s">
        <v>874</v>
      </c>
      <c r="F2314" s="31" t="s">
        <v>874</v>
      </c>
      <c r="G2314" s="31" t="s">
        <v>875</v>
      </c>
      <c r="H2314" s="40" t="s">
        <v>876</v>
      </c>
      <c r="I2314" s="40" t="s">
        <v>3210</v>
      </c>
      <c r="J2314" s="40" t="s">
        <v>3211</v>
      </c>
      <c r="K2314" s="40" t="s">
        <v>591</v>
      </c>
      <c r="L2314" s="40" t="s">
        <v>644</v>
      </c>
      <c r="M2314" s="93">
        <v>1</v>
      </c>
      <c r="N2314" s="94">
        <v>30000</v>
      </c>
      <c r="O2314" s="94">
        <f>N2314*M2314</f>
        <v>30000</v>
      </c>
      <c r="P2314" s="40" t="s">
        <v>3116</v>
      </c>
      <c r="Q2314" s="40" t="s">
        <v>1051</v>
      </c>
      <c r="R2314" s="84">
        <v>195620100</v>
      </c>
      <c r="S2314" s="40">
        <v>100</v>
      </c>
    </row>
    <row r="2315" spans="1:19" s="92" customFormat="1" ht="89.25">
      <c r="A2315" s="5">
        <v>2300</v>
      </c>
      <c r="B2315" s="15" t="s">
        <v>710</v>
      </c>
      <c r="C2315" s="40" t="s">
        <v>597</v>
      </c>
      <c r="D2315" s="40" t="s">
        <v>598</v>
      </c>
      <c r="E2315" s="31" t="s">
        <v>599</v>
      </c>
      <c r="F2315" s="31" t="s">
        <v>782</v>
      </c>
      <c r="G2315" s="31" t="s">
        <v>3195</v>
      </c>
      <c r="H2315" s="40" t="s">
        <v>602</v>
      </c>
      <c r="I2315" s="40" t="s">
        <v>3196</v>
      </c>
      <c r="J2315" s="40" t="s">
        <v>3197</v>
      </c>
      <c r="K2315" s="40" t="s">
        <v>591</v>
      </c>
      <c r="L2315" s="11" t="s">
        <v>914</v>
      </c>
      <c r="M2315" s="93">
        <v>1</v>
      </c>
      <c r="N2315" s="94">
        <v>624400</v>
      </c>
      <c r="O2315" s="94">
        <v>624400</v>
      </c>
      <c r="P2315" s="40" t="s">
        <v>502</v>
      </c>
      <c r="Q2315" s="40" t="s">
        <v>766</v>
      </c>
      <c r="R2315" s="84">
        <v>195830100</v>
      </c>
      <c r="S2315" s="40">
        <v>0</v>
      </c>
    </row>
    <row r="2316" spans="1:19" s="92" customFormat="1" ht="89.25">
      <c r="A2316" s="5">
        <v>2301</v>
      </c>
      <c r="B2316" s="15" t="s">
        <v>710</v>
      </c>
      <c r="C2316" s="40" t="s">
        <v>597</v>
      </c>
      <c r="D2316" s="40" t="s">
        <v>598</v>
      </c>
      <c r="E2316" s="31" t="s">
        <v>599</v>
      </c>
      <c r="F2316" s="31" t="s">
        <v>782</v>
      </c>
      <c r="G2316" s="31" t="s">
        <v>3195</v>
      </c>
      <c r="H2316" s="40" t="s">
        <v>602</v>
      </c>
      <c r="I2316" s="40" t="s">
        <v>3196</v>
      </c>
      <c r="J2316" s="40" t="s">
        <v>3197</v>
      </c>
      <c r="K2316" s="40" t="s">
        <v>591</v>
      </c>
      <c r="L2316" s="11" t="s">
        <v>914</v>
      </c>
      <c r="M2316" s="93">
        <v>1</v>
      </c>
      <c r="N2316" s="94">
        <v>624400</v>
      </c>
      <c r="O2316" s="94">
        <v>624400</v>
      </c>
      <c r="P2316" s="40" t="s">
        <v>502</v>
      </c>
      <c r="Q2316" s="40" t="s">
        <v>766</v>
      </c>
      <c r="R2316" s="84">
        <v>195830100</v>
      </c>
      <c r="S2316" s="40">
        <v>0</v>
      </c>
    </row>
    <row r="2317" spans="1:19" s="92" customFormat="1" ht="51">
      <c r="A2317" s="5">
        <v>2302</v>
      </c>
      <c r="B2317" s="15" t="s">
        <v>710</v>
      </c>
      <c r="C2317" s="40" t="s">
        <v>597</v>
      </c>
      <c r="D2317" s="11" t="s">
        <v>850</v>
      </c>
      <c r="E2317" s="76" t="s">
        <v>1736</v>
      </c>
      <c r="F2317" s="76" t="s">
        <v>851</v>
      </c>
      <c r="G2317" s="76" t="s">
        <v>1737</v>
      </c>
      <c r="H2317" s="76" t="s">
        <v>852</v>
      </c>
      <c r="I2317" s="76" t="s">
        <v>3199</v>
      </c>
      <c r="J2317" s="76" t="s">
        <v>3200</v>
      </c>
      <c r="K2317" s="40" t="s">
        <v>591</v>
      </c>
      <c r="L2317" s="11" t="s">
        <v>914</v>
      </c>
      <c r="M2317" s="97">
        <v>1</v>
      </c>
      <c r="N2317" s="94">
        <f>10000*5</f>
        <v>50000</v>
      </c>
      <c r="O2317" s="94">
        <f>N2317</f>
        <v>50000</v>
      </c>
      <c r="P2317" s="40" t="s">
        <v>698</v>
      </c>
      <c r="Q2317" s="40" t="s">
        <v>766</v>
      </c>
      <c r="R2317" s="84">
        <v>195830100</v>
      </c>
      <c r="S2317" s="40">
        <v>0</v>
      </c>
    </row>
    <row r="2318" spans="1:19" s="92" customFormat="1" ht="51">
      <c r="A2318" s="5">
        <v>2303</v>
      </c>
      <c r="B2318" s="15" t="s">
        <v>710</v>
      </c>
      <c r="C2318" s="40" t="s">
        <v>597</v>
      </c>
      <c r="D2318" s="40" t="s">
        <v>2594</v>
      </c>
      <c r="E2318" s="31" t="s">
        <v>2618</v>
      </c>
      <c r="F2318" s="31" t="s">
        <v>2595</v>
      </c>
      <c r="G2318" s="31" t="s">
        <v>2618</v>
      </c>
      <c r="H2318" s="40" t="s">
        <v>2595</v>
      </c>
      <c r="I2318" s="40" t="s">
        <v>3201</v>
      </c>
      <c r="J2318" s="40" t="s">
        <v>3202</v>
      </c>
      <c r="K2318" s="40" t="s">
        <v>591</v>
      </c>
      <c r="L2318" s="11" t="s">
        <v>914</v>
      </c>
      <c r="M2318" s="93">
        <v>1</v>
      </c>
      <c r="N2318" s="94">
        <f>10500*3</f>
        <v>31500</v>
      </c>
      <c r="O2318" s="94">
        <f>N2318</f>
        <v>31500</v>
      </c>
      <c r="P2318" s="40" t="s">
        <v>3116</v>
      </c>
      <c r="Q2318" s="40" t="s">
        <v>766</v>
      </c>
      <c r="R2318" s="84">
        <v>195830100</v>
      </c>
      <c r="S2318" s="40">
        <v>30</v>
      </c>
    </row>
    <row r="2319" spans="1:19" s="92" customFormat="1" ht="76.5">
      <c r="A2319" s="5">
        <v>2304</v>
      </c>
      <c r="B2319" s="15" t="s">
        <v>710</v>
      </c>
      <c r="C2319" s="40" t="s">
        <v>711</v>
      </c>
      <c r="D2319" s="40" t="s">
        <v>723</v>
      </c>
      <c r="E2319" s="31" t="s">
        <v>874</v>
      </c>
      <c r="F2319" s="31" t="s">
        <v>874</v>
      </c>
      <c r="G2319" s="31" t="s">
        <v>875</v>
      </c>
      <c r="H2319" s="40" t="s">
        <v>876</v>
      </c>
      <c r="I2319" s="40" t="s">
        <v>3210</v>
      </c>
      <c r="J2319" s="40" t="s">
        <v>3211</v>
      </c>
      <c r="K2319" s="40" t="s">
        <v>591</v>
      </c>
      <c r="L2319" s="40" t="s">
        <v>644</v>
      </c>
      <c r="M2319" s="93">
        <v>1</v>
      </c>
      <c r="N2319" s="94">
        <v>30000</v>
      </c>
      <c r="O2319" s="94">
        <f>N2319*M2319</f>
        <v>30000</v>
      </c>
      <c r="P2319" s="40" t="s">
        <v>3116</v>
      </c>
      <c r="Q2319" s="40" t="s">
        <v>1051</v>
      </c>
      <c r="R2319" s="84">
        <v>195830100</v>
      </c>
      <c r="S2319" s="40">
        <v>100</v>
      </c>
    </row>
    <row r="2320" spans="1:19" s="92" customFormat="1" ht="89.25">
      <c r="A2320" s="5">
        <v>2305</v>
      </c>
      <c r="B2320" s="15" t="s">
        <v>710</v>
      </c>
      <c r="C2320" s="40" t="s">
        <v>711</v>
      </c>
      <c r="D2320" s="40" t="s">
        <v>976</v>
      </c>
      <c r="E2320" s="31" t="s">
        <v>730</v>
      </c>
      <c r="F2320" s="31" t="s">
        <v>731</v>
      </c>
      <c r="G2320" s="31" t="s">
        <v>977</v>
      </c>
      <c r="H2320" s="40" t="s">
        <v>978</v>
      </c>
      <c r="I2320" s="40" t="s">
        <v>3203</v>
      </c>
      <c r="J2320" s="40" t="s">
        <v>3204</v>
      </c>
      <c r="K2320" s="40" t="s">
        <v>591</v>
      </c>
      <c r="L2320" s="40" t="s">
        <v>644</v>
      </c>
      <c r="M2320" s="93">
        <v>2</v>
      </c>
      <c r="N2320" s="94">
        <v>26800</v>
      </c>
      <c r="O2320" s="94">
        <f>N2320*M2320</f>
        <v>53600</v>
      </c>
      <c r="P2320" s="40" t="s">
        <v>3116</v>
      </c>
      <c r="Q2320" s="40" t="s">
        <v>1051</v>
      </c>
      <c r="R2320" s="84">
        <v>195830100</v>
      </c>
      <c r="S2320" s="40">
        <v>100</v>
      </c>
    </row>
    <row r="2321" spans="1:19" s="92" customFormat="1" ht="63.75">
      <c r="A2321" s="5">
        <v>2306</v>
      </c>
      <c r="B2321" s="15" t="s">
        <v>710</v>
      </c>
      <c r="C2321" s="40" t="s">
        <v>711</v>
      </c>
      <c r="D2321" s="40" t="s">
        <v>744</v>
      </c>
      <c r="E2321" s="31" t="s">
        <v>745</v>
      </c>
      <c r="F2321" s="31" t="s">
        <v>109</v>
      </c>
      <c r="G2321" s="31" t="s">
        <v>746</v>
      </c>
      <c r="H2321" s="40" t="s">
        <v>3205</v>
      </c>
      <c r="I2321" s="40" t="s">
        <v>3206</v>
      </c>
      <c r="J2321" s="40" t="s">
        <v>3207</v>
      </c>
      <c r="K2321" s="40" t="s">
        <v>591</v>
      </c>
      <c r="L2321" s="40" t="s">
        <v>644</v>
      </c>
      <c r="M2321" s="93">
        <v>6</v>
      </c>
      <c r="N2321" s="94">
        <v>4000</v>
      </c>
      <c r="O2321" s="94">
        <f>M2321*N2321</f>
        <v>24000</v>
      </c>
      <c r="P2321" s="40" t="s">
        <v>3116</v>
      </c>
      <c r="Q2321" s="40" t="s">
        <v>1051</v>
      </c>
      <c r="R2321" s="84">
        <v>195830100</v>
      </c>
      <c r="S2321" s="40">
        <v>100</v>
      </c>
    </row>
    <row r="2322" spans="1:19" s="92" customFormat="1" ht="51">
      <c r="A2322" s="5">
        <v>2307</v>
      </c>
      <c r="B2322" s="15" t="s">
        <v>710</v>
      </c>
      <c r="C2322" s="40" t="s">
        <v>711</v>
      </c>
      <c r="D2322" s="98" t="s">
        <v>422</v>
      </c>
      <c r="E2322" s="76" t="s">
        <v>423</v>
      </c>
      <c r="F2322" s="76" t="s">
        <v>427</v>
      </c>
      <c r="G2322" s="76" t="s">
        <v>837</v>
      </c>
      <c r="H2322" s="76" t="s">
        <v>425</v>
      </c>
      <c r="I2322" s="76" t="s">
        <v>3208</v>
      </c>
      <c r="J2322" s="76" t="s">
        <v>3209</v>
      </c>
      <c r="K2322" s="76" t="s">
        <v>591</v>
      </c>
      <c r="L2322" s="11" t="s">
        <v>909</v>
      </c>
      <c r="M2322" s="53">
        <v>18</v>
      </c>
      <c r="N2322" s="94">
        <v>640</v>
      </c>
      <c r="O2322" s="94">
        <f>N2322*M2322</f>
        <v>11520</v>
      </c>
      <c r="P2322" s="40" t="s">
        <v>3116</v>
      </c>
      <c r="Q2322" s="40" t="s">
        <v>766</v>
      </c>
      <c r="R2322" s="84">
        <v>195830100</v>
      </c>
      <c r="S2322" s="40">
        <v>100</v>
      </c>
    </row>
    <row r="2323" spans="1:19" s="92" customFormat="1" ht="76.5">
      <c r="A2323" s="5">
        <v>2308</v>
      </c>
      <c r="B2323" s="15" t="s">
        <v>710</v>
      </c>
      <c r="C2323" s="40" t="s">
        <v>711</v>
      </c>
      <c r="D2323" s="40" t="s">
        <v>723</v>
      </c>
      <c r="E2323" s="31" t="s">
        <v>874</v>
      </c>
      <c r="F2323" s="31" t="s">
        <v>874</v>
      </c>
      <c r="G2323" s="31" t="s">
        <v>875</v>
      </c>
      <c r="H2323" s="40" t="s">
        <v>876</v>
      </c>
      <c r="I2323" s="40" t="s">
        <v>3210</v>
      </c>
      <c r="J2323" s="40" t="s">
        <v>3211</v>
      </c>
      <c r="K2323" s="40" t="s">
        <v>591</v>
      </c>
      <c r="L2323" s="40" t="s">
        <v>644</v>
      </c>
      <c r="M2323" s="93">
        <v>1</v>
      </c>
      <c r="N2323" s="94">
        <v>30000</v>
      </c>
      <c r="O2323" s="94">
        <f>N2323*M2323</f>
        <v>30000</v>
      </c>
      <c r="P2323" s="40" t="s">
        <v>3116</v>
      </c>
      <c r="Q2323" s="40" t="s">
        <v>1051</v>
      </c>
      <c r="R2323" s="84">
        <v>196830100</v>
      </c>
      <c r="S2323" s="40">
        <v>100</v>
      </c>
    </row>
    <row r="2324" spans="1:19" s="92" customFormat="1" ht="89.25">
      <c r="A2324" s="5">
        <v>2309</v>
      </c>
      <c r="B2324" s="15" t="s">
        <v>710</v>
      </c>
      <c r="C2324" s="40" t="s">
        <v>597</v>
      </c>
      <c r="D2324" s="40" t="s">
        <v>598</v>
      </c>
      <c r="E2324" s="31" t="s">
        <v>599</v>
      </c>
      <c r="F2324" s="31" t="s">
        <v>782</v>
      </c>
      <c r="G2324" s="31" t="s">
        <v>3195</v>
      </c>
      <c r="H2324" s="40" t="s">
        <v>602</v>
      </c>
      <c r="I2324" s="40" t="s">
        <v>3196</v>
      </c>
      <c r="J2324" s="40" t="s">
        <v>3197</v>
      </c>
      <c r="K2324" s="40" t="s">
        <v>591</v>
      </c>
      <c r="L2324" s="11" t="s">
        <v>914</v>
      </c>
      <c r="M2324" s="93">
        <v>1</v>
      </c>
      <c r="N2324" s="94">
        <v>624400</v>
      </c>
      <c r="O2324" s="94">
        <v>624400</v>
      </c>
      <c r="P2324" s="40" t="s">
        <v>502</v>
      </c>
      <c r="Q2324" s="40" t="s">
        <v>766</v>
      </c>
      <c r="R2324" s="84">
        <v>196830100</v>
      </c>
      <c r="S2324" s="40">
        <v>0</v>
      </c>
    </row>
    <row r="2325" spans="1:19" s="92" customFormat="1" ht="89.25">
      <c r="A2325" s="5">
        <v>2310</v>
      </c>
      <c r="B2325" s="15" t="s">
        <v>710</v>
      </c>
      <c r="C2325" s="40" t="s">
        <v>597</v>
      </c>
      <c r="D2325" s="40" t="s">
        <v>598</v>
      </c>
      <c r="E2325" s="31" t="s">
        <v>599</v>
      </c>
      <c r="F2325" s="31" t="s">
        <v>782</v>
      </c>
      <c r="G2325" s="31" t="s">
        <v>3195</v>
      </c>
      <c r="H2325" s="40" t="s">
        <v>602</v>
      </c>
      <c r="I2325" s="40" t="s">
        <v>3196</v>
      </c>
      <c r="J2325" s="40" t="s">
        <v>3197</v>
      </c>
      <c r="K2325" s="40" t="s">
        <v>591</v>
      </c>
      <c r="L2325" s="11" t="s">
        <v>914</v>
      </c>
      <c r="M2325" s="93">
        <v>1</v>
      </c>
      <c r="N2325" s="94">
        <v>624400</v>
      </c>
      <c r="O2325" s="94">
        <v>624400</v>
      </c>
      <c r="P2325" s="40" t="s">
        <v>502</v>
      </c>
      <c r="Q2325" s="40" t="s">
        <v>766</v>
      </c>
      <c r="R2325" s="84">
        <v>196830100</v>
      </c>
      <c r="S2325" s="40">
        <v>0</v>
      </c>
    </row>
    <row r="2326" spans="1:19" s="92" customFormat="1" ht="51">
      <c r="A2326" s="5">
        <v>2311</v>
      </c>
      <c r="B2326" s="15" t="s">
        <v>710</v>
      </c>
      <c r="C2326" s="40" t="s">
        <v>597</v>
      </c>
      <c r="D2326" s="11" t="s">
        <v>850</v>
      </c>
      <c r="E2326" s="76" t="s">
        <v>1736</v>
      </c>
      <c r="F2326" s="76" t="s">
        <v>851</v>
      </c>
      <c r="G2326" s="76" t="s">
        <v>1737</v>
      </c>
      <c r="H2326" s="76" t="s">
        <v>852</v>
      </c>
      <c r="I2326" s="76" t="s">
        <v>3199</v>
      </c>
      <c r="J2326" s="76" t="s">
        <v>3200</v>
      </c>
      <c r="K2326" s="40" t="s">
        <v>591</v>
      </c>
      <c r="L2326" s="11" t="s">
        <v>914</v>
      </c>
      <c r="M2326" s="97">
        <v>1</v>
      </c>
      <c r="N2326" s="94">
        <f>10000*5</f>
        <v>50000</v>
      </c>
      <c r="O2326" s="94">
        <f>N2326</f>
        <v>50000</v>
      </c>
      <c r="P2326" s="40" t="s">
        <v>698</v>
      </c>
      <c r="Q2326" s="40" t="s">
        <v>766</v>
      </c>
      <c r="R2326" s="84">
        <v>196830100</v>
      </c>
      <c r="S2326" s="40">
        <v>0</v>
      </c>
    </row>
    <row r="2327" spans="1:19" s="92" customFormat="1" ht="51">
      <c r="A2327" s="5">
        <v>2312</v>
      </c>
      <c r="B2327" s="15" t="s">
        <v>710</v>
      </c>
      <c r="C2327" s="40" t="s">
        <v>597</v>
      </c>
      <c r="D2327" s="40" t="s">
        <v>2594</v>
      </c>
      <c r="E2327" s="31" t="s">
        <v>2618</v>
      </c>
      <c r="F2327" s="31" t="s">
        <v>2595</v>
      </c>
      <c r="G2327" s="31" t="s">
        <v>2618</v>
      </c>
      <c r="H2327" s="40" t="s">
        <v>2595</v>
      </c>
      <c r="I2327" s="40" t="s">
        <v>3201</v>
      </c>
      <c r="J2327" s="40" t="s">
        <v>3202</v>
      </c>
      <c r="K2327" s="40" t="s">
        <v>591</v>
      </c>
      <c r="L2327" s="11" t="s">
        <v>914</v>
      </c>
      <c r="M2327" s="93">
        <v>1</v>
      </c>
      <c r="N2327" s="94">
        <f>10500*3</f>
        <v>31500</v>
      </c>
      <c r="O2327" s="94">
        <f>N2327</f>
        <v>31500</v>
      </c>
      <c r="P2327" s="40" t="s">
        <v>3116</v>
      </c>
      <c r="Q2327" s="40" t="s">
        <v>766</v>
      </c>
      <c r="R2327" s="84">
        <v>196830100</v>
      </c>
      <c r="S2327" s="40">
        <v>30</v>
      </c>
    </row>
    <row r="2328" spans="1:19" s="92" customFormat="1" ht="89.25">
      <c r="A2328" s="5">
        <v>2313</v>
      </c>
      <c r="B2328" s="15" t="s">
        <v>710</v>
      </c>
      <c r="C2328" s="40" t="s">
        <v>711</v>
      </c>
      <c r="D2328" s="40" t="s">
        <v>976</v>
      </c>
      <c r="E2328" s="31" t="s">
        <v>730</v>
      </c>
      <c r="F2328" s="31" t="s">
        <v>731</v>
      </c>
      <c r="G2328" s="31" t="s">
        <v>977</v>
      </c>
      <c r="H2328" s="40" t="s">
        <v>978</v>
      </c>
      <c r="I2328" s="40" t="s">
        <v>3203</v>
      </c>
      <c r="J2328" s="40" t="s">
        <v>3204</v>
      </c>
      <c r="K2328" s="40" t="s">
        <v>591</v>
      </c>
      <c r="L2328" s="40" t="s">
        <v>644</v>
      </c>
      <c r="M2328" s="93">
        <v>2</v>
      </c>
      <c r="N2328" s="94">
        <v>26800</v>
      </c>
      <c r="O2328" s="94">
        <f>N2328*M2328</f>
        <v>53600</v>
      </c>
      <c r="P2328" s="40" t="s">
        <v>3116</v>
      </c>
      <c r="Q2328" s="40" t="s">
        <v>1051</v>
      </c>
      <c r="R2328" s="84">
        <v>196830100</v>
      </c>
      <c r="S2328" s="40">
        <v>100</v>
      </c>
    </row>
    <row r="2329" spans="1:19" s="92" customFormat="1" ht="63.75">
      <c r="A2329" s="5">
        <v>2314</v>
      </c>
      <c r="B2329" s="15" t="s">
        <v>710</v>
      </c>
      <c r="C2329" s="40" t="s">
        <v>711</v>
      </c>
      <c r="D2329" s="40" t="s">
        <v>744</v>
      </c>
      <c r="E2329" s="31" t="s">
        <v>745</v>
      </c>
      <c r="F2329" s="31" t="s">
        <v>109</v>
      </c>
      <c r="G2329" s="31" t="s">
        <v>746</v>
      </c>
      <c r="H2329" s="40" t="s">
        <v>3205</v>
      </c>
      <c r="I2329" s="40" t="s">
        <v>3206</v>
      </c>
      <c r="J2329" s="40" t="s">
        <v>3207</v>
      </c>
      <c r="K2329" s="40" t="s">
        <v>591</v>
      </c>
      <c r="L2329" s="40" t="s">
        <v>644</v>
      </c>
      <c r="M2329" s="93">
        <v>6</v>
      </c>
      <c r="N2329" s="94">
        <v>4000</v>
      </c>
      <c r="O2329" s="94">
        <f>M2329*N2329</f>
        <v>24000</v>
      </c>
      <c r="P2329" s="40" t="s">
        <v>3116</v>
      </c>
      <c r="Q2329" s="40" t="s">
        <v>1051</v>
      </c>
      <c r="R2329" s="84">
        <v>196830100</v>
      </c>
      <c r="S2329" s="40">
        <v>100</v>
      </c>
    </row>
    <row r="2330" spans="1:19" s="92" customFormat="1" ht="51">
      <c r="A2330" s="5">
        <v>2315</v>
      </c>
      <c r="B2330" s="15" t="s">
        <v>710</v>
      </c>
      <c r="C2330" s="40" t="s">
        <v>711</v>
      </c>
      <c r="D2330" s="98" t="s">
        <v>422</v>
      </c>
      <c r="E2330" s="76" t="s">
        <v>423</v>
      </c>
      <c r="F2330" s="76" t="s">
        <v>427</v>
      </c>
      <c r="G2330" s="76" t="s">
        <v>837</v>
      </c>
      <c r="H2330" s="76" t="s">
        <v>425</v>
      </c>
      <c r="I2330" s="76" t="s">
        <v>3208</v>
      </c>
      <c r="J2330" s="76" t="s">
        <v>3209</v>
      </c>
      <c r="K2330" s="76" t="s">
        <v>591</v>
      </c>
      <c r="L2330" s="11" t="s">
        <v>909</v>
      </c>
      <c r="M2330" s="53">
        <v>18</v>
      </c>
      <c r="N2330" s="94">
        <v>640</v>
      </c>
      <c r="O2330" s="94">
        <f>N2330*M2330</f>
        <v>11520</v>
      </c>
      <c r="P2330" s="40" t="s">
        <v>3116</v>
      </c>
      <c r="Q2330" s="40" t="s">
        <v>766</v>
      </c>
      <c r="R2330" s="84">
        <v>196830100</v>
      </c>
      <c r="S2330" s="40">
        <v>100</v>
      </c>
    </row>
    <row r="2331" spans="1:19" s="92" customFormat="1" ht="89.25">
      <c r="A2331" s="5">
        <v>2316</v>
      </c>
      <c r="B2331" s="15" t="s">
        <v>710</v>
      </c>
      <c r="C2331" s="40" t="s">
        <v>597</v>
      </c>
      <c r="D2331" s="40" t="s">
        <v>598</v>
      </c>
      <c r="E2331" s="31" t="s">
        <v>599</v>
      </c>
      <c r="F2331" s="31" t="s">
        <v>782</v>
      </c>
      <c r="G2331" s="31" t="s">
        <v>3195</v>
      </c>
      <c r="H2331" s="40" t="s">
        <v>602</v>
      </c>
      <c r="I2331" s="40" t="s">
        <v>3196</v>
      </c>
      <c r="J2331" s="40" t="s">
        <v>3197</v>
      </c>
      <c r="K2331" s="40" t="s">
        <v>591</v>
      </c>
      <c r="L2331" s="11" t="s">
        <v>914</v>
      </c>
      <c r="M2331" s="93">
        <v>1</v>
      </c>
      <c r="N2331" s="94">
        <v>624400</v>
      </c>
      <c r="O2331" s="94">
        <v>624400</v>
      </c>
      <c r="P2331" s="40" t="s">
        <v>502</v>
      </c>
      <c r="Q2331" s="40" t="s">
        <v>766</v>
      </c>
      <c r="R2331" s="84">
        <v>195220100</v>
      </c>
      <c r="S2331" s="40">
        <v>0</v>
      </c>
    </row>
    <row r="2332" spans="1:19" s="92" customFormat="1" ht="89.25">
      <c r="A2332" s="5">
        <v>2317</v>
      </c>
      <c r="B2332" s="15" t="s">
        <v>710</v>
      </c>
      <c r="C2332" s="40" t="s">
        <v>597</v>
      </c>
      <c r="D2332" s="40" t="s">
        <v>598</v>
      </c>
      <c r="E2332" s="31" t="s">
        <v>599</v>
      </c>
      <c r="F2332" s="31" t="s">
        <v>782</v>
      </c>
      <c r="G2332" s="31" t="s">
        <v>3195</v>
      </c>
      <c r="H2332" s="40" t="s">
        <v>602</v>
      </c>
      <c r="I2332" s="40" t="s">
        <v>3196</v>
      </c>
      <c r="J2332" s="40" t="s">
        <v>3197</v>
      </c>
      <c r="K2332" s="40" t="s">
        <v>591</v>
      </c>
      <c r="L2332" s="11" t="s">
        <v>914</v>
      </c>
      <c r="M2332" s="93">
        <v>1</v>
      </c>
      <c r="N2332" s="94">
        <v>624400</v>
      </c>
      <c r="O2332" s="94">
        <v>624400</v>
      </c>
      <c r="P2332" s="40" t="s">
        <v>502</v>
      </c>
      <c r="Q2332" s="40" t="s">
        <v>766</v>
      </c>
      <c r="R2332" s="84">
        <v>195220100</v>
      </c>
      <c r="S2332" s="40">
        <v>0</v>
      </c>
    </row>
    <row r="2333" spans="1:19" s="92" customFormat="1" ht="51">
      <c r="A2333" s="5">
        <v>2318</v>
      </c>
      <c r="B2333" s="15" t="s">
        <v>710</v>
      </c>
      <c r="C2333" s="40" t="s">
        <v>597</v>
      </c>
      <c r="D2333" s="11" t="s">
        <v>850</v>
      </c>
      <c r="E2333" s="76" t="s">
        <v>1736</v>
      </c>
      <c r="F2333" s="76" t="s">
        <v>851</v>
      </c>
      <c r="G2333" s="76" t="s">
        <v>1737</v>
      </c>
      <c r="H2333" s="76" t="s">
        <v>852</v>
      </c>
      <c r="I2333" s="76" t="s">
        <v>3199</v>
      </c>
      <c r="J2333" s="76" t="s">
        <v>3200</v>
      </c>
      <c r="K2333" s="40" t="s">
        <v>591</v>
      </c>
      <c r="L2333" s="11" t="s">
        <v>914</v>
      </c>
      <c r="M2333" s="97">
        <v>1</v>
      </c>
      <c r="N2333" s="94">
        <f>10000*5</f>
        <v>50000</v>
      </c>
      <c r="O2333" s="94">
        <f>N2333</f>
        <v>50000</v>
      </c>
      <c r="P2333" s="40" t="s">
        <v>698</v>
      </c>
      <c r="Q2333" s="40" t="s">
        <v>766</v>
      </c>
      <c r="R2333" s="84">
        <v>195220100</v>
      </c>
      <c r="S2333" s="40">
        <v>0</v>
      </c>
    </row>
    <row r="2334" spans="1:19" s="92" customFormat="1" ht="51">
      <c r="A2334" s="5">
        <v>2319</v>
      </c>
      <c r="B2334" s="15" t="s">
        <v>710</v>
      </c>
      <c r="C2334" s="40" t="s">
        <v>597</v>
      </c>
      <c r="D2334" s="40" t="s">
        <v>2594</v>
      </c>
      <c r="E2334" s="31" t="s">
        <v>2618</v>
      </c>
      <c r="F2334" s="31" t="s">
        <v>2595</v>
      </c>
      <c r="G2334" s="31" t="s">
        <v>2618</v>
      </c>
      <c r="H2334" s="40" t="s">
        <v>2595</v>
      </c>
      <c r="I2334" s="40" t="s">
        <v>3201</v>
      </c>
      <c r="J2334" s="40" t="s">
        <v>3202</v>
      </c>
      <c r="K2334" s="40" t="s">
        <v>591</v>
      </c>
      <c r="L2334" s="11" t="s">
        <v>914</v>
      </c>
      <c r="M2334" s="93">
        <v>1</v>
      </c>
      <c r="N2334" s="94">
        <f>10500*3</f>
        <v>31500</v>
      </c>
      <c r="O2334" s="94">
        <f>N2334</f>
        <v>31500</v>
      </c>
      <c r="P2334" s="40" t="s">
        <v>3116</v>
      </c>
      <c r="Q2334" s="40" t="s">
        <v>766</v>
      </c>
      <c r="R2334" s="84">
        <v>195220100</v>
      </c>
      <c r="S2334" s="40">
        <v>30</v>
      </c>
    </row>
    <row r="2335" spans="1:19" s="92" customFormat="1" ht="89.25">
      <c r="A2335" s="5">
        <v>2320</v>
      </c>
      <c r="B2335" s="15" t="s">
        <v>710</v>
      </c>
      <c r="C2335" s="40" t="s">
        <v>711</v>
      </c>
      <c r="D2335" s="40" t="s">
        <v>976</v>
      </c>
      <c r="E2335" s="31" t="s">
        <v>730</v>
      </c>
      <c r="F2335" s="31" t="s">
        <v>731</v>
      </c>
      <c r="G2335" s="31" t="s">
        <v>977</v>
      </c>
      <c r="H2335" s="40" t="s">
        <v>978</v>
      </c>
      <c r="I2335" s="40" t="s">
        <v>3203</v>
      </c>
      <c r="J2335" s="40" t="s">
        <v>3204</v>
      </c>
      <c r="K2335" s="40" t="s">
        <v>591</v>
      </c>
      <c r="L2335" s="40" t="s">
        <v>644</v>
      </c>
      <c r="M2335" s="93">
        <v>2</v>
      </c>
      <c r="N2335" s="94">
        <v>26800</v>
      </c>
      <c r="O2335" s="94">
        <f>N2335*M2335</f>
        <v>53600</v>
      </c>
      <c r="P2335" s="40" t="s">
        <v>3116</v>
      </c>
      <c r="Q2335" s="40" t="s">
        <v>1051</v>
      </c>
      <c r="R2335" s="84">
        <v>195220100</v>
      </c>
      <c r="S2335" s="40">
        <v>100</v>
      </c>
    </row>
    <row r="2336" spans="1:19" s="92" customFormat="1" ht="63.75">
      <c r="A2336" s="5">
        <v>2321</v>
      </c>
      <c r="B2336" s="15" t="s">
        <v>710</v>
      </c>
      <c r="C2336" s="40" t="s">
        <v>711</v>
      </c>
      <c r="D2336" s="40" t="s">
        <v>744</v>
      </c>
      <c r="E2336" s="31" t="s">
        <v>745</v>
      </c>
      <c r="F2336" s="31" t="s">
        <v>109</v>
      </c>
      <c r="G2336" s="31" t="s">
        <v>746</v>
      </c>
      <c r="H2336" s="40" t="s">
        <v>3205</v>
      </c>
      <c r="I2336" s="40" t="s">
        <v>3206</v>
      </c>
      <c r="J2336" s="40" t="s">
        <v>3207</v>
      </c>
      <c r="K2336" s="40" t="s">
        <v>591</v>
      </c>
      <c r="L2336" s="40" t="s">
        <v>644</v>
      </c>
      <c r="M2336" s="93">
        <v>6</v>
      </c>
      <c r="N2336" s="94">
        <v>4000</v>
      </c>
      <c r="O2336" s="94">
        <f>M2336*N2336</f>
        <v>24000</v>
      </c>
      <c r="P2336" s="40" t="s">
        <v>3116</v>
      </c>
      <c r="Q2336" s="40" t="s">
        <v>1051</v>
      </c>
      <c r="R2336" s="84">
        <v>195220100</v>
      </c>
      <c r="S2336" s="40">
        <v>100</v>
      </c>
    </row>
    <row r="2337" spans="1:19" s="92" customFormat="1" ht="51">
      <c r="A2337" s="5">
        <v>2322</v>
      </c>
      <c r="B2337" s="15" t="s">
        <v>710</v>
      </c>
      <c r="C2337" s="40" t="s">
        <v>711</v>
      </c>
      <c r="D2337" s="98" t="s">
        <v>422</v>
      </c>
      <c r="E2337" s="76" t="s">
        <v>423</v>
      </c>
      <c r="F2337" s="76" t="s">
        <v>427</v>
      </c>
      <c r="G2337" s="76" t="s">
        <v>837</v>
      </c>
      <c r="H2337" s="76" t="s">
        <v>425</v>
      </c>
      <c r="I2337" s="76" t="s">
        <v>3208</v>
      </c>
      <c r="J2337" s="76" t="s">
        <v>3209</v>
      </c>
      <c r="K2337" s="76" t="s">
        <v>591</v>
      </c>
      <c r="L2337" s="11" t="s">
        <v>909</v>
      </c>
      <c r="M2337" s="53">
        <v>18</v>
      </c>
      <c r="N2337" s="94">
        <v>640</v>
      </c>
      <c r="O2337" s="94">
        <f>N2337*M2337</f>
        <v>11520</v>
      </c>
      <c r="P2337" s="40" t="s">
        <v>3116</v>
      </c>
      <c r="Q2337" s="40" t="s">
        <v>766</v>
      </c>
      <c r="R2337" s="84">
        <v>195220100</v>
      </c>
      <c r="S2337" s="40">
        <v>100</v>
      </c>
    </row>
    <row r="2338" spans="1:19" s="92" customFormat="1" ht="76.5">
      <c r="A2338" s="5">
        <v>2323</v>
      </c>
      <c r="B2338" s="15" t="s">
        <v>710</v>
      </c>
      <c r="C2338" s="40" t="s">
        <v>711</v>
      </c>
      <c r="D2338" s="40" t="s">
        <v>723</v>
      </c>
      <c r="E2338" s="31" t="s">
        <v>874</v>
      </c>
      <c r="F2338" s="31" t="s">
        <v>874</v>
      </c>
      <c r="G2338" s="31" t="s">
        <v>875</v>
      </c>
      <c r="H2338" s="40" t="s">
        <v>876</v>
      </c>
      <c r="I2338" s="40" t="s">
        <v>3210</v>
      </c>
      <c r="J2338" s="40" t="s">
        <v>3211</v>
      </c>
      <c r="K2338" s="40" t="s">
        <v>591</v>
      </c>
      <c r="L2338" s="40" t="s">
        <v>644</v>
      </c>
      <c r="M2338" s="93">
        <v>1</v>
      </c>
      <c r="N2338" s="94">
        <v>30000</v>
      </c>
      <c r="O2338" s="94">
        <f>N2338*M2338</f>
        <v>30000</v>
      </c>
      <c r="P2338" s="40" t="s">
        <v>3116</v>
      </c>
      <c r="Q2338" s="40" t="s">
        <v>1051</v>
      </c>
      <c r="R2338" s="84">
        <v>195220100</v>
      </c>
      <c r="S2338" s="40">
        <v>100</v>
      </c>
    </row>
    <row r="2339" spans="1:19" s="92" customFormat="1" ht="89.25">
      <c r="A2339" s="5">
        <v>2324</v>
      </c>
      <c r="B2339" s="15" t="s">
        <v>710</v>
      </c>
      <c r="C2339" s="40" t="s">
        <v>597</v>
      </c>
      <c r="D2339" s="40" t="s">
        <v>598</v>
      </c>
      <c r="E2339" s="31" t="s">
        <v>599</v>
      </c>
      <c r="F2339" s="31" t="s">
        <v>782</v>
      </c>
      <c r="G2339" s="31" t="s">
        <v>3195</v>
      </c>
      <c r="H2339" s="40" t="s">
        <v>602</v>
      </c>
      <c r="I2339" s="40" t="s">
        <v>3196</v>
      </c>
      <c r="J2339" s="40" t="s">
        <v>3197</v>
      </c>
      <c r="K2339" s="40" t="s">
        <v>591</v>
      </c>
      <c r="L2339" s="11" t="s">
        <v>914</v>
      </c>
      <c r="M2339" s="93">
        <v>1</v>
      </c>
      <c r="N2339" s="94">
        <v>624400</v>
      </c>
      <c r="O2339" s="94">
        <v>624400</v>
      </c>
      <c r="P2339" s="40" t="s">
        <v>502</v>
      </c>
      <c r="Q2339" s="40" t="s">
        <v>766</v>
      </c>
      <c r="R2339" s="84">
        <v>196220100</v>
      </c>
      <c r="S2339" s="40">
        <v>0</v>
      </c>
    </row>
    <row r="2340" spans="1:19" s="92" customFormat="1" ht="89.25">
      <c r="A2340" s="5">
        <v>2325</v>
      </c>
      <c r="B2340" s="15" t="s">
        <v>710</v>
      </c>
      <c r="C2340" s="40" t="s">
        <v>597</v>
      </c>
      <c r="D2340" s="40" t="s">
        <v>598</v>
      </c>
      <c r="E2340" s="31" t="s">
        <v>599</v>
      </c>
      <c r="F2340" s="31" t="s">
        <v>782</v>
      </c>
      <c r="G2340" s="31" t="s">
        <v>3195</v>
      </c>
      <c r="H2340" s="40" t="s">
        <v>602</v>
      </c>
      <c r="I2340" s="40" t="s">
        <v>3196</v>
      </c>
      <c r="J2340" s="40" t="s">
        <v>3197</v>
      </c>
      <c r="K2340" s="40" t="s">
        <v>591</v>
      </c>
      <c r="L2340" s="11" t="s">
        <v>914</v>
      </c>
      <c r="M2340" s="93">
        <v>1</v>
      </c>
      <c r="N2340" s="94">
        <v>624400</v>
      </c>
      <c r="O2340" s="94">
        <v>624400</v>
      </c>
      <c r="P2340" s="40" t="s">
        <v>502</v>
      </c>
      <c r="Q2340" s="40" t="s">
        <v>766</v>
      </c>
      <c r="R2340" s="84">
        <v>196220100</v>
      </c>
      <c r="S2340" s="40">
        <v>0</v>
      </c>
    </row>
    <row r="2341" spans="1:19" s="92" customFormat="1" ht="51">
      <c r="A2341" s="5">
        <v>2326</v>
      </c>
      <c r="B2341" s="15" t="s">
        <v>710</v>
      </c>
      <c r="C2341" s="40" t="s">
        <v>597</v>
      </c>
      <c r="D2341" s="11" t="s">
        <v>850</v>
      </c>
      <c r="E2341" s="76" t="s">
        <v>1736</v>
      </c>
      <c r="F2341" s="76" t="s">
        <v>851</v>
      </c>
      <c r="G2341" s="76" t="s">
        <v>1737</v>
      </c>
      <c r="H2341" s="76" t="s">
        <v>852</v>
      </c>
      <c r="I2341" s="76" t="s">
        <v>3199</v>
      </c>
      <c r="J2341" s="76" t="s">
        <v>3200</v>
      </c>
      <c r="K2341" s="40" t="s">
        <v>591</v>
      </c>
      <c r="L2341" s="11" t="s">
        <v>914</v>
      </c>
      <c r="M2341" s="97">
        <v>1</v>
      </c>
      <c r="N2341" s="94">
        <f>10000*5</f>
        <v>50000</v>
      </c>
      <c r="O2341" s="94">
        <f>N2341</f>
        <v>50000</v>
      </c>
      <c r="P2341" s="40" t="s">
        <v>698</v>
      </c>
      <c r="Q2341" s="40" t="s">
        <v>766</v>
      </c>
      <c r="R2341" s="84">
        <v>196220100</v>
      </c>
      <c r="S2341" s="40">
        <v>0</v>
      </c>
    </row>
    <row r="2342" spans="1:19" s="92" customFormat="1" ht="51">
      <c r="A2342" s="5">
        <v>2327</v>
      </c>
      <c r="B2342" s="15" t="s">
        <v>710</v>
      </c>
      <c r="C2342" s="40" t="s">
        <v>597</v>
      </c>
      <c r="D2342" s="40" t="s">
        <v>2594</v>
      </c>
      <c r="E2342" s="31" t="s">
        <v>2618</v>
      </c>
      <c r="F2342" s="31" t="s">
        <v>2595</v>
      </c>
      <c r="G2342" s="31" t="s">
        <v>2618</v>
      </c>
      <c r="H2342" s="40" t="s">
        <v>2595</v>
      </c>
      <c r="I2342" s="40" t="s">
        <v>3201</v>
      </c>
      <c r="J2342" s="40" t="s">
        <v>3202</v>
      </c>
      <c r="K2342" s="40" t="s">
        <v>591</v>
      </c>
      <c r="L2342" s="11" t="s">
        <v>914</v>
      </c>
      <c r="M2342" s="93">
        <v>1</v>
      </c>
      <c r="N2342" s="94">
        <f>10500*3</f>
        <v>31500</v>
      </c>
      <c r="O2342" s="94">
        <f>N2342</f>
        <v>31500</v>
      </c>
      <c r="P2342" s="40" t="s">
        <v>3116</v>
      </c>
      <c r="Q2342" s="40" t="s">
        <v>766</v>
      </c>
      <c r="R2342" s="84">
        <v>196220100</v>
      </c>
      <c r="S2342" s="40">
        <v>30</v>
      </c>
    </row>
    <row r="2343" spans="1:19" s="92" customFormat="1" ht="89.25">
      <c r="A2343" s="5">
        <v>2328</v>
      </c>
      <c r="B2343" s="15" t="s">
        <v>710</v>
      </c>
      <c r="C2343" s="40" t="s">
        <v>711</v>
      </c>
      <c r="D2343" s="40" t="s">
        <v>976</v>
      </c>
      <c r="E2343" s="31" t="s">
        <v>730</v>
      </c>
      <c r="F2343" s="31" t="s">
        <v>731</v>
      </c>
      <c r="G2343" s="31" t="s">
        <v>977</v>
      </c>
      <c r="H2343" s="40" t="s">
        <v>978</v>
      </c>
      <c r="I2343" s="40" t="s">
        <v>3203</v>
      </c>
      <c r="J2343" s="40" t="s">
        <v>3204</v>
      </c>
      <c r="K2343" s="40" t="s">
        <v>591</v>
      </c>
      <c r="L2343" s="40" t="s">
        <v>644</v>
      </c>
      <c r="M2343" s="93">
        <v>2</v>
      </c>
      <c r="N2343" s="94">
        <v>26800</v>
      </c>
      <c r="O2343" s="94">
        <f>N2343*M2343</f>
        <v>53600</v>
      </c>
      <c r="P2343" s="40" t="s">
        <v>3116</v>
      </c>
      <c r="Q2343" s="40" t="s">
        <v>1051</v>
      </c>
      <c r="R2343" s="84">
        <v>196220100</v>
      </c>
      <c r="S2343" s="40">
        <v>100</v>
      </c>
    </row>
    <row r="2344" spans="1:19" s="92" customFormat="1" ht="63.75">
      <c r="A2344" s="5">
        <v>2329</v>
      </c>
      <c r="B2344" s="15" t="s">
        <v>710</v>
      </c>
      <c r="C2344" s="40" t="s">
        <v>711</v>
      </c>
      <c r="D2344" s="40" t="s">
        <v>744</v>
      </c>
      <c r="E2344" s="31" t="s">
        <v>745</v>
      </c>
      <c r="F2344" s="31" t="s">
        <v>109</v>
      </c>
      <c r="G2344" s="31" t="s">
        <v>746</v>
      </c>
      <c r="H2344" s="40" t="s">
        <v>3205</v>
      </c>
      <c r="I2344" s="40" t="s">
        <v>3206</v>
      </c>
      <c r="J2344" s="40" t="s">
        <v>3207</v>
      </c>
      <c r="K2344" s="40" t="s">
        <v>591</v>
      </c>
      <c r="L2344" s="40" t="s">
        <v>644</v>
      </c>
      <c r="M2344" s="93">
        <v>6</v>
      </c>
      <c r="N2344" s="94">
        <v>4000</v>
      </c>
      <c r="O2344" s="94">
        <f>M2344*N2344</f>
        <v>24000</v>
      </c>
      <c r="P2344" s="40" t="s">
        <v>3116</v>
      </c>
      <c r="Q2344" s="40" t="s">
        <v>1051</v>
      </c>
      <c r="R2344" s="84">
        <v>196220100</v>
      </c>
      <c r="S2344" s="40">
        <v>100</v>
      </c>
    </row>
    <row r="2345" spans="1:19" s="92" customFormat="1" ht="51">
      <c r="A2345" s="5">
        <v>2330</v>
      </c>
      <c r="B2345" s="15" t="s">
        <v>710</v>
      </c>
      <c r="C2345" s="40" t="s">
        <v>711</v>
      </c>
      <c r="D2345" s="98" t="s">
        <v>422</v>
      </c>
      <c r="E2345" s="76" t="s">
        <v>423</v>
      </c>
      <c r="F2345" s="76" t="s">
        <v>427</v>
      </c>
      <c r="G2345" s="76" t="s">
        <v>837</v>
      </c>
      <c r="H2345" s="76" t="s">
        <v>425</v>
      </c>
      <c r="I2345" s="76" t="s">
        <v>3208</v>
      </c>
      <c r="J2345" s="76" t="s">
        <v>3209</v>
      </c>
      <c r="K2345" s="76" t="s">
        <v>591</v>
      </c>
      <c r="L2345" s="11" t="s">
        <v>909</v>
      </c>
      <c r="M2345" s="53">
        <v>18</v>
      </c>
      <c r="N2345" s="94">
        <v>640</v>
      </c>
      <c r="O2345" s="94">
        <f>N2345*M2345</f>
        <v>11520</v>
      </c>
      <c r="P2345" s="40" t="s">
        <v>3116</v>
      </c>
      <c r="Q2345" s="40" t="s">
        <v>766</v>
      </c>
      <c r="R2345" s="84">
        <v>196220100</v>
      </c>
      <c r="S2345" s="40">
        <v>100</v>
      </c>
    </row>
    <row r="2346" spans="1:19" s="92" customFormat="1" ht="76.5">
      <c r="A2346" s="5">
        <v>2331</v>
      </c>
      <c r="B2346" s="15" t="s">
        <v>710</v>
      </c>
      <c r="C2346" s="40" t="s">
        <v>711</v>
      </c>
      <c r="D2346" s="40" t="s">
        <v>723</v>
      </c>
      <c r="E2346" s="31" t="s">
        <v>874</v>
      </c>
      <c r="F2346" s="31" t="s">
        <v>874</v>
      </c>
      <c r="G2346" s="31" t="s">
        <v>875</v>
      </c>
      <c r="H2346" s="40" t="s">
        <v>876</v>
      </c>
      <c r="I2346" s="40" t="s">
        <v>3210</v>
      </c>
      <c r="J2346" s="40" t="s">
        <v>3211</v>
      </c>
      <c r="K2346" s="40" t="s">
        <v>591</v>
      </c>
      <c r="L2346" s="40" t="s">
        <v>644</v>
      </c>
      <c r="M2346" s="93">
        <v>1</v>
      </c>
      <c r="N2346" s="94">
        <v>30000</v>
      </c>
      <c r="O2346" s="94">
        <f>N2346*M2346</f>
        <v>30000</v>
      </c>
      <c r="P2346" s="40" t="s">
        <v>3116</v>
      </c>
      <c r="Q2346" s="40" t="s">
        <v>1051</v>
      </c>
      <c r="R2346" s="84">
        <v>196220100</v>
      </c>
      <c r="S2346" s="40">
        <v>100</v>
      </c>
    </row>
    <row r="2347" spans="1:19" s="92" customFormat="1" ht="89.25">
      <c r="A2347" s="5">
        <v>2332</v>
      </c>
      <c r="B2347" s="15" t="s">
        <v>710</v>
      </c>
      <c r="C2347" s="40" t="s">
        <v>597</v>
      </c>
      <c r="D2347" s="40" t="s">
        <v>598</v>
      </c>
      <c r="E2347" s="31" t="s">
        <v>599</v>
      </c>
      <c r="F2347" s="31" t="s">
        <v>782</v>
      </c>
      <c r="G2347" s="31" t="s">
        <v>3195</v>
      </c>
      <c r="H2347" s="40" t="s">
        <v>602</v>
      </c>
      <c r="I2347" s="40" t="s">
        <v>3196</v>
      </c>
      <c r="J2347" s="40" t="s">
        <v>3197</v>
      </c>
      <c r="K2347" s="40" t="s">
        <v>591</v>
      </c>
      <c r="L2347" s="11" t="s">
        <v>914</v>
      </c>
      <c r="M2347" s="93">
        <v>1</v>
      </c>
      <c r="N2347" s="94">
        <v>624400</v>
      </c>
      <c r="O2347" s="94">
        <v>624400</v>
      </c>
      <c r="P2347" s="40" t="s">
        <v>502</v>
      </c>
      <c r="Q2347" s="40" t="s">
        <v>766</v>
      </c>
      <c r="R2347" s="84">
        <v>194020100</v>
      </c>
      <c r="S2347" s="40">
        <v>0</v>
      </c>
    </row>
    <row r="2348" spans="1:19" s="92" customFormat="1" ht="89.25">
      <c r="A2348" s="5">
        <v>2333</v>
      </c>
      <c r="B2348" s="15" t="s">
        <v>710</v>
      </c>
      <c r="C2348" s="40" t="s">
        <v>597</v>
      </c>
      <c r="D2348" s="40" t="s">
        <v>598</v>
      </c>
      <c r="E2348" s="31" t="s">
        <v>599</v>
      </c>
      <c r="F2348" s="31" t="s">
        <v>782</v>
      </c>
      <c r="G2348" s="31" t="s">
        <v>3195</v>
      </c>
      <c r="H2348" s="40" t="s">
        <v>602</v>
      </c>
      <c r="I2348" s="40" t="s">
        <v>3196</v>
      </c>
      <c r="J2348" s="40" t="s">
        <v>3197</v>
      </c>
      <c r="K2348" s="40" t="s">
        <v>591</v>
      </c>
      <c r="L2348" s="11" t="s">
        <v>914</v>
      </c>
      <c r="M2348" s="93">
        <v>1</v>
      </c>
      <c r="N2348" s="94">
        <v>624400</v>
      </c>
      <c r="O2348" s="94">
        <v>624400</v>
      </c>
      <c r="P2348" s="40" t="s">
        <v>502</v>
      </c>
      <c r="Q2348" s="40" t="s">
        <v>766</v>
      </c>
      <c r="R2348" s="84">
        <v>194020100</v>
      </c>
      <c r="S2348" s="40">
        <v>0</v>
      </c>
    </row>
    <row r="2349" spans="1:19" s="92" customFormat="1" ht="51">
      <c r="A2349" s="5">
        <v>2334</v>
      </c>
      <c r="B2349" s="15" t="s">
        <v>710</v>
      </c>
      <c r="C2349" s="40" t="s">
        <v>597</v>
      </c>
      <c r="D2349" s="11" t="s">
        <v>850</v>
      </c>
      <c r="E2349" s="76" t="s">
        <v>1736</v>
      </c>
      <c r="F2349" s="76" t="s">
        <v>851</v>
      </c>
      <c r="G2349" s="76" t="s">
        <v>1737</v>
      </c>
      <c r="H2349" s="76" t="s">
        <v>852</v>
      </c>
      <c r="I2349" s="76" t="s">
        <v>3199</v>
      </c>
      <c r="J2349" s="76" t="s">
        <v>3200</v>
      </c>
      <c r="K2349" s="40" t="s">
        <v>591</v>
      </c>
      <c r="L2349" s="11" t="s">
        <v>914</v>
      </c>
      <c r="M2349" s="97">
        <v>1</v>
      </c>
      <c r="N2349" s="94">
        <f>10000*5</f>
        <v>50000</v>
      </c>
      <c r="O2349" s="94">
        <f>N2349</f>
        <v>50000</v>
      </c>
      <c r="P2349" s="40" t="s">
        <v>698</v>
      </c>
      <c r="Q2349" s="40" t="s">
        <v>766</v>
      </c>
      <c r="R2349" s="84">
        <v>194020100</v>
      </c>
      <c r="S2349" s="40">
        <v>0</v>
      </c>
    </row>
    <row r="2350" spans="1:19" s="92" customFormat="1" ht="51">
      <c r="A2350" s="5">
        <v>2335</v>
      </c>
      <c r="B2350" s="15" t="s">
        <v>710</v>
      </c>
      <c r="C2350" s="40" t="s">
        <v>597</v>
      </c>
      <c r="D2350" s="40" t="s">
        <v>2594</v>
      </c>
      <c r="E2350" s="31" t="s">
        <v>2618</v>
      </c>
      <c r="F2350" s="31" t="s">
        <v>2595</v>
      </c>
      <c r="G2350" s="31" t="s">
        <v>2618</v>
      </c>
      <c r="H2350" s="40" t="s">
        <v>2595</v>
      </c>
      <c r="I2350" s="40" t="s">
        <v>3201</v>
      </c>
      <c r="J2350" s="40" t="s">
        <v>3202</v>
      </c>
      <c r="K2350" s="40" t="s">
        <v>591</v>
      </c>
      <c r="L2350" s="11" t="s">
        <v>914</v>
      </c>
      <c r="M2350" s="93">
        <v>1</v>
      </c>
      <c r="N2350" s="94">
        <f>10500*3</f>
        <v>31500</v>
      </c>
      <c r="O2350" s="94">
        <f>N2350</f>
        <v>31500</v>
      </c>
      <c r="P2350" s="40" t="s">
        <v>3116</v>
      </c>
      <c r="Q2350" s="40" t="s">
        <v>766</v>
      </c>
      <c r="R2350" s="84">
        <v>194020100</v>
      </c>
      <c r="S2350" s="40">
        <v>30</v>
      </c>
    </row>
    <row r="2351" spans="1:19" s="92" customFormat="1" ht="89.25">
      <c r="A2351" s="5">
        <v>2336</v>
      </c>
      <c r="B2351" s="15" t="s">
        <v>710</v>
      </c>
      <c r="C2351" s="40" t="s">
        <v>711</v>
      </c>
      <c r="D2351" s="40" t="s">
        <v>976</v>
      </c>
      <c r="E2351" s="31" t="s">
        <v>730</v>
      </c>
      <c r="F2351" s="31" t="s">
        <v>731</v>
      </c>
      <c r="G2351" s="31" t="s">
        <v>977</v>
      </c>
      <c r="H2351" s="40" t="s">
        <v>978</v>
      </c>
      <c r="I2351" s="40" t="s">
        <v>3203</v>
      </c>
      <c r="J2351" s="40" t="s">
        <v>3204</v>
      </c>
      <c r="K2351" s="40" t="s">
        <v>591</v>
      </c>
      <c r="L2351" s="40" t="s">
        <v>644</v>
      </c>
      <c r="M2351" s="93">
        <v>2</v>
      </c>
      <c r="N2351" s="94">
        <v>26800</v>
      </c>
      <c r="O2351" s="94">
        <f>N2351*M2351</f>
        <v>53600</v>
      </c>
      <c r="P2351" s="40" t="s">
        <v>3116</v>
      </c>
      <c r="Q2351" s="40" t="s">
        <v>1051</v>
      </c>
      <c r="R2351" s="84">
        <v>194020100</v>
      </c>
      <c r="S2351" s="40">
        <v>100</v>
      </c>
    </row>
    <row r="2352" spans="1:19" s="92" customFormat="1" ht="63.75">
      <c r="A2352" s="5">
        <v>2337</v>
      </c>
      <c r="B2352" s="15" t="s">
        <v>710</v>
      </c>
      <c r="C2352" s="40" t="s">
        <v>711</v>
      </c>
      <c r="D2352" s="40" t="s">
        <v>744</v>
      </c>
      <c r="E2352" s="31" t="s">
        <v>745</v>
      </c>
      <c r="F2352" s="31" t="s">
        <v>109</v>
      </c>
      <c r="G2352" s="31" t="s">
        <v>746</v>
      </c>
      <c r="H2352" s="40" t="s">
        <v>3205</v>
      </c>
      <c r="I2352" s="40" t="s">
        <v>3206</v>
      </c>
      <c r="J2352" s="40" t="s">
        <v>3207</v>
      </c>
      <c r="K2352" s="40" t="s">
        <v>591</v>
      </c>
      <c r="L2352" s="40" t="s">
        <v>644</v>
      </c>
      <c r="M2352" s="93">
        <v>6</v>
      </c>
      <c r="N2352" s="94">
        <v>4000</v>
      </c>
      <c r="O2352" s="94">
        <f>M2352*N2352</f>
        <v>24000</v>
      </c>
      <c r="P2352" s="40" t="s">
        <v>3116</v>
      </c>
      <c r="Q2352" s="40" t="s">
        <v>1051</v>
      </c>
      <c r="R2352" s="84">
        <v>194020100</v>
      </c>
      <c r="S2352" s="40">
        <v>100</v>
      </c>
    </row>
    <row r="2353" spans="1:19" s="92" customFormat="1" ht="51">
      <c r="A2353" s="5">
        <v>2338</v>
      </c>
      <c r="B2353" s="15" t="s">
        <v>710</v>
      </c>
      <c r="C2353" s="40" t="s">
        <v>711</v>
      </c>
      <c r="D2353" s="98" t="s">
        <v>422</v>
      </c>
      <c r="E2353" s="76" t="s">
        <v>423</v>
      </c>
      <c r="F2353" s="76" t="s">
        <v>427</v>
      </c>
      <c r="G2353" s="76" t="s">
        <v>837</v>
      </c>
      <c r="H2353" s="76" t="s">
        <v>425</v>
      </c>
      <c r="I2353" s="76" t="s">
        <v>3208</v>
      </c>
      <c r="J2353" s="76" t="s">
        <v>3209</v>
      </c>
      <c r="K2353" s="76" t="s">
        <v>591</v>
      </c>
      <c r="L2353" s="11" t="s">
        <v>909</v>
      </c>
      <c r="M2353" s="53">
        <v>18</v>
      </c>
      <c r="N2353" s="94">
        <v>640</v>
      </c>
      <c r="O2353" s="94">
        <f>N2353*M2353</f>
        <v>11520</v>
      </c>
      <c r="P2353" s="40" t="s">
        <v>3116</v>
      </c>
      <c r="Q2353" s="40" t="s">
        <v>766</v>
      </c>
      <c r="R2353" s="84">
        <v>194020100</v>
      </c>
      <c r="S2353" s="40">
        <v>100</v>
      </c>
    </row>
    <row r="2354" spans="1:19" s="92" customFormat="1" ht="76.5">
      <c r="A2354" s="5">
        <v>2339</v>
      </c>
      <c r="B2354" s="15" t="s">
        <v>710</v>
      </c>
      <c r="C2354" s="40" t="s">
        <v>711</v>
      </c>
      <c r="D2354" s="40" t="s">
        <v>723</v>
      </c>
      <c r="E2354" s="31" t="s">
        <v>874</v>
      </c>
      <c r="F2354" s="31" t="s">
        <v>874</v>
      </c>
      <c r="G2354" s="31" t="s">
        <v>875</v>
      </c>
      <c r="H2354" s="40" t="s">
        <v>876</v>
      </c>
      <c r="I2354" s="40" t="s">
        <v>3210</v>
      </c>
      <c r="J2354" s="40" t="s">
        <v>3211</v>
      </c>
      <c r="K2354" s="40" t="s">
        <v>591</v>
      </c>
      <c r="L2354" s="40" t="s">
        <v>644</v>
      </c>
      <c r="M2354" s="93">
        <v>1</v>
      </c>
      <c r="N2354" s="94">
        <v>30000</v>
      </c>
      <c r="O2354" s="94">
        <f>N2354*M2354</f>
        <v>30000</v>
      </c>
      <c r="P2354" s="40" t="s">
        <v>3116</v>
      </c>
      <c r="Q2354" s="40" t="s">
        <v>1051</v>
      </c>
      <c r="R2354" s="84">
        <v>194020100</v>
      </c>
      <c r="S2354" s="40">
        <v>100</v>
      </c>
    </row>
    <row r="2355" spans="1:19" s="92" customFormat="1" ht="89.25">
      <c r="A2355" s="5">
        <v>2340</v>
      </c>
      <c r="B2355" s="15" t="s">
        <v>710</v>
      </c>
      <c r="C2355" s="40" t="s">
        <v>597</v>
      </c>
      <c r="D2355" s="40" t="s">
        <v>598</v>
      </c>
      <c r="E2355" s="31" t="s">
        <v>599</v>
      </c>
      <c r="F2355" s="31" t="s">
        <v>782</v>
      </c>
      <c r="G2355" s="31" t="s">
        <v>3195</v>
      </c>
      <c r="H2355" s="40" t="s">
        <v>602</v>
      </c>
      <c r="I2355" s="40" t="s">
        <v>3196</v>
      </c>
      <c r="J2355" s="40" t="s">
        <v>3197</v>
      </c>
      <c r="K2355" s="40" t="s">
        <v>591</v>
      </c>
      <c r="L2355" s="11" t="s">
        <v>914</v>
      </c>
      <c r="M2355" s="93">
        <v>1</v>
      </c>
      <c r="N2355" s="94">
        <v>624400</v>
      </c>
      <c r="O2355" s="94">
        <v>624400</v>
      </c>
      <c r="P2355" s="40" t="s">
        <v>502</v>
      </c>
      <c r="Q2355" s="40" t="s">
        <v>766</v>
      </c>
      <c r="R2355" s="84">
        <v>196630100</v>
      </c>
      <c r="S2355" s="40">
        <v>0</v>
      </c>
    </row>
    <row r="2356" spans="1:19" s="92" customFormat="1" ht="89.25">
      <c r="A2356" s="5">
        <v>2341</v>
      </c>
      <c r="B2356" s="15" t="s">
        <v>710</v>
      </c>
      <c r="C2356" s="40" t="s">
        <v>597</v>
      </c>
      <c r="D2356" s="40" t="s">
        <v>598</v>
      </c>
      <c r="E2356" s="31" t="s">
        <v>599</v>
      </c>
      <c r="F2356" s="31" t="s">
        <v>782</v>
      </c>
      <c r="G2356" s="31" t="s">
        <v>3195</v>
      </c>
      <c r="H2356" s="40" t="s">
        <v>602</v>
      </c>
      <c r="I2356" s="40" t="s">
        <v>3196</v>
      </c>
      <c r="J2356" s="40" t="s">
        <v>3197</v>
      </c>
      <c r="K2356" s="40" t="s">
        <v>591</v>
      </c>
      <c r="L2356" s="11" t="s">
        <v>914</v>
      </c>
      <c r="M2356" s="93">
        <v>1</v>
      </c>
      <c r="N2356" s="94">
        <v>624400</v>
      </c>
      <c r="O2356" s="94">
        <v>624400</v>
      </c>
      <c r="P2356" s="40" t="s">
        <v>502</v>
      </c>
      <c r="Q2356" s="40" t="s">
        <v>766</v>
      </c>
      <c r="R2356" s="84">
        <v>196630100</v>
      </c>
      <c r="S2356" s="40">
        <v>0</v>
      </c>
    </row>
    <row r="2357" spans="1:19" s="92" customFormat="1" ht="51">
      <c r="A2357" s="5">
        <v>2342</v>
      </c>
      <c r="B2357" s="15" t="s">
        <v>710</v>
      </c>
      <c r="C2357" s="40" t="s">
        <v>597</v>
      </c>
      <c r="D2357" s="11" t="s">
        <v>850</v>
      </c>
      <c r="E2357" s="76" t="s">
        <v>1736</v>
      </c>
      <c r="F2357" s="76" t="s">
        <v>851</v>
      </c>
      <c r="G2357" s="76" t="s">
        <v>1737</v>
      </c>
      <c r="H2357" s="76" t="s">
        <v>852</v>
      </c>
      <c r="I2357" s="76" t="s">
        <v>3199</v>
      </c>
      <c r="J2357" s="76" t="s">
        <v>3200</v>
      </c>
      <c r="K2357" s="40" t="s">
        <v>591</v>
      </c>
      <c r="L2357" s="11" t="s">
        <v>914</v>
      </c>
      <c r="M2357" s="97">
        <v>1</v>
      </c>
      <c r="N2357" s="94">
        <f>10000*5</f>
        <v>50000</v>
      </c>
      <c r="O2357" s="94">
        <f>N2357</f>
        <v>50000</v>
      </c>
      <c r="P2357" s="40" t="s">
        <v>698</v>
      </c>
      <c r="Q2357" s="40" t="s">
        <v>766</v>
      </c>
      <c r="R2357" s="84">
        <v>196630100</v>
      </c>
      <c r="S2357" s="40">
        <v>0</v>
      </c>
    </row>
    <row r="2358" spans="1:19" s="92" customFormat="1" ht="51">
      <c r="A2358" s="5">
        <v>2343</v>
      </c>
      <c r="B2358" s="15" t="s">
        <v>710</v>
      </c>
      <c r="C2358" s="40" t="s">
        <v>597</v>
      </c>
      <c r="D2358" s="40" t="s">
        <v>2594</v>
      </c>
      <c r="E2358" s="31" t="s">
        <v>2618</v>
      </c>
      <c r="F2358" s="31" t="s">
        <v>2595</v>
      </c>
      <c r="G2358" s="31" t="s">
        <v>2618</v>
      </c>
      <c r="H2358" s="40" t="s">
        <v>2595</v>
      </c>
      <c r="I2358" s="40" t="s">
        <v>3201</v>
      </c>
      <c r="J2358" s="40" t="s">
        <v>3202</v>
      </c>
      <c r="K2358" s="40" t="s">
        <v>591</v>
      </c>
      <c r="L2358" s="11" t="s">
        <v>914</v>
      </c>
      <c r="M2358" s="93">
        <v>1</v>
      </c>
      <c r="N2358" s="94">
        <f>10500*3</f>
        <v>31500</v>
      </c>
      <c r="O2358" s="94">
        <f>N2358</f>
        <v>31500</v>
      </c>
      <c r="P2358" s="40" t="s">
        <v>3116</v>
      </c>
      <c r="Q2358" s="40" t="s">
        <v>766</v>
      </c>
      <c r="R2358" s="84">
        <v>196630100</v>
      </c>
      <c r="S2358" s="40">
        <v>30</v>
      </c>
    </row>
    <row r="2359" spans="1:19" s="92" customFormat="1" ht="89.25">
      <c r="A2359" s="5">
        <v>2344</v>
      </c>
      <c r="B2359" s="15" t="s">
        <v>710</v>
      </c>
      <c r="C2359" s="40" t="s">
        <v>711</v>
      </c>
      <c r="D2359" s="40" t="s">
        <v>976</v>
      </c>
      <c r="E2359" s="31" t="s">
        <v>730</v>
      </c>
      <c r="F2359" s="31" t="s">
        <v>731</v>
      </c>
      <c r="G2359" s="31" t="s">
        <v>977</v>
      </c>
      <c r="H2359" s="40" t="s">
        <v>978</v>
      </c>
      <c r="I2359" s="40" t="s">
        <v>3203</v>
      </c>
      <c r="J2359" s="40" t="s">
        <v>3204</v>
      </c>
      <c r="K2359" s="40" t="s">
        <v>591</v>
      </c>
      <c r="L2359" s="40" t="s">
        <v>644</v>
      </c>
      <c r="M2359" s="93">
        <v>2</v>
      </c>
      <c r="N2359" s="94">
        <v>26800</v>
      </c>
      <c r="O2359" s="94">
        <f>N2359*M2359</f>
        <v>53600</v>
      </c>
      <c r="P2359" s="40" t="s">
        <v>3116</v>
      </c>
      <c r="Q2359" s="40" t="s">
        <v>1051</v>
      </c>
      <c r="R2359" s="84">
        <v>196630100</v>
      </c>
      <c r="S2359" s="40">
        <v>100</v>
      </c>
    </row>
    <row r="2360" spans="1:19" s="92" customFormat="1" ht="63.75">
      <c r="A2360" s="5">
        <v>2345</v>
      </c>
      <c r="B2360" s="15" t="s">
        <v>710</v>
      </c>
      <c r="C2360" s="40" t="s">
        <v>711</v>
      </c>
      <c r="D2360" s="40" t="s">
        <v>744</v>
      </c>
      <c r="E2360" s="31" t="s">
        <v>745</v>
      </c>
      <c r="F2360" s="31" t="s">
        <v>109</v>
      </c>
      <c r="G2360" s="31" t="s">
        <v>746</v>
      </c>
      <c r="H2360" s="40" t="s">
        <v>3205</v>
      </c>
      <c r="I2360" s="40" t="s">
        <v>3206</v>
      </c>
      <c r="J2360" s="40" t="s">
        <v>3207</v>
      </c>
      <c r="K2360" s="40" t="s">
        <v>591</v>
      </c>
      <c r="L2360" s="40" t="s">
        <v>644</v>
      </c>
      <c r="M2360" s="93">
        <v>6</v>
      </c>
      <c r="N2360" s="94">
        <v>4000</v>
      </c>
      <c r="O2360" s="94">
        <f>M2360*N2360</f>
        <v>24000</v>
      </c>
      <c r="P2360" s="40" t="s">
        <v>3116</v>
      </c>
      <c r="Q2360" s="40" t="s">
        <v>1051</v>
      </c>
      <c r="R2360" s="84">
        <v>196630100</v>
      </c>
      <c r="S2360" s="40">
        <v>100</v>
      </c>
    </row>
    <row r="2361" spans="1:19" s="92" customFormat="1" ht="51">
      <c r="A2361" s="5">
        <v>2346</v>
      </c>
      <c r="B2361" s="15" t="s">
        <v>710</v>
      </c>
      <c r="C2361" s="40" t="s">
        <v>711</v>
      </c>
      <c r="D2361" s="98" t="s">
        <v>422</v>
      </c>
      <c r="E2361" s="76" t="s">
        <v>423</v>
      </c>
      <c r="F2361" s="76" t="s">
        <v>427</v>
      </c>
      <c r="G2361" s="76" t="s">
        <v>837</v>
      </c>
      <c r="H2361" s="76" t="s">
        <v>425</v>
      </c>
      <c r="I2361" s="76" t="s">
        <v>3208</v>
      </c>
      <c r="J2361" s="76" t="s">
        <v>3209</v>
      </c>
      <c r="K2361" s="76" t="s">
        <v>591</v>
      </c>
      <c r="L2361" s="11" t="s">
        <v>909</v>
      </c>
      <c r="M2361" s="53">
        <v>18</v>
      </c>
      <c r="N2361" s="94">
        <v>640</v>
      </c>
      <c r="O2361" s="94">
        <f>N2361*M2361</f>
        <v>11520</v>
      </c>
      <c r="P2361" s="40" t="s">
        <v>3116</v>
      </c>
      <c r="Q2361" s="40" t="s">
        <v>766</v>
      </c>
      <c r="R2361" s="84">
        <v>196630100</v>
      </c>
      <c r="S2361" s="40">
        <v>100</v>
      </c>
    </row>
    <row r="2362" spans="1:19" s="92" customFormat="1" ht="76.5">
      <c r="A2362" s="5">
        <v>2347</v>
      </c>
      <c r="B2362" s="15" t="s">
        <v>710</v>
      </c>
      <c r="C2362" s="40" t="s">
        <v>711</v>
      </c>
      <c r="D2362" s="40" t="s">
        <v>723</v>
      </c>
      <c r="E2362" s="31" t="s">
        <v>874</v>
      </c>
      <c r="F2362" s="31" t="s">
        <v>874</v>
      </c>
      <c r="G2362" s="31" t="s">
        <v>875</v>
      </c>
      <c r="H2362" s="40" t="s">
        <v>876</v>
      </c>
      <c r="I2362" s="40" t="s">
        <v>3210</v>
      </c>
      <c r="J2362" s="40" t="s">
        <v>3211</v>
      </c>
      <c r="K2362" s="40" t="s">
        <v>591</v>
      </c>
      <c r="L2362" s="40" t="s">
        <v>644</v>
      </c>
      <c r="M2362" s="93">
        <v>1</v>
      </c>
      <c r="N2362" s="94">
        <v>30000</v>
      </c>
      <c r="O2362" s="94">
        <f>N2362*M2362</f>
        <v>30000</v>
      </c>
      <c r="P2362" s="40" t="s">
        <v>3116</v>
      </c>
      <c r="Q2362" s="40" t="s">
        <v>1051</v>
      </c>
      <c r="R2362" s="84">
        <v>196630100</v>
      </c>
      <c r="S2362" s="40">
        <v>100</v>
      </c>
    </row>
    <row r="2363" spans="1:19" s="92" customFormat="1" ht="89.25">
      <c r="A2363" s="5">
        <v>2348</v>
      </c>
      <c r="B2363" s="15" t="s">
        <v>710</v>
      </c>
      <c r="C2363" s="40" t="s">
        <v>597</v>
      </c>
      <c r="D2363" s="40" t="s">
        <v>598</v>
      </c>
      <c r="E2363" s="31" t="s">
        <v>599</v>
      </c>
      <c r="F2363" s="31" t="s">
        <v>782</v>
      </c>
      <c r="G2363" s="31" t="s">
        <v>3195</v>
      </c>
      <c r="H2363" s="40" t="s">
        <v>602</v>
      </c>
      <c r="I2363" s="40" t="s">
        <v>3196</v>
      </c>
      <c r="J2363" s="40" t="s">
        <v>3197</v>
      </c>
      <c r="K2363" s="40" t="s">
        <v>591</v>
      </c>
      <c r="L2363" s="11" t="s">
        <v>914</v>
      </c>
      <c r="M2363" s="93">
        <v>1</v>
      </c>
      <c r="N2363" s="94">
        <v>624400</v>
      </c>
      <c r="O2363" s="94">
        <v>624400</v>
      </c>
      <c r="P2363" s="40" t="s">
        <v>502</v>
      </c>
      <c r="Q2363" s="40" t="s">
        <v>766</v>
      </c>
      <c r="R2363" s="84">
        <v>195849300</v>
      </c>
      <c r="S2363" s="40">
        <v>0</v>
      </c>
    </row>
    <row r="2364" spans="1:19" s="92" customFormat="1" ht="89.25">
      <c r="A2364" s="5">
        <v>2349</v>
      </c>
      <c r="B2364" s="15" t="s">
        <v>710</v>
      </c>
      <c r="C2364" s="40" t="s">
        <v>597</v>
      </c>
      <c r="D2364" s="40" t="s">
        <v>598</v>
      </c>
      <c r="E2364" s="31" t="s">
        <v>599</v>
      </c>
      <c r="F2364" s="31" t="s">
        <v>782</v>
      </c>
      <c r="G2364" s="31" t="s">
        <v>3195</v>
      </c>
      <c r="H2364" s="40" t="s">
        <v>602</v>
      </c>
      <c r="I2364" s="40" t="s">
        <v>3196</v>
      </c>
      <c r="J2364" s="40" t="s">
        <v>3197</v>
      </c>
      <c r="K2364" s="40" t="s">
        <v>591</v>
      </c>
      <c r="L2364" s="11" t="s">
        <v>914</v>
      </c>
      <c r="M2364" s="93">
        <v>1</v>
      </c>
      <c r="N2364" s="94">
        <v>624400</v>
      </c>
      <c r="O2364" s="94">
        <v>624400</v>
      </c>
      <c r="P2364" s="40" t="s">
        <v>502</v>
      </c>
      <c r="Q2364" s="40" t="s">
        <v>766</v>
      </c>
      <c r="R2364" s="84">
        <v>195849300</v>
      </c>
      <c r="S2364" s="40">
        <v>0</v>
      </c>
    </row>
    <row r="2365" spans="1:19" s="92" customFormat="1" ht="51">
      <c r="A2365" s="5">
        <v>2350</v>
      </c>
      <c r="B2365" s="15" t="s">
        <v>710</v>
      </c>
      <c r="C2365" s="40" t="s">
        <v>597</v>
      </c>
      <c r="D2365" s="11" t="s">
        <v>850</v>
      </c>
      <c r="E2365" s="76" t="s">
        <v>1736</v>
      </c>
      <c r="F2365" s="76" t="s">
        <v>851</v>
      </c>
      <c r="G2365" s="76" t="s">
        <v>1737</v>
      </c>
      <c r="H2365" s="76" t="s">
        <v>852</v>
      </c>
      <c r="I2365" s="76" t="s">
        <v>3199</v>
      </c>
      <c r="J2365" s="76" t="s">
        <v>3200</v>
      </c>
      <c r="K2365" s="40" t="s">
        <v>591</v>
      </c>
      <c r="L2365" s="11" t="s">
        <v>914</v>
      </c>
      <c r="M2365" s="97">
        <v>1</v>
      </c>
      <c r="N2365" s="94">
        <f>10000*5</f>
        <v>50000</v>
      </c>
      <c r="O2365" s="94">
        <f>N2365</f>
        <v>50000</v>
      </c>
      <c r="P2365" s="40" t="s">
        <v>698</v>
      </c>
      <c r="Q2365" s="40" t="s">
        <v>766</v>
      </c>
      <c r="R2365" s="84">
        <v>195849300</v>
      </c>
      <c r="S2365" s="40">
        <v>0</v>
      </c>
    </row>
    <row r="2366" spans="1:19" s="92" customFormat="1" ht="51">
      <c r="A2366" s="5">
        <v>2351</v>
      </c>
      <c r="B2366" s="15" t="s">
        <v>710</v>
      </c>
      <c r="C2366" s="40" t="s">
        <v>597</v>
      </c>
      <c r="D2366" s="40" t="s">
        <v>2594</v>
      </c>
      <c r="E2366" s="31" t="s">
        <v>2618</v>
      </c>
      <c r="F2366" s="31" t="s">
        <v>2595</v>
      </c>
      <c r="G2366" s="31" t="s">
        <v>2618</v>
      </c>
      <c r="H2366" s="40" t="s">
        <v>2595</v>
      </c>
      <c r="I2366" s="40" t="s">
        <v>3201</v>
      </c>
      <c r="J2366" s="40" t="s">
        <v>3202</v>
      </c>
      <c r="K2366" s="40" t="s">
        <v>591</v>
      </c>
      <c r="L2366" s="11" t="s">
        <v>914</v>
      </c>
      <c r="M2366" s="93">
        <v>1</v>
      </c>
      <c r="N2366" s="94">
        <f>10500*3</f>
        <v>31500</v>
      </c>
      <c r="O2366" s="94">
        <f>N2366</f>
        <v>31500</v>
      </c>
      <c r="P2366" s="40" t="s">
        <v>3116</v>
      </c>
      <c r="Q2366" s="40" t="s">
        <v>766</v>
      </c>
      <c r="R2366" s="84">
        <v>195849300</v>
      </c>
      <c r="S2366" s="40">
        <v>30</v>
      </c>
    </row>
    <row r="2367" spans="1:19" s="92" customFormat="1" ht="89.25">
      <c r="A2367" s="5">
        <v>2352</v>
      </c>
      <c r="B2367" s="15" t="s">
        <v>710</v>
      </c>
      <c r="C2367" s="40" t="s">
        <v>711</v>
      </c>
      <c r="D2367" s="40" t="s">
        <v>976</v>
      </c>
      <c r="E2367" s="31" t="s">
        <v>730</v>
      </c>
      <c r="F2367" s="31" t="s">
        <v>731</v>
      </c>
      <c r="G2367" s="31" t="s">
        <v>977</v>
      </c>
      <c r="H2367" s="40" t="s">
        <v>978</v>
      </c>
      <c r="I2367" s="40" t="s">
        <v>3203</v>
      </c>
      <c r="J2367" s="40" t="s">
        <v>3204</v>
      </c>
      <c r="K2367" s="40" t="s">
        <v>591</v>
      </c>
      <c r="L2367" s="40" t="s">
        <v>644</v>
      </c>
      <c r="M2367" s="93">
        <v>2</v>
      </c>
      <c r="N2367" s="94">
        <v>26800</v>
      </c>
      <c r="O2367" s="94">
        <f>N2367*M2367</f>
        <v>53600</v>
      </c>
      <c r="P2367" s="40" t="s">
        <v>3116</v>
      </c>
      <c r="Q2367" s="40" t="s">
        <v>1051</v>
      </c>
      <c r="R2367" s="84">
        <v>195849300</v>
      </c>
      <c r="S2367" s="40">
        <v>100</v>
      </c>
    </row>
    <row r="2368" spans="1:19" s="92" customFormat="1" ht="63.75">
      <c r="A2368" s="5">
        <v>2353</v>
      </c>
      <c r="B2368" s="15" t="s">
        <v>710</v>
      </c>
      <c r="C2368" s="40" t="s">
        <v>711</v>
      </c>
      <c r="D2368" s="40" t="s">
        <v>744</v>
      </c>
      <c r="E2368" s="31" t="s">
        <v>745</v>
      </c>
      <c r="F2368" s="31" t="s">
        <v>109</v>
      </c>
      <c r="G2368" s="31" t="s">
        <v>746</v>
      </c>
      <c r="H2368" s="40" t="s">
        <v>3205</v>
      </c>
      <c r="I2368" s="40" t="s">
        <v>3206</v>
      </c>
      <c r="J2368" s="40" t="s">
        <v>3207</v>
      </c>
      <c r="K2368" s="40" t="s">
        <v>591</v>
      </c>
      <c r="L2368" s="40" t="s">
        <v>644</v>
      </c>
      <c r="M2368" s="93">
        <v>6</v>
      </c>
      <c r="N2368" s="94">
        <v>4000</v>
      </c>
      <c r="O2368" s="94">
        <f>M2368*N2368</f>
        <v>24000</v>
      </c>
      <c r="P2368" s="40" t="s">
        <v>3116</v>
      </c>
      <c r="Q2368" s="40" t="s">
        <v>1051</v>
      </c>
      <c r="R2368" s="84">
        <v>195849300</v>
      </c>
      <c r="S2368" s="40">
        <v>100</v>
      </c>
    </row>
    <row r="2369" spans="1:19" s="92" customFormat="1" ht="51">
      <c r="A2369" s="5">
        <v>2354</v>
      </c>
      <c r="B2369" s="15" t="s">
        <v>710</v>
      </c>
      <c r="C2369" s="40" t="s">
        <v>711</v>
      </c>
      <c r="D2369" s="98" t="s">
        <v>422</v>
      </c>
      <c r="E2369" s="76" t="s">
        <v>423</v>
      </c>
      <c r="F2369" s="76" t="s">
        <v>427</v>
      </c>
      <c r="G2369" s="76" t="s">
        <v>837</v>
      </c>
      <c r="H2369" s="76" t="s">
        <v>425</v>
      </c>
      <c r="I2369" s="76" t="s">
        <v>3208</v>
      </c>
      <c r="J2369" s="76" t="s">
        <v>3209</v>
      </c>
      <c r="K2369" s="76" t="s">
        <v>591</v>
      </c>
      <c r="L2369" s="11" t="s">
        <v>909</v>
      </c>
      <c r="M2369" s="53">
        <v>18</v>
      </c>
      <c r="N2369" s="94">
        <v>640</v>
      </c>
      <c r="O2369" s="94">
        <f>N2369*M2369</f>
        <v>11520</v>
      </c>
      <c r="P2369" s="40" t="s">
        <v>3116</v>
      </c>
      <c r="Q2369" s="40" t="s">
        <v>766</v>
      </c>
      <c r="R2369" s="84">
        <v>195849300</v>
      </c>
      <c r="S2369" s="40">
        <v>100</v>
      </c>
    </row>
    <row r="2370" spans="1:19" s="92" customFormat="1" ht="76.5">
      <c r="A2370" s="5">
        <v>2355</v>
      </c>
      <c r="B2370" s="15" t="s">
        <v>710</v>
      </c>
      <c r="C2370" s="40" t="s">
        <v>711</v>
      </c>
      <c r="D2370" s="40" t="s">
        <v>723</v>
      </c>
      <c r="E2370" s="31" t="s">
        <v>874</v>
      </c>
      <c r="F2370" s="31" t="s">
        <v>874</v>
      </c>
      <c r="G2370" s="31" t="s">
        <v>875</v>
      </c>
      <c r="H2370" s="40" t="s">
        <v>876</v>
      </c>
      <c r="I2370" s="40" t="s">
        <v>3210</v>
      </c>
      <c r="J2370" s="40" t="s">
        <v>3211</v>
      </c>
      <c r="K2370" s="40" t="s">
        <v>591</v>
      </c>
      <c r="L2370" s="40" t="s">
        <v>644</v>
      </c>
      <c r="M2370" s="93">
        <v>1</v>
      </c>
      <c r="N2370" s="94">
        <v>30000</v>
      </c>
      <c r="O2370" s="94">
        <f>N2370*M2370</f>
        <v>30000</v>
      </c>
      <c r="P2370" s="40" t="s">
        <v>3116</v>
      </c>
      <c r="Q2370" s="40" t="s">
        <v>1051</v>
      </c>
      <c r="R2370" s="84">
        <v>195849300</v>
      </c>
      <c r="S2370" s="40">
        <v>100</v>
      </c>
    </row>
    <row r="2371" spans="1:19" s="92" customFormat="1" ht="89.25">
      <c r="A2371" s="5">
        <v>2356</v>
      </c>
      <c r="B2371" s="15" t="s">
        <v>710</v>
      </c>
      <c r="C2371" s="40" t="s">
        <v>597</v>
      </c>
      <c r="D2371" s="40" t="s">
        <v>598</v>
      </c>
      <c r="E2371" s="31" t="s">
        <v>599</v>
      </c>
      <c r="F2371" s="31" t="s">
        <v>782</v>
      </c>
      <c r="G2371" s="31" t="s">
        <v>3195</v>
      </c>
      <c r="H2371" s="40" t="s">
        <v>602</v>
      </c>
      <c r="I2371" s="40" t="s">
        <v>3196</v>
      </c>
      <c r="J2371" s="40" t="s">
        <v>3197</v>
      </c>
      <c r="K2371" s="40" t="s">
        <v>591</v>
      </c>
      <c r="L2371" s="11" t="s">
        <v>914</v>
      </c>
      <c r="M2371" s="93">
        <v>1</v>
      </c>
      <c r="N2371" s="94">
        <v>624400</v>
      </c>
      <c r="O2371" s="94">
        <v>624400</v>
      </c>
      <c r="P2371" s="40" t="s">
        <v>502</v>
      </c>
      <c r="Q2371" s="40" t="s">
        <v>766</v>
      </c>
      <c r="R2371" s="84">
        <v>191610000</v>
      </c>
      <c r="S2371" s="40">
        <v>0</v>
      </c>
    </row>
    <row r="2372" spans="1:19" s="92" customFormat="1" ht="89.25">
      <c r="A2372" s="5">
        <v>2357</v>
      </c>
      <c r="B2372" s="15" t="s">
        <v>710</v>
      </c>
      <c r="C2372" s="40" t="s">
        <v>597</v>
      </c>
      <c r="D2372" s="40" t="s">
        <v>598</v>
      </c>
      <c r="E2372" s="31" t="s">
        <v>599</v>
      </c>
      <c r="F2372" s="31" t="s">
        <v>782</v>
      </c>
      <c r="G2372" s="31" t="s">
        <v>3195</v>
      </c>
      <c r="H2372" s="40" t="s">
        <v>602</v>
      </c>
      <c r="I2372" s="40" t="s">
        <v>3196</v>
      </c>
      <c r="J2372" s="40" t="s">
        <v>3197</v>
      </c>
      <c r="K2372" s="40" t="s">
        <v>591</v>
      </c>
      <c r="L2372" s="11" t="s">
        <v>914</v>
      </c>
      <c r="M2372" s="93">
        <v>1</v>
      </c>
      <c r="N2372" s="94">
        <v>624400</v>
      </c>
      <c r="O2372" s="94">
        <v>624400</v>
      </c>
      <c r="P2372" s="40" t="s">
        <v>502</v>
      </c>
      <c r="Q2372" s="40" t="s">
        <v>766</v>
      </c>
      <c r="R2372" s="84">
        <v>191610000</v>
      </c>
      <c r="S2372" s="40">
        <v>0</v>
      </c>
    </row>
    <row r="2373" spans="1:19" s="92" customFormat="1" ht="51">
      <c r="A2373" s="5">
        <v>2358</v>
      </c>
      <c r="B2373" s="15" t="s">
        <v>710</v>
      </c>
      <c r="C2373" s="40" t="s">
        <v>597</v>
      </c>
      <c r="D2373" s="11" t="s">
        <v>850</v>
      </c>
      <c r="E2373" s="76" t="s">
        <v>1736</v>
      </c>
      <c r="F2373" s="76" t="s">
        <v>851</v>
      </c>
      <c r="G2373" s="76" t="s">
        <v>1737</v>
      </c>
      <c r="H2373" s="76" t="s">
        <v>852</v>
      </c>
      <c r="I2373" s="76" t="s">
        <v>3199</v>
      </c>
      <c r="J2373" s="76" t="s">
        <v>3200</v>
      </c>
      <c r="K2373" s="40" t="s">
        <v>591</v>
      </c>
      <c r="L2373" s="11" t="s">
        <v>914</v>
      </c>
      <c r="M2373" s="97">
        <v>1</v>
      </c>
      <c r="N2373" s="94">
        <f>10000*5</f>
        <v>50000</v>
      </c>
      <c r="O2373" s="94">
        <f>N2373</f>
        <v>50000</v>
      </c>
      <c r="P2373" s="40" t="s">
        <v>698</v>
      </c>
      <c r="Q2373" s="40" t="s">
        <v>766</v>
      </c>
      <c r="R2373" s="84">
        <v>191610000</v>
      </c>
      <c r="S2373" s="40">
        <v>0</v>
      </c>
    </row>
    <row r="2374" spans="1:19" s="92" customFormat="1" ht="51">
      <c r="A2374" s="5">
        <v>2359</v>
      </c>
      <c r="B2374" s="15" t="s">
        <v>710</v>
      </c>
      <c r="C2374" s="40" t="s">
        <v>597</v>
      </c>
      <c r="D2374" s="40" t="s">
        <v>2594</v>
      </c>
      <c r="E2374" s="31" t="s">
        <v>2618</v>
      </c>
      <c r="F2374" s="31" t="s">
        <v>2595</v>
      </c>
      <c r="G2374" s="31" t="s">
        <v>2618</v>
      </c>
      <c r="H2374" s="40" t="s">
        <v>2595</v>
      </c>
      <c r="I2374" s="40" t="s">
        <v>3201</v>
      </c>
      <c r="J2374" s="40" t="s">
        <v>3202</v>
      </c>
      <c r="K2374" s="40" t="s">
        <v>591</v>
      </c>
      <c r="L2374" s="11" t="s">
        <v>914</v>
      </c>
      <c r="M2374" s="93">
        <v>1</v>
      </c>
      <c r="N2374" s="94">
        <f>10500*3</f>
        <v>31500</v>
      </c>
      <c r="O2374" s="94">
        <f>N2374</f>
        <v>31500</v>
      </c>
      <c r="P2374" s="40" t="s">
        <v>3116</v>
      </c>
      <c r="Q2374" s="40" t="s">
        <v>766</v>
      </c>
      <c r="R2374" s="84">
        <v>191610000</v>
      </c>
      <c r="S2374" s="40">
        <v>30</v>
      </c>
    </row>
    <row r="2375" spans="1:19" s="92" customFormat="1" ht="89.25">
      <c r="A2375" s="5">
        <v>2360</v>
      </c>
      <c r="B2375" s="15" t="s">
        <v>710</v>
      </c>
      <c r="C2375" s="40" t="s">
        <v>711</v>
      </c>
      <c r="D2375" s="40" t="s">
        <v>976</v>
      </c>
      <c r="E2375" s="31" t="s">
        <v>730</v>
      </c>
      <c r="F2375" s="31" t="s">
        <v>731</v>
      </c>
      <c r="G2375" s="31" t="s">
        <v>977</v>
      </c>
      <c r="H2375" s="40" t="s">
        <v>978</v>
      </c>
      <c r="I2375" s="40" t="s">
        <v>3203</v>
      </c>
      <c r="J2375" s="40" t="s">
        <v>3204</v>
      </c>
      <c r="K2375" s="40" t="s">
        <v>591</v>
      </c>
      <c r="L2375" s="40" t="s">
        <v>644</v>
      </c>
      <c r="M2375" s="93">
        <v>2</v>
      </c>
      <c r="N2375" s="94">
        <v>26800</v>
      </c>
      <c r="O2375" s="94">
        <f>N2375*M2375</f>
        <v>53600</v>
      </c>
      <c r="P2375" s="40" t="s">
        <v>3116</v>
      </c>
      <c r="Q2375" s="40" t="s">
        <v>1051</v>
      </c>
      <c r="R2375" s="84">
        <v>191610000</v>
      </c>
      <c r="S2375" s="40">
        <v>100</v>
      </c>
    </row>
    <row r="2376" spans="1:19" s="92" customFormat="1" ht="63.75">
      <c r="A2376" s="5">
        <v>2361</v>
      </c>
      <c r="B2376" s="15" t="s">
        <v>710</v>
      </c>
      <c r="C2376" s="40" t="s">
        <v>711</v>
      </c>
      <c r="D2376" s="40" t="s">
        <v>744</v>
      </c>
      <c r="E2376" s="31" t="s">
        <v>745</v>
      </c>
      <c r="F2376" s="31" t="s">
        <v>109</v>
      </c>
      <c r="G2376" s="31" t="s">
        <v>746</v>
      </c>
      <c r="H2376" s="40" t="s">
        <v>3205</v>
      </c>
      <c r="I2376" s="40" t="s">
        <v>3206</v>
      </c>
      <c r="J2376" s="40" t="s">
        <v>3207</v>
      </c>
      <c r="K2376" s="40" t="s">
        <v>591</v>
      </c>
      <c r="L2376" s="40" t="s">
        <v>644</v>
      </c>
      <c r="M2376" s="93">
        <v>6</v>
      </c>
      <c r="N2376" s="94">
        <v>4000</v>
      </c>
      <c r="O2376" s="94">
        <f>M2376*N2376</f>
        <v>24000</v>
      </c>
      <c r="P2376" s="40" t="s">
        <v>3116</v>
      </c>
      <c r="Q2376" s="40" t="s">
        <v>1051</v>
      </c>
      <c r="R2376" s="84">
        <v>191610000</v>
      </c>
      <c r="S2376" s="40">
        <v>100</v>
      </c>
    </row>
    <row r="2377" spans="1:19" s="92" customFormat="1" ht="51">
      <c r="A2377" s="5">
        <v>2362</v>
      </c>
      <c r="B2377" s="15" t="s">
        <v>710</v>
      </c>
      <c r="C2377" s="40" t="s">
        <v>711</v>
      </c>
      <c r="D2377" s="98" t="s">
        <v>422</v>
      </c>
      <c r="E2377" s="76" t="s">
        <v>423</v>
      </c>
      <c r="F2377" s="76" t="s">
        <v>427</v>
      </c>
      <c r="G2377" s="76" t="s">
        <v>837</v>
      </c>
      <c r="H2377" s="76" t="s">
        <v>425</v>
      </c>
      <c r="I2377" s="76" t="s">
        <v>3208</v>
      </c>
      <c r="J2377" s="76" t="s">
        <v>3209</v>
      </c>
      <c r="K2377" s="76" t="s">
        <v>591</v>
      </c>
      <c r="L2377" s="11" t="s">
        <v>909</v>
      </c>
      <c r="M2377" s="53">
        <v>18</v>
      </c>
      <c r="N2377" s="94">
        <v>640</v>
      </c>
      <c r="O2377" s="94">
        <f>N2377*M2377</f>
        <v>11520</v>
      </c>
      <c r="P2377" s="40" t="s">
        <v>3116</v>
      </c>
      <c r="Q2377" s="40" t="s">
        <v>766</v>
      </c>
      <c r="R2377" s="84">
        <v>191610000</v>
      </c>
      <c r="S2377" s="40">
        <v>100</v>
      </c>
    </row>
    <row r="2378" spans="1:19" s="92" customFormat="1" ht="76.5">
      <c r="A2378" s="5">
        <v>2363</v>
      </c>
      <c r="B2378" s="15" t="s">
        <v>710</v>
      </c>
      <c r="C2378" s="40" t="s">
        <v>711</v>
      </c>
      <c r="D2378" s="40" t="s">
        <v>723</v>
      </c>
      <c r="E2378" s="31" t="s">
        <v>874</v>
      </c>
      <c r="F2378" s="31" t="s">
        <v>874</v>
      </c>
      <c r="G2378" s="31" t="s">
        <v>875</v>
      </c>
      <c r="H2378" s="40" t="s">
        <v>876</v>
      </c>
      <c r="I2378" s="40" t="s">
        <v>3210</v>
      </c>
      <c r="J2378" s="40" t="s">
        <v>3211</v>
      </c>
      <c r="K2378" s="40" t="s">
        <v>591</v>
      </c>
      <c r="L2378" s="40" t="s">
        <v>644</v>
      </c>
      <c r="M2378" s="93">
        <v>1</v>
      </c>
      <c r="N2378" s="94">
        <v>30000</v>
      </c>
      <c r="O2378" s="94">
        <f>N2378*M2378</f>
        <v>30000</v>
      </c>
      <c r="P2378" s="40" t="s">
        <v>3116</v>
      </c>
      <c r="Q2378" s="40" t="s">
        <v>1051</v>
      </c>
      <c r="R2378" s="84">
        <v>191610000</v>
      </c>
      <c r="S2378" s="40">
        <v>100</v>
      </c>
    </row>
    <row r="2379" spans="1:19" s="92" customFormat="1" ht="51">
      <c r="A2379" s="5">
        <v>2364</v>
      </c>
      <c r="B2379" s="15" t="s">
        <v>710</v>
      </c>
      <c r="C2379" s="40" t="s">
        <v>597</v>
      </c>
      <c r="D2379" s="40" t="s">
        <v>3128</v>
      </c>
      <c r="E2379" s="31" t="s">
        <v>2620</v>
      </c>
      <c r="F2379" s="31" t="s">
        <v>1304</v>
      </c>
      <c r="G2379" s="31" t="s">
        <v>3129</v>
      </c>
      <c r="H2379" s="40" t="s">
        <v>3130</v>
      </c>
      <c r="I2379" s="40" t="s">
        <v>3131</v>
      </c>
      <c r="J2379" s="40" t="s">
        <v>3132</v>
      </c>
      <c r="K2379" s="40" t="s">
        <v>591</v>
      </c>
      <c r="L2379" s="11" t="s">
        <v>914</v>
      </c>
      <c r="M2379" s="93">
        <v>1</v>
      </c>
      <c r="N2379" s="94">
        <f>59000*12</f>
        <v>708000</v>
      </c>
      <c r="O2379" s="94">
        <f>N2379*M2379</f>
        <v>708000</v>
      </c>
      <c r="P2379" s="40" t="s">
        <v>3116</v>
      </c>
      <c r="Q2379" s="40" t="s">
        <v>766</v>
      </c>
      <c r="R2379" s="84">
        <v>271010000</v>
      </c>
      <c r="S2379" s="40">
        <v>50</v>
      </c>
    </row>
    <row r="2380" spans="1:19" s="92" customFormat="1" ht="76.5">
      <c r="A2380" s="5">
        <v>2365</v>
      </c>
      <c r="B2380" s="15" t="s">
        <v>710</v>
      </c>
      <c r="C2380" s="40" t="s">
        <v>3117</v>
      </c>
      <c r="D2380" s="40" t="s">
        <v>532</v>
      </c>
      <c r="E2380" s="31" t="s">
        <v>3133</v>
      </c>
      <c r="F2380" s="31" t="s">
        <v>534</v>
      </c>
      <c r="G2380" s="31" t="s">
        <v>3133</v>
      </c>
      <c r="H2380" s="31" t="s">
        <v>534</v>
      </c>
      <c r="I2380" s="40" t="s">
        <v>3134</v>
      </c>
      <c r="J2380" s="40" t="s">
        <v>3135</v>
      </c>
      <c r="K2380" s="40" t="s">
        <v>591</v>
      </c>
      <c r="L2380" s="11" t="s">
        <v>914</v>
      </c>
      <c r="M2380" s="93">
        <v>1</v>
      </c>
      <c r="N2380" s="94">
        <f>12*30000</f>
        <v>360000</v>
      </c>
      <c r="O2380" s="94">
        <f>N2380*M2380</f>
        <v>360000</v>
      </c>
      <c r="P2380" s="40" t="s">
        <v>3116</v>
      </c>
      <c r="Q2380" s="40" t="s">
        <v>1051</v>
      </c>
      <c r="R2380" s="84">
        <v>271010000</v>
      </c>
      <c r="S2380" s="40">
        <v>50</v>
      </c>
    </row>
    <row r="2381" spans="1:19" s="92" customFormat="1" ht="51">
      <c r="A2381" s="5">
        <v>2366</v>
      </c>
      <c r="B2381" s="15" t="s">
        <v>710</v>
      </c>
      <c r="C2381" s="40" t="s">
        <v>2433</v>
      </c>
      <c r="D2381" s="40" t="s">
        <v>3136</v>
      </c>
      <c r="E2381" s="40" t="s">
        <v>466</v>
      </c>
      <c r="F2381" s="40" t="s">
        <v>25</v>
      </c>
      <c r="G2381" s="40" t="s">
        <v>3212</v>
      </c>
      <c r="H2381" s="40" t="s">
        <v>467</v>
      </c>
      <c r="I2381" s="40" t="s">
        <v>3137</v>
      </c>
      <c r="J2381" s="40" t="s">
        <v>3138</v>
      </c>
      <c r="K2381" s="40" t="s">
        <v>591</v>
      </c>
      <c r="L2381" s="95" t="s">
        <v>644</v>
      </c>
      <c r="M2381" s="93">
        <f>24*5</f>
        <v>120</v>
      </c>
      <c r="N2381" s="94">
        <v>40</v>
      </c>
      <c r="O2381" s="94">
        <f>N2381*M2381</f>
        <v>4800</v>
      </c>
      <c r="P2381" s="40" t="s">
        <v>3139</v>
      </c>
      <c r="Q2381" s="40" t="s">
        <v>766</v>
      </c>
      <c r="R2381" s="84">
        <v>271010000</v>
      </c>
      <c r="S2381" s="40">
        <v>0</v>
      </c>
    </row>
    <row r="2382" spans="1:19" s="92" customFormat="1" ht="51">
      <c r="A2382" s="5">
        <v>2367</v>
      </c>
      <c r="B2382" s="15" t="s">
        <v>710</v>
      </c>
      <c r="C2382" s="40" t="s">
        <v>2433</v>
      </c>
      <c r="D2382" s="40" t="s">
        <v>3140</v>
      </c>
      <c r="E2382" s="40" t="s">
        <v>3141</v>
      </c>
      <c r="F2382" s="40" t="s">
        <v>3142</v>
      </c>
      <c r="G2382" s="40" t="s">
        <v>3213</v>
      </c>
      <c r="H2382" s="40" t="s">
        <v>3214</v>
      </c>
      <c r="I2382" s="40" t="s">
        <v>3143</v>
      </c>
      <c r="J2382" s="40" t="s">
        <v>3144</v>
      </c>
      <c r="K2382" s="40" t="s">
        <v>591</v>
      </c>
      <c r="L2382" s="95" t="s">
        <v>644</v>
      </c>
      <c r="M2382" s="93">
        <f>24*2</f>
        <v>48</v>
      </c>
      <c r="N2382" s="94">
        <v>170</v>
      </c>
      <c r="O2382" s="94">
        <f t="shared" ref="O2382:O2401" si="62">N2382*M2382</f>
        <v>8160</v>
      </c>
      <c r="P2382" s="40" t="s">
        <v>3139</v>
      </c>
      <c r="Q2382" s="40" t="s">
        <v>766</v>
      </c>
      <c r="R2382" s="84">
        <v>271010000</v>
      </c>
      <c r="S2382" s="40">
        <v>0</v>
      </c>
    </row>
    <row r="2383" spans="1:19" s="92" customFormat="1" ht="51">
      <c r="A2383" s="5">
        <v>2368</v>
      </c>
      <c r="B2383" s="15" t="s">
        <v>710</v>
      </c>
      <c r="C2383" s="40" t="s">
        <v>2433</v>
      </c>
      <c r="D2383" s="40" t="s">
        <v>452</v>
      </c>
      <c r="E2383" s="40" t="s">
        <v>453</v>
      </c>
      <c r="F2383" s="40" t="s">
        <v>454</v>
      </c>
      <c r="G2383" s="40" t="s">
        <v>455</v>
      </c>
      <c r="H2383" s="40" t="s">
        <v>456</v>
      </c>
      <c r="I2383" s="40" t="s">
        <v>3145</v>
      </c>
      <c r="J2383" s="40" t="s">
        <v>3146</v>
      </c>
      <c r="K2383" s="40" t="s">
        <v>591</v>
      </c>
      <c r="L2383" s="95" t="s">
        <v>480</v>
      </c>
      <c r="M2383" s="93">
        <f>24*5</f>
        <v>120</v>
      </c>
      <c r="N2383" s="94">
        <v>155</v>
      </c>
      <c r="O2383" s="94">
        <f t="shared" si="62"/>
        <v>18600</v>
      </c>
      <c r="P2383" s="40" t="s">
        <v>3139</v>
      </c>
      <c r="Q2383" s="40" t="s">
        <v>766</v>
      </c>
      <c r="R2383" s="84">
        <v>271010000</v>
      </c>
      <c r="S2383" s="40">
        <v>0</v>
      </c>
    </row>
    <row r="2384" spans="1:19" s="92" customFormat="1" ht="51">
      <c r="A2384" s="5">
        <v>2369</v>
      </c>
      <c r="B2384" s="15" t="s">
        <v>710</v>
      </c>
      <c r="C2384" s="40" t="s">
        <v>2433</v>
      </c>
      <c r="D2384" s="40" t="s">
        <v>452</v>
      </c>
      <c r="E2384" s="40" t="s">
        <v>453</v>
      </c>
      <c r="F2384" s="40" t="s">
        <v>454</v>
      </c>
      <c r="G2384" s="40" t="s">
        <v>455</v>
      </c>
      <c r="H2384" s="40" t="s">
        <v>456</v>
      </c>
      <c r="I2384" s="40" t="s">
        <v>3147</v>
      </c>
      <c r="J2384" s="40" t="s">
        <v>3148</v>
      </c>
      <c r="K2384" s="40" t="s">
        <v>591</v>
      </c>
      <c r="L2384" s="95" t="s">
        <v>480</v>
      </c>
      <c r="M2384" s="93">
        <f>24*5</f>
        <v>120</v>
      </c>
      <c r="N2384" s="94">
        <v>200</v>
      </c>
      <c r="O2384" s="94">
        <f t="shared" si="62"/>
        <v>24000</v>
      </c>
      <c r="P2384" s="40" t="s">
        <v>3139</v>
      </c>
      <c r="Q2384" s="40" t="s">
        <v>766</v>
      </c>
      <c r="R2384" s="84">
        <v>271010000</v>
      </c>
      <c r="S2384" s="40">
        <v>0</v>
      </c>
    </row>
    <row r="2385" spans="1:19" s="92" customFormat="1" ht="51">
      <c r="A2385" s="5">
        <v>2370</v>
      </c>
      <c r="B2385" s="15" t="s">
        <v>710</v>
      </c>
      <c r="C2385" s="40" t="s">
        <v>2433</v>
      </c>
      <c r="D2385" s="40" t="s">
        <v>432</v>
      </c>
      <c r="E2385" s="40" t="s">
        <v>433</v>
      </c>
      <c r="F2385" s="40" t="s">
        <v>434</v>
      </c>
      <c r="G2385" s="40" t="s">
        <v>435</v>
      </c>
      <c r="H2385" s="40" t="s">
        <v>436</v>
      </c>
      <c r="I2385" s="40" t="s">
        <v>3149</v>
      </c>
      <c r="J2385" s="40" t="s">
        <v>3150</v>
      </c>
      <c r="K2385" s="40" t="s">
        <v>591</v>
      </c>
      <c r="L2385" s="95" t="s">
        <v>644</v>
      </c>
      <c r="M2385" s="93">
        <f>24*5</f>
        <v>120</v>
      </c>
      <c r="N2385" s="94">
        <v>250</v>
      </c>
      <c r="O2385" s="94">
        <f t="shared" si="62"/>
        <v>30000</v>
      </c>
      <c r="P2385" s="40" t="s">
        <v>3139</v>
      </c>
      <c r="Q2385" s="40" t="s">
        <v>766</v>
      </c>
      <c r="R2385" s="84">
        <v>271010000</v>
      </c>
      <c r="S2385" s="40">
        <v>0</v>
      </c>
    </row>
    <row r="2386" spans="1:19" s="92" customFormat="1" ht="51">
      <c r="A2386" s="5">
        <v>2371</v>
      </c>
      <c r="B2386" s="15" t="s">
        <v>710</v>
      </c>
      <c r="C2386" s="40" t="s">
        <v>2433</v>
      </c>
      <c r="D2386" s="40" t="s">
        <v>447</v>
      </c>
      <c r="E2386" s="40" t="s">
        <v>24</v>
      </c>
      <c r="F2386" s="40" t="s">
        <v>24</v>
      </c>
      <c r="G2386" s="40" t="s">
        <v>3215</v>
      </c>
      <c r="H2386" s="40" t="s">
        <v>448</v>
      </c>
      <c r="I2386" s="40" t="s">
        <v>3151</v>
      </c>
      <c r="J2386" s="40" t="s">
        <v>3152</v>
      </c>
      <c r="K2386" s="40" t="s">
        <v>591</v>
      </c>
      <c r="L2386" s="95" t="s">
        <v>644</v>
      </c>
      <c r="M2386" s="93">
        <f>24*3</f>
        <v>72</v>
      </c>
      <c r="N2386" s="94">
        <v>250</v>
      </c>
      <c r="O2386" s="94">
        <f t="shared" si="62"/>
        <v>18000</v>
      </c>
      <c r="P2386" s="40" t="s">
        <v>3139</v>
      </c>
      <c r="Q2386" s="40" t="s">
        <v>766</v>
      </c>
      <c r="R2386" s="84">
        <v>271010000</v>
      </c>
      <c r="S2386" s="40">
        <v>0</v>
      </c>
    </row>
    <row r="2387" spans="1:19" s="92" customFormat="1" ht="51">
      <c r="A2387" s="5">
        <v>2372</v>
      </c>
      <c r="B2387" s="15" t="s">
        <v>710</v>
      </c>
      <c r="C2387" s="40" t="s">
        <v>2433</v>
      </c>
      <c r="D2387" s="40" t="s">
        <v>449</v>
      </c>
      <c r="E2387" s="40" t="s">
        <v>450</v>
      </c>
      <c r="F2387" s="40" t="s">
        <v>450</v>
      </c>
      <c r="G2387" s="40" t="s">
        <v>3216</v>
      </c>
      <c r="H2387" s="40" t="s">
        <v>451</v>
      </c>
      <c r="I2387" s="40" t="s">
        <v>3153</v>
      </c>
      <c r="J2387" s="40" t="s">
        <v>3154</v>
      </c>
      <c r="K2387" s="40" t="s">
        <v>591</v>
      </c>
      <c r="L2387" s="95" t="s">
        <v>480</v>
      </c>
      <c r="M2387" s="93">
        <f>24*3</f>
        <v>72</v>
      </c>
      <c r="N2387" s="94">
        <v>250</v>
      </c>
      <c r="O2387" s="94">
        <f t="shared" si="62"/>
        <v>18000</v>
      </c>
      <c r="P2387" s="40" t="s">
        <v>3139</v>
      </c>
      <c r="Q2387" s="40" t="s">
        <v>766</v>
      </c>
      <c r="R2387" s="84">
        <v>271010000</v>
      </c>
      <c r="S2387" s="40">
        <v>0</v>
      </c>
    </row>
    <row r="2388" spans="1:19" s="92" customFormat="1" ht="51">
      <c r="A2388" s="5">
        <v>2373</v>
      </c>
      <c r="B2388" s="15" t="s">
        <v>710</v>
      </c>
      <c r="C2388" s="40" t="s">
        <v>2433</v>
      </c>
      <c r="D2388" s="40" t="s">
        <v>3155</v>
      </c>
      <c r="E2388" s="40" t="s">
        <v>3156</v>
      </c>
      <c r="F2388" s="40" t="s">
        <v>3157</v>
      </c>
      <c r="G2388" s="40" t="s">
        <v>3217</v>
      </c>
      <c r="H2388" s="40" t="s">
        <v>3218</v>
      </c>
      <c r="I2388" s="40" t="s">
        <v>3158</v>
      </c>
      <c r="J2388" s="40" t="s">
        <v>3159</v>
      </c>
      <c r="K2388" s="40" t="s">
        <v>591</v>
      </c>
      <c r="L2388" s="95" t="s">
        <v>644</v>
      </c>
      <c r="M2388" s="93">
        <f>24*2</f>
        <v>48</v>
      </c>
      <c r="N2388" s="94">
        <v>150</v>
      </c>
      <c r="O2388" s="94">
        <f t="shared" si="62"/>
        <v>7200</v>
      </c>
      <c r="P2388" s="40" t="s">
        <v>3139</v>
      </c>
      <c r="Q2388" s="40" t="s">
        <v>766</v>
      </c>
      <c r="R2388" s="84">
        <v>271010000</v>
      </c>
      <c r="S2388" s="40">
        <v>0</v>
      </c>
    </row>
    <row r="2389" spans="1:19" s="92" customFormat="1" ht="51">
      <c r="A2389" s="5">
        <v>2374</v>
      </c>
      <c r="B2389" s="15" t="s">
        <v>710</v>
      </c>
      <c r="C2389" s="40" t="s">
        <v>2433</v>
      </c>
      <c r="D2389" s="40" t="s">
        <v>437</v>
      </c>
      <c r="E2389" s="40" t="s">
        <v>20</v>
      </c>
      <c r="F2389" s="40" t="s">
        <v>20</v>
      </c>
      <c r="G2389" s="40" t="s">
        <v>438</v>
      </c>
      <c r="H2389" s="40" t="s">
        <v>439</v>
      </c>
      <c r="I2389" s="40" t="s">
        <v>3160</v>
      </c>
      <c r="J2389" s="40" t="s">
        <v>3161</v>
      </c>
      <c r="K2389" s="40" t="s">
        <v>591</v>
      </c>
      <c r="L2389" s="95" t="s">
        <v>644</v>
      </c>
      <c r="M2389" s="93">
        <f>24*5</f>
        <v>120</v>
      </c>
      <c r="N2389" s="94">
        <v>100</v>
      </c>
      <c r="O2389" s="94">
        <f t="shared" si="62"/>
        <v>12000</v>
      </c>
      <c r="P2389" s="40" t="s">
        <v>3139</v>
      </c>
      <c r="Q2389" s="40" t="s">
        <v>766</v>
      </c>
      <c r="R2389" s="84">
        <v>271010000</v>
      </c>
      <c r="S2389" s="40">
        <v>0</v>
      </c>
    </row>
    <row r="2390" spans="1:19" s="92" customFormat="1" ht="51">
      <c r="A2390" s="5">
        <v>2375</v>
      </c>
      <c r="B2390" s="15" t="s">
        <v>710</v>
      </c>
      <c r="C2390" s="40" t="s">
        <v>2433</v>
      </c>
      <c r="D2390" s="40" t="s">
        <v>3162</v>
      </c>
      <c r="E2390" s="40" t="s">
        <v>3163</v>
      </c>
      <c r="F2390" s="40" t="s">
        <v>3164</v>
      </c>
      <c r="G2390" s="31" t="s">
        <v>3219</v>
      </c>
      <c r="H2390" s="40" t="s">
        <v>3220</v>
      </c>
      <c r="I2390" s="40" t="s">
        <v>3165</v>
      </c>
      <c r="J2390" s="40" t="s">
        <v>3166</v>
      </c>
      <c r="K2390" s="40" t="s">
        <v>591</v>
      </c>
      <c r="L2390" s="95" t="s">
        <v>480</v>
      </c>
      <c r="M2390" s="93">
        <f>24*5</f>
        <v>120</v>
      </c>
      <c r="N2390" s="94">
        <v>500</v>
      </c>
      <c r="O2390" s="94">
        <f t="shared" si="62"/>
        <v>60000</v>
      </c>
      <c r="P2390" s="40" t="s">
        <v>3139</v>
      </c>
      <c r="Q2390" s="40" t="s">
        <v>766</v>
      </c>
      <c r="R2390" s="84">
        <v>271010000</v>
      </c>
      <c r="S2390" s="40">
        <v>0</v>
      </c>
    </row>
    <row r="2391" spans="1:19" s="92" customFormat="1" ht="51">
      <c r="A2391" s="5">
        <v>2376</v>
      </c>
      <c r="B2391" s="15" t="s">
        <v>710</v>
      </c>
      <c r="C2391" s="40" t="s">
        <v>2433</v>
      </c>
      <c r="D2391" s="40" t="s">
        <v>440</v>
      </c>
      <c r="E2391" s="40" t="s">
        <v>21</v>
      </c>
      <c r="F2391" s="40" t="s">
        <v>21</v>
      </c>
      <c r="G2391" s="31" t="s">
        <v>441</v>
      </c>
      <c r="H2391" s="40" t="s">
        <v>442</v>
      </c>
      <c r="I2391" s="40" t="s">
        <v>3167</v>
      </c>
      <c r="J2391" s="40" t="s">
        <v>3168</v>
      </c>
      <c r="K2391" s="40" t="s">
        <v>591</v>
      </c>
      <c r="L2391" s="95" t="s">
        <v>644</v>
      </c>
      <c r="M2391" s="93">
        <f t="shared" ref="M2391:M2396" si="63">24*1</f>
        <v>24</v>
      </c>
      <c r="N2391" s="94">
        <v>1500</v>
      </c>
      <c r="O2391" s="94">
        <f t="shared" si="62"/>
        <v>36000</v>
      </c>
      <c r="P2391" s="40" t="s">
        <v>3139</v>
      </c>
      <c r="Q2391" s="40" t="s">
        <v>766</v>
      </c>
      <c r="R2391" s="84">
        <v>271010000</v>
      </c>
      <c r="S2391" s="40">
        <v>0</v>
      </c>
    </row>
    <row r="2392" spans="1:19" s="92" customFormat="1" ht="127.5">
      <c r="A2392" s="5">
        <v>2377</v>
      </c>
      <c r="B2392" s="15" t="s">
        <v>710</v>
      </c>
      <c r="C2392" s="40" t="s">
        <v>2433</v>
      </c>
      <c r="D2392" s="40" t="s">
        <v>470</v>
      </c>
      <c r="E2392" s="40" t="s">
        <v>27</v>
      </c>
      <c r="F2392" s="40" t="s">
        <v>27</v>
      </c>
      <c r="G2392" s="31" t="s">
        <v>471</v>
      </c>
      <c r="H2392" s="40" t="s">
        <v>472</v>
      </c>
      <c r="I2392" s="40" t="s">
        <v>3169</v>
      </c>
      <c r="J2392" s="40" t="s">
        <v>3170</v>
      </c>
      <c r="K2392" s="40" t="s">
        <v>591</v>
      </c>
      <c r="L2392" s="95" t="s">
        <v>644</v>
      </c>
      <c r="M2392" s="93">
        <f t="shared" si="63"/>
        <v>24</v>
      </c>
      <c r="N2392" s="94">
        <v>3500</v>
      </c>
      <c r="O2392" s="94">
        <f t="shared" si="62"/>
        <v>84000</v>
      </c>
      <c r="P2392" s="40" t="s">
        <v>3139</v>
      </c>
      <c r="Q2392" s="40" t="s">
        <v>766</v>
      </c>
      <c r="R2392" s="84">
        <v>271010000</v>
      </c>
      <c r="S2392" s="40">
        <v>0</v>
      </c>
    </row>
    <row r="2393" spans="1:19" s="92" customFormat="1" ht="76.5">
      <c r="A2393" s="5">
        <v>2378</v>
      </c>
      <c r="B2393" s="15" t="s">
        <v>710</v>
      </c>
      <c r="C2393" s="40" t="s">
        <v>2433</v>
      </c>
      <c r="D2393" s="40" t="s">
        <v>3171</v>
      </c>
      <c r="E2393" s="40" t="s">
        <v>3172</v>
      </c>
      <c r="F2393" s="40" t="s">
        <v>3172</v>
      </c>
      <c r="G2393" s="40" t="s">
        <v>3173</v>
      </c>
      <c r="H2393" s="40" t="s">
        <v>3174</v>
      </c>
      <c r="I2393" s="40" t="s">
        <v>3175</v>
      </c>
      <c r="J2393" s="40" t="s">
        <v>3176</v>
      </c>
      <c r="K2393" s="40" t="s">
        <v>591</v>
      </c>
      <c r="L2393" s="95" t="s">
        <v>644</v>
      </c>
      <c r="M2393" s="93">
        <f t="shared" si="63"/>
        <v>24</v>
      </c>
      <c r="N2393" s="94">
        <v>150</v>
      </c>
      <c r="O2393" s="94">
        <f t="shared" si="62"/>
        <v>3600</v>
      </c>
      <c r="P2393" s="40" t="s">
        <v>3139</v>
      </c>
      <c r="Q2393" s="40" t="s">
        <v>766</v>
      </c>
      <c r="R2393" s="84">
        <v>271010000</v>
      </c>
      <c r="S2393" s="40">
        <v>0</v>
      </c>
    </row>
    <row r="2394" spans="1:19" s="92" customFormat="1" ht="51">
      <c r="A2394" s="5">
        <v>2379</v>
      </c>
      <c r="B2394" s="15" t="s">
        <v>710</v>
      </c>
      <c r="C2394" s="40" t="s">
        <v>2433</v>
      </c>
      <c r="D2394" s="40" t="s">
        <v>457</v>
      </c>
      <c r="E2394" s="40" t="s">
        <v>17</v>
      </c>
      <c r="F2394" s="40" t="s">
        <v>17</v>
      </c>
      <c r="G2394" s="40" t="s">
        <v>3177</v>
      </c>
      <c r="H2394" s="40" t="s">
        <v>458</v>
      </c>
      <c r="I2394" s="40" t="s">
        <v>3178</v>
      </c>
      <c r="J2394" s="40" t="s">
        <v>3179</v>
      </c>
      <c r="K2394" s="40" t="s">
        <v>591</v>
      </c>
      <c r="L2394" s="95" t="s">
        <v>644</v>
      </c>
      <c r="M2394" s="93">
        <f t="shared" si="63"/>
        <v>24</v>
      </c>
      <c r="N2394" s="94">
        <v>600</v>
      </c>
      <c r="O2394" s="94">
        <f t="shared" si="62"/>
        <v>14400</v>
      </c>
      <c r="P2394" s="40" t="s">
        <v>3139</v>
      </c>
      <c r="Q2394" s="40" t="s">
        <v>766</v>
      </c>
      <c r="R2394" s="84">
        <v>271010000</v>
      </c>
      <c r="S2394" s="40">
        <v>0</v>
      </c>
    </row>
    <row r="2395" spans="1:19" s="92" customFormat="1" ht="51">
      <c r="A2395" s="5">
        <v>2380</v>
      </c>
      <c r="B2395" s="15" t="s">
        <v>710</v>
      </c>
      <c r="C2395" s="40" t="s">
        <v>2433</v>
      </c>
      <c r="D2395" s="40" t="s">
        <v>457</v>
      </c>
      <c r="E2395" s="40" t="s">
        <v>17</v>
      </c>
      <c r="F2395" s="40" t="s">
        <v>17</v>
      </c>
      <c r="G2395" s="40" t="s">
        <v>3177</v>
      </c>
      <c r="H2395" s="40" t="s">
        <v>458</v>
      </c>
      <c r="I2395" s="40" t="s">
        <v>3180</v>
      </c>
      <c r="J2395" s="40" t="s">
        <v>3181</v>
      </c>
      <c r="K2395" s="40" t="s">
        <v>591</v>
      </c>
      <c r="L2395" s="95" t="s">
        <v>644</v>
      </c>
      <c r="M2395" s="93">
        <f t="shared" si="63"/>
        <v>24</v>
      </c>
      <c r="N2395" s="94">
        <v>800</v>
      </c>
      <c r="O2395" s="94">
        <f t="shared" si="62"/>
        <v>19200</v>
      </c>
      <c r="P2395" s="40" t="s">
        <v>3139</v>
      </c>
      <c r="Q2395" s="40" t="s">
        <v>766</v>
      </c>
      <c r="R2395" s="84">
        <v>271010000</v>
      </c>
      <c r="S2395" s="40">
        <v>0</v>
      </c>
    </row>
    <row r="2396" spans="1:19" s="92" customFormat="1" ht="51">
      <c r="A2396" s="5">
        <v>2381</v>
      </c>
      <c r="B2396" s="15" t="s">
        <v>710</v>
      </c>
      <c r="C2396" s="40" t="s">
        <v>2433</v>
      </c>
      <c r="D2396" s="40" t="s">
        <v>476</v>
      </c>
      <c r="E2396" s="40" t="s">
        <v>477</v>
      </c>
      <c r="F2396" s="40" t="s">
        <v>28</v>
      </c>
      <c r="G2396" s="40" t="s">
        <v>478</v>
      </c>
      <c r="H2396" s="40" t="s">
        <v>479</v>
      </c>
      <c r="I2396" s="40" t="s">
        <v>3182</v>
      </c>
      <c r="J2396" s="40" t="s">
        <v>3183</v>
      </c>
      <c r="K2396" s="40" t="s">
        <v>591</v>
      </c>
      <c r="L2396" s="95" t="s">
        <v>644</v>
      </c>
      <c r="M2396" s="93">
        <f t="shared" si="63"/>
        <v>24</v>
      </c>
      <c r="N2396" s="94">
        <v>1500</v>
      </c>
      <c r="O2396" s="94">
        <f t="shared" si="62"/>
        <v>36000</v>
      </c>
      <c r="P2396" s="40" t="s">
        <v>3139</v>
      </c>
      <c r="Q2396" s="40" t="s">
        <v>766</v>
      </c>
      <c r="R2396" s="84">
        <v>271010000</v>
      </c>
      <c r="S2396" s="40">
        <v>0</v>
      </c>
    </row>
    <row r="2397" spans="1:19" s="92" customFormat="1" ht="51">
      <c r="A2397" s="5">
        <v>2382</v>
      </c>
      <c r="B2397" s="15" t="s">
        <v>710</v>
      </c>
      <c r="C2397" s="40" t="s">
        <v>2433</v>
      </c>
      <c r="D2397" s="40" t="s">
        <v>468</v>
      </c>
      <c r="E2397" s="40" t="s">
        <v>3184</v>
      </c>
      <c r="F2397" s="40" t="s">
        <v>26</v>
      </c>
      <c r="G2397" s="40" t="s">
        <v>3185</v>
      </c>
      <c r="H2397" s="40" t="s">
        <v>469</v>
      </c>
      <c r="I2397" s="40" t="s">
        <v>3186</v>
      </c>
      <c r="J2397" s="40" t="s">
        <v>3187</v>
      </c>
      <c r="K2397" s="40" t="s">
        <v>591</v>
      </c>
      <c r="L2397" s="95" t="s">
        <v>644</v>
      </c>
      <c r="M2397" s="93">
        <f>24*5</f>
        <v>120</v>
      </c>
      <c r="N2397" s="94">
        <v>250</v>
      </c>
      <c r="O2397" s="94">
        <f t="shared" si="62"/>
        <v>30000</v>
      </c>
      <c r="P2397" s="40" t="s">
        <v>3139</v>
      </c>
      <c r="Q2397" s="40" t="s">
        <v>766</v>
      </c>
      <c r="R2397" s="84">
        <v>271010000</v>
      </c>
      <c r="S2397" s="40">
        <v>0</v>
      </c>
    </row>
    <row r="2398" spans="1:19" s="92" customFormat="1" ht="44.25" customHeight="1">
      <c r="A2398" s="5">
        <v>2383</v>
      </c>
      <c r="B2398" s="15" t="s">
        <v>710</v>
      </c>
      <c r="C2398" s="40" t="s">
        <v>597</v>
      </c>
      <c r="D2398" s="40" t="s">
        <v>598</v>
      </c>
      <c r="E2398" s="31" t="s">
        <v>599</v>
      </c>
      <c r="F2398" s="31" t="s">
        <v>782</v>
      </c>
      <c r="G2398" s="31" t="s">
        <v>3195</v>
      </c>
      <c r="H2398" s="40" t="s">
        <v>602</v>
      </c>
      <c r="I2398" s="40" t="s">
        <v>3196</v>
      </c>
      <c r="J2398" s="40" t="s">
        <v>3197</v>
      </c>
      <c r="K2398" s="40" t="s">
        <v>591</v>
      </c>
      <c r="L2398" s="11" t="s">
        <v>914</v>
      </c>
      <c r="M2398" s="93">
        <v>1</v>
      </c>
      <c r="N2398" s="94">
        <v>624400</v>
      </c>
      <c r="O2398" s="94">
        <v>624400</v>
      </c>
      <c r="P2398" s="40" t="s">
        <v>502</v>
      </c>
      <c r="Q2398" s="40" t="s">
        <v>766</v>
      </c>
      <c r="R2398" s="84">
        <v>276030100</v>
      </c>
      <c r="S2398" s="40">
        <v>0</v>
      </c>
    </row>
    <row r="2399" spans="1:19" s="92" customFormat="1" ht="44.25" customHeight="1">
      <c r="A2399" s="5">
        <v>2384</v>
      </c>
      <c r="B2399" s="15" t="s">
        <v>710</v>
      </c>
      <c r="C2399" s="40" t="s">
        <v>597</v>
      </c>
      <c r="D2399" s="40" t="s">
        <v>598</v>
      </c>
      <c r="E2399" s="31" t="s">
        <v>599</v>
      </c>
      <c r="F2399" s="31" t="s">
        <v>782</v>
      </c>
      <c r="G2399" s="31" t="s">
        <v>3195</v>
      </c>
      <c r="H2399" s="40" t="s">
        <v>602</v>
      </c>
      <c r="I2399" s="40" t="s">
        <v>3196</v>
      </c>
      <c r="J2399" s="40" t="s">
        <v>3197</v>
      </c>
      <c r="K2399" s="40" t="s">
        <v>591</v>
      </c>
      <c r="L2399" s="11" t="s">
        <v>914</v>
      </c>
      <c r="M2399" s="93">
        <v>1</v>
      </c>
      <c r="N2399" s="94">
        <v>624400</v>
      </c>
      <c r="O2399" s="94">
        <v>624400</v>
      </c>
      <c r="P2399" s="40" t="s">
        <v>502</v>
      </c>
      <c r="Q2399" s="40" t="s">
        <v>766</v>
      </c>
      <c r="R2399" s="84">
        <v>276030100</v>
      </c>
      <c r="S2399" s="40">
        <v>0</v>
      </c>
    </row>
    <row r="2400" spans="1:19" s="92" customFormat="1" ht="51">
      <c r="A2400" s="5">
        <v>2385</v>
      </c>
      <c r="B2400" s="15" t="s">
        <v>710</v>
      </c>
      <c r="C2400" s="40" t="s">
        <v>2433</v>
      </c>
      <c r="D2400" s="40" t="s">
        <v>443</v>
      </c>
      <c r="E2400" s="40" t="s">
        <v>444</v>
      </c>
      <c r="F2400" s="40" t="s">
        <v>444</v>
      </c>
      <c r="G2400" s="40" t="s">
        <v>445</v>
      </c>
      <c r="H2400" s="40" t="s">
        <v>446</v>
      </c>
      <c r="I2400" s="40" t="s">
        <v>3188</v>
      </c>
      <c r="J2400" s="40" t="s">
        <v>3189</v>
      </c>
      <c r="K2400" s="40" t="s">
        <v>591</v>
      </c>
      <c r="L2400" s="95" t="s">
        <v>644</v>
      </c>
      <c r="M2400" s="93">
        <f>24*5</f>
        <v>120</v>
      </c>
      <c r="N2400" s="94">
        <v>500</v>
      </c>
      <c r="O2400" s="94">
        <f t="shared" si="62"/>
        <v>60000</v>
      </c>
      <c r="P2400" s="40" t="s">
        <v>3139</v>
      </c>
      <c r="Q2400" s="40" t="s">
        <v>766</v>
      </c>
      <c r="R2400" s="84">
        <v>271010000</v>
      </c>
      <c r="S2400" s="40">
        <v>0</v>
      </c>
    </row>
    <row r="2401" spans="1:19" s="92" customFormat="1" ht="51">
      <c r="A2401" s="5">
        <v>2386</v>
      </c>
      <c r="B2401" s="15" t="s">
        <v>710</v>
      </c>
      <c r="C2401" s="40" t="s">
        <v>711</v>
      </c>
      <c r="D2401" s="40" t="s">
        <v>3190</v>
      </c>
      <c r="E2401" s="31" t="s">
        <v>3191</v>
      </c>
      <c r="F2401" s="31" t="s">
        <v>3192</v>
      </c>
      <c r="G2401" s="40" t="s">
        <v>3264</v>
      </c>
      <c r="H2401" s="40" t="s">
        <v>3264</v>
      </c>
      <c r="I2401" s="31" t="s">
        <v>3193</v>
      </c>
      <c r="J2401" s="31" t="s">
        <v>3194</v>
      </c>
      <c r="K2401" s="40" t="s">
        <v>591</v>
      </c>
      <c r="L2401" s="95" t="s">
        <v>644</v>
      </c>
      <c r="M2401" s="93">
        <f>24*1</f>
        <v>24</v>
      </c>
      <c r="N2401" s="94">
        <v>1200</v>
      </c>
      <c r="O2401" s="94">
        <f t="shared" si="62"/>
        <v>28800</v>
      </c>
      <c r="P2401" s="40" t="s">
        <v>3139</v>
      </c>
      <c r="Q2401" s="40" t="s">
        <v>766</v>
      </c>
      <c r="R2401" s="84">
        <v>271010000</v>
      </c>
      <c r="S2401" s="40">
        <v>0</v>
      </c>
    </row>
    <row r="2402" spans="1:19" s="92" customFormat="1" ht="51">
      <c r="A2402" s="5">
        <v>2387</v>
      </c>
      <c r="B2402" s="15" t="s">
        <v>710</v>
      </c>
      <c r="C2402" s="40" t="s">
        <v>597</v>
      </c>
      <c r="D2402" s="11" t="s">
        <v>850</v>
      </c>
      <c r="E2402" s="76" t="s">
        <v>1736</v>
      </c>
      <c r="F2402" s="76" t="s">
        <v>851</v>
      </c>
      <c r="G2402" s="76" t="s">
        <v>1737</v>
      </c>
      <c r="H2402" s="76" t="s">
        <v>852</v>
      </c>
      <c r="I2402" s="76" t="s">
        <v>3199</v>
      </c>
      <c r="J2402" s="76" t="s">
        <v>3200</v>
      </c>
      <c r="K2402" s="40" t="s">
        <v>591</v>
      </c>
      <c r="L2402" s="11" t="s">
        <v>914</v>
      </c>
      <c r="M2402" s="97">
        <v>1</v>
      </c>
      <c r="N2402" s="94">
        <f>10000*5</f>
        <v>50000</v>
      </c>
      <c r="O2402" s="94">
        <f>N2402</f>
        <v>50000</v>
      </c>
      <c r="P2402" s="40" t="s">
        <v>698</v>
      </c>
      <c r="Q2402" s="40" t="s">
        <v>766</v>
      </c>
      <c r="R2402" s="84">
        <v>276030100</v>
      </c>
      <c r="S2402" s="40">
        <v>0</v>
      </c>
    </row>
    <row r="2403" spans="1:19" s="92" customFormat="1" ht="51">
      <c r="A2403" s="5">
        <v>2388</v>
      </c>
      <c r="B2403" s="15" t="s">
        <v>710</v>
      </c>
      <c r="C2403" s="40" t="s">
        <v>597</v>
      </c>
      <c r="D2403" s="40" t="s">
        <v>2594</v>
      </c>
      <c r="E2403" s="31" t="s">
        <v>2618</v>
      </c>
      <c r="F2403" s="31" t="s">
        <v>2595</v>
      </c>
      <c r="G2403" s="31" t="s">
        <v>2618</v>
      </c>
      <c r="H2403" s="40" t="s">
        <v>2595</v>
      </c>
      <c r="I2403" s="40" t="s">
        <v>3201</v>
      </c>
      <c r="J2403" s="40" t="s">
        <v>3202</v>
      </c>
      <c r="K2403" s="40" t="s">
        <v>591</v>
      </c>
      <c r="L2403" s="11" t="s">
        <v>914</v>
      </c>
      <c r="M2403" s="93">
        <v>1</v>
      </c>
      <c r="N2403" s="94">
        <f>10500*3</f>
        <v>31500</v>
      </c>
      <c r="O2403" s="94">
        <f>N2403</f>
        <v>31500</v>
      </c>
      <c r="P2403" s="40" t="s">
        <v>3116</v>
      </c>
      <c r="Q2403" s="40" t="s">
        <v>766</v>
      </c>
      <c r="R2403" s="84">
        <v>276030100</v>
      </c>
      <c r="S2403" s="40">
        <v>30</v>
      </c>
    </row>
    <row r="2404" spans="1:19" s="92" customFormat="1" ht="89.25">
      <c r="A2404" s="5">
        <v>2389</v>
      </c>
      <c r="B2404" s="15" t="s">
        <v>710</v>
      </c>
      <c r="C2404" s="40" t="s">
        <v>711</v>
      </c>
      <c r="D2404" s="40" t="s">
        <v>976</v>
      </c>
      <c r="E2404" s="31" t="s">
        <v>730</v>
      </c>
      <c r="F2404" s="31" t="s">
        <v>731</v>
      </c>
      <c r="G2404" s="31" t="s">
        <v>977</v>
      </c>
      <c r="H2404" s="40" t="s">
        <v>978</v>
      </c>
      <c r="I2404" s="40" t="s">
        <v>3203</v>
      </c>
      <c r="J2404" s="40" t="s">
        <v>3204</v>
      </c>
      <c r="K2404" s="40" t="s">
        <v>591</v>
      </c>
      <c r="L2404" s="40" t="s">
        <v>644</v>
      </c>
      <c r="M2404" s="93">
        <v>2</v>
      </c>
      <c r="N2404" s="94">
        <v>26800</v>
      </c>
      <c r="O2404" s="94">
        <f>N2404*M2404</f>
        <v>53600</v>
      </c>
      <c r="P2404" s="40" t="s">
        <v>3116</v>
      </c>
      <c r="Q2404" s="40" t="s">
        <v>1051</v>
      </c>
      <c r="R2404" s="84">
        <v>276030100</v>
      </c>
      <c r="S2404" s="40">
        <v>100</v>
      </c>
    </row>
    <row r="2405" spans="1:19" s="92" customFormat="1" ht="63.75">
      <c r="A2405" s="5">
        <v>2390</v>
      </c>
      <c r="B2405" s="15" t="s">
        <v>710</v>
      </c>
      <c r="C2405" s="40" t="s">
        <v>711</v>
      </c>
      <c r="D2405" s="40" t="s">
        <v>744</v>
      </c>
      <c r="E2405" s="31" t="s">
        <v>745</v>
      </c>
      <c r="F2405" s="31" t="s">
        <v>109</v>
      </c>
      <c r="G2405" s="31" t="s">
        <v>746</v>
      </c>
      <c r="H2405" s="40" t="s">
        <v>3205</v>
      </c>
      <c r="I2405" s="40" t="s">
        <v>3206</v>
      </c>
      <c r="J2405" s="40" t="s">
        <v>3207</v>
      </c>
      <c r="K2405" s="40" t="s">
        <v>591</v>
      </c>
      <c r="L2405" s="40" t="s">
        <v>644</v>
      </c>
      <c r="M2405" s="93">
        <v>6</v>
      </c>
      <c r="N2405" s="94">
        <v>4000</v>
      </c>
      <c r="O2405" s="94">
        <f>M2405*N2405</f>
        <v>24000</v>
      </c>
      <c r="P2405" s="40" t="s">
        <v>3116</v>
      </c>
      <c r="Q2405" s="40" t="s">
        <v>1051</v>
      </c>
      <c r="R2405" s="84">
        <v>276030100</v>
      </c>
      <c r="S2405" s="40">
        <v>100</v>
      </c>
    </row>
    <row r="2406" spans="1:19" s="92" customFormat="1" ht="51">
      <c r="A2406" s="5">
        <v>2391</v>
      </c>
      <c r="B2406" s="15" t="s">
        <v>710</v>
      </c>
      <c r="C2406" s="40" t="s">
        <v>711</v>
      </c>
      <c r="D2406" s="98" t="s">
        <v>422</v>
      </c>
      <c r="E2406" s="76" t="s">
        <v>423</v>
      </c>
      <c r="F2406" s="76" t="s">
        <v>427</v>
      </c>
      <c r="G2406" s="76" t="s">
        <v>837</v>
      </c>
      <c r="H2406" s="76" t="s">
        <v>425</v>
      </c>
      <c r="I2406" s="76" t="s">
        <v>3208</v>
      </c>
      <c r="J2406" s="76" t="s">
        <v>3209</v>
      </c>
      <c r="K2406" s="76" t="s">
        <v>591</v>
      </c>
      <c r="L2406" s="11" t="s">
        <v>909</v>
      </c>
      <c r="M2406" s="53">
        <v>18</v>
      </c>
      <c r="N2406" s="94">
        <v>640</v>
      </c>
      <c r="O2406" s="94">
        <f>N2406*M2406</f>
        <v>11520</v>
      </c>
      <c r="P2406" s="40" t="s">
        <v>3116</v>
      </c>
      <c r="Q2406" s="40" t="s">
        <v>766</v>
      </c>
      <c r="R2406" s="84">
        <v>276030100</v>
      </c>
      <c r="S2406" s="40">
        <v>100</v>
      </c>
    </row>
    <row r="2407" spans="1:19" s="92" customFormat="1" ht="76.5">
      <c r="A2407" s="5">
        <v>2392</v>
      </c>
      <c r="B2407" s="15" t="s">
        <v>710</v>
      </c>
      <c r="C2407" s="40" t="s">
        <v>711</v>
      </c>
      <c r="D2407" s="40" t="s">
        <v>723</v>
      </c>
      <c r="E2407" s="31" t="s">
        <v>874</v>
      </c>
      <c r="F2407" s="31" t="s">
        <v>874</v>
      </c>
      <c r="G2407" s="31" t="s">
        <v>875</v>
      </c>
      <c r="H2407" s="40" t="s">
        <v>876</v>
      </c>
      <c r="I2407" s="40" t="s">
        <v>3210</v>
      </c>
      <c r="J2407" s="40" t="s">
        <v>3211</v>
      </c>
      <c r="K2407" s="40" t="s">
        <v>591</v>
      </c>
      <c r="L2407" s="40" t="s">
        <v>644</v>
      </c>
      <c r="M2407" s="93">
        <v>1</v>
      </c>
      <c r="N2407" s="94">
        <v>30000</v>
      </c>
      <c r="O2407" s="94">
        <f>N2407*M2407</f>
        <v>30000</v>
      </c>
      <c r="P2407" s="40" t="s">
        <v>3116</v>
      </c>
      <c r="Q2407" s="40" t="s">
        <v>1051</v>
      </c>
      <c r="R2407" s="84">
        <v>276030100</v>
      </c>
      <c r="S2407" s="40">
        <v>100</v>
      </c>
    </row>
    <row r="2408" spans="1:19" s="92" customFormat="1" ht="89.25">
      <c r="A2408" s="5">
        <v>2393</v>
      </c>
      <c r="B2408" s="15" t="s">
        <v>710</v>
      </c>
      <c r="C2408" s="40" t="s">
        <v>597</v>
      </c>
      <c r="D2408" s="40" t="s">
        <v>598</v>
      </c>
      <c r="E2408" s="31" t="s">
        <v>599</v>
      </c>
      <c r="F2408" s="31" t="s">
        <v>782</v>
      </c>
      <c r="G2408" s="31" t="s">
        <v>3195</v>
      </c>
      <c r="H2408" s="40" t="s">
        <v>602</v>
      </c>
      <c r="I2408" s="40" t="s">
        <v>3196</v>
      </c>
      <c r="J2408" s="40" t="s">
        <v>3197</v>
      </c>
      <c r="K2408" s="40" t="s">
        <v>591</v>
      </c>
      <c r="L2408" s="11" t="s">
        <v>914</v>
      </c>
      <c r="M2408" s="93">
        <v>1</v>
      </c>
      <c r="N2408" s="94">
        <v>624400</v>
      </c>
      <c r="O2408" s="94">
        <v>624400</v>
      </c>
      <c r="P2408" s="40" t="s">
        <v>502</v>
      </c>
      <c r="Q2408" s="40" t="s">
        <v>766</v>
      </c>
      <c r="R2408" s="84">
        <v>274430100</v>
      </c>
      <c r="S2408" s="40">
        <v>0</v>
      </c>
    </row>
    <row r="2409" spans="1:19" s="92" customFormat="1" ht="89.25">
      <c r="A2409" s="5">
        <v>2394</v>
      </c>
      <c r="B2409" s="15" t="s">
        <v>710</v>
      </c>
      <c r="C2409" s="40" t="s">
        <v>597</v>
      </c>
      <c r="D2409" s="40" t="s">
        <v>598</v>
      </c>
      <c r="E2409" s="31" t="s">
        <v>599</v>
      </c>
      <c r="F2409" s="31" t="s">
        <v>782</v>
      </c>
      <c r="G2409" s="31" t="s">
        <v>3195</v>
      </c>
      <c r="H2409" s="40" t="s">
        <v>602</v>
      </c>
      <c r="I2409" s="40" t="s">
        <v>3196</v>
      </c>
      <c r="J2409" s="40" t="s">
        <v>3197</v>
      </c>
      <c r="K2409" s="40" t="s">
        <v>591</v>
      </c>
      <c r="L2409" s="11" t="s">
        <v>914</v>
      </c>
      <c r="M2409" s="93">
        <v>1</v>
      </c>
      <c r="N2409" s="94">
        <v>624400</v>
      </c>
      <c r="O2409" s="94">
        <v>624400</v>
      </c>
      <c r="P2409" s="40" t="s">
        <v>502</v>
      </c>
      <c r="Q2409" s="40" t="s">
        <v>766</v>
      </c>
      <c r="R2409" s="84">
        <v>274430100</v>
      </c>
      <c r="S2409" s="40">
        <v>0</v>
      </c>
    </row>
    <row r="2410" spans="1:19" s="92" customFormat="1" ht="51">
      <c r="A2410" s="5">
        <v>2395</v>
      </c>
      <c r="B2410" s="15" t="s">
        <v>710</v>
      </c>
      <c r="C2410" s="40" t="s">
        <v>597</v>
      </c>
      <c r="D2410" s="11" t="s">
        <v>850</v>
      </c>
      <c r="E2410" s="76" t="s">
        <v>1736</v>
      </c>
      <c r="F2410" s="76" t="s">
        <v>851</v>
      </c>
      <c r="G2410" s="76" t="s">
        <v>1737</v>
      </c>
      <c r="H2410" s="76" t="s">
        <v>852</v>
      </c>
      <c r="I2410" s="76" t="s">
        <v>3199</v>
      </c>
      <c r="J2410" s="76" t="s">
        <v>3200</v>
      </c>
      <c r="K2410" s="40" t="s">
        <v>591</v>
      </c>
      <c r="L2410" s="11" t="s">
        <v>914</v>
      </c>
      <c r="M2410" s="97">
        <v>1</v>
      </c>
      <c r="N2410" s="94">
        <f>10000*5</f>
        <v>50000</v>
      </c>
      <c r="O2410" s="94">
        <f>N2410</f>
        <v>50000</v>
      </c>
      <c r="P2410" s="40" t="s">
        <v>698</v>
      </c>
      <c r="Q2410" s="40" t="s">
        <v>766</v>
      </c>
      <c r="R2410" s="84">
        <v>274430100</v>
      </c>
      <c r="S2410" s="40">
        <v>0</v>
      </c>
    </row>
    <row r="2411" spans="1:19" s="92" customFormat="1" ht="51">
      <c r="A2411" s="5">
        <v>2396</v>
      </c>
      <c r="B2411" s="15" t="s">
        <v>710</v>
      </c>
      <c r="C2411" s="40" t="s">
        <v>597</v>
      </c>
      <c r="D2411" s="40" t="s">
        <v>2594</v>
      </c>
      <c r="E2411" s="31" t="s">
        <v>2618</v>
      </c>
      <c r="F2411" s="31" t="s">
        <v>2595</v>
      </c>
      <c r="G2411" s="31" t="s">
        <v>2618</v>
      </c>
      <c r="H2411" s="40" t="s">
        <v>2595</v>
      </c>
      <c r="I2411" s="40" t="s">
        <v>3201</v>
      </c>
      <c r="J2411" s="40" t="s">
        <v>3202</v>
      </c>
      <c r="K2411" s="40" t="s">
        <v>591</v>
      </c>
      <c r="L2411" s="11" t="s">
        <v>914</v>
      </c>
      <c r="M2411" s="93">
        <v>1</v>
      </c>
      <c r="N2411" s="94">
        <f>10500*3</f>
        <v>31500</v>
      </c>
      <c r="O2411" s="94">
        <f>N2411</f>
        <v>31500</v>
      </c>
      <c r="P2411" s="40" t="s">
        <v>3116</v>
      </c>
      <c r="Q2411" s="40" t="s">
        <v>766</v>
      </c>
      <c r="R2411" s="84">
        <v>274430100</v>
      </c>
      <c r="S2411" s="40">
        <v>30</v>
      </c>
    </row>
    <row r="2412" spans="1:19" s="92" customFormat="1" ht="89.25">
      <c r="A2412" s="5">
        <v>2397</v>
      </c>
      <c r="B2412" s="15" t="s">
        <v>710</v>
      </c>
      <c r="C2412" s="40" t="s">
        <v>711</v>
      </c>
      <c r="D2412" s="40" t="s">
        <v>976</v>
      </c>
      <c r="E2412" s="31" t="s">
        <v>730</v>
      </c>
      <c r="F2412" s="31" t="s">
        <v>731</v>
      </c>
      <c r="G2412" s="31" t="s">
        <v>977</v>
      </c>
      <c r="H2412" s="40" t="s">
        <v>978</v>
      </c>
      <c r="I2412" s="40" t="s">
        <v>3203</v>
      </c>
      <c r="J2412" s="40" t="s">
        <v>3204</v>
      </c>
      <c r="K2412" s="40" t="s">
        <v>591</v>
      </c>
      <c r="L2412" s="40" t="s">
        <v>644</v>
      </c>
      <c r="M2412" s="93">
        <v>2</v>
      </c>
      <c r="N2412" s="94">
        <v>26800</v>
      </c>
      <c r="O2412" s="94">
        <f>N2412*M2412</f>
        <v>53600</v>
      </c>
      <c r="P2412" s="40" t="s">
        <v>3116</v>
      </c>
      <c r="Q2412" s="40" t="s">
        <v>1051</v>
      </c>
      <c r="R2412" s="84">
        <v>274430100</v>
      </c>
      <c r="S2412" s="40">
        <v>100</v>
      </c>
    </row>
    <row r="2413" spans="1:19" s="92" customFormat="1" ht="63.75">
      <c r="A2413" s="5">
        <v>2398</v>
      </c>
      <c r="B2413" s="15" t="s">
        <v>710</v>
      </c>
      <c r="C2413" s="40" t="s">
        <v>711</v>
      </c>
      <c r="D2413" s="40" t="s">
        <v>744</v>
      </c>
      <c r="E2413" s="31" t="s">
        <v>745</v>
      </c>
      <c r="F2413" s="31" t="s">
        <v>109</v>
      </c>
      <c r="G2413" s="31" t="s">
        <v>746</v>
      </c>
      <c r="H2413" s="40" t="s">
        <v>3205</v>
      </c>
      <c r="I2413" s="40" t="s">
        <v>3206</v>
      </c>
      <c r="J2413" s="40" t="s">
        <v>3207</v>
      </c>
      <c r="K2413" s="40" t="s">
        <v>591</v>
      </c>
      <c r="L2413" s="40" t="s">
        <v>644</v>
      </c>
      <c r="M2413" s="93">
        <v>6</v>
      </c>
      <c r="N2413" s="94">
        <v>4000</v>
      </c>
      <c r="O2413" s="94">
        <f>M2413*N2413</f>
        <v>24000</v>
      </c>
      <c r="P2413" s="40" t="s">
        <v>3116</v>
      </c>
      <c r="Q2413" s="40" t="s">
        <v>1051</v>
      </c>
      <c r="R2413" s="84">
        <v>274430100</v>
      </c>
      <c r="S2413" s="40">
        <v>100</v>
      </c>
    </row>
    <row r="2414" spans="1:19" s="92" customFormat="1" ht="51">
      <c r="A2414" s="5">
        <v>2399</v>
      </c>
      <c r="B2414" s="15" t="s">
        <v>710</v>
      </c>
      <c r="C2414" s="40" t="s">
        <v>711</v>
      </c>
      <c r="D2414" s="98" t="s">
        <v>422</v>
      </c>
      <c r="E2414" s="76" t="s">
        <v>423</v>
      </c>
      <c r="F2414" s="76" t="s">
        <v>427</v>
      </c>
      <c r="G2414" s="76" t="s">
        <v>837</v>
      </c>
      <c r="H2414" s="76" t="s">
        <v>425</v>
      </c>
      <c r="I2414" s="76" t="s">
        <v>3208</v>
      </c>
      <c r="J2414" s="76" t="s">
        <v>3209</v>
      </c>
      <c r="K2414" s="76" t="s">
        <v>591</v>
      </c>
      <c r="L2414" s="11" t="s">
        <v>909</v>
      </c>
      <c r="M2414" s="53">
        <v>18</v>
      </c>
      <c r="N2414" s="94">
        <v>640</v>
      </c>
      <c r="O2414" s="94">
        <f>N2414*M2414</f>
        <v>11520</v>
      </c>
      <c r="P2414" s="40" t="s">
        <v>3116</v>
      </c>
      <c r="Q2414" s="40" t="s">
        <v>766</v>
      </c>
      <c r="R2414" s="84">
        <v>274430100</v>
      </c>
      <c r="S2414" s="40">
        <v>100</v>
      </c>
    </row>
    <row r="2415" spans="1:19" s="92" customFormat="1" ht="76.5">
      <c r="A2415" s="5">
        <v>2400</v>
      </c>
      <c r="B2415" s="15" t="s">
        <v>710</v>
      </c>
      <c r="C2415" s="40" t="s">
        <v>711</v>
      </c>
      <c r="D2415" s="40" t="s">
        <v>723</v>
      </c>
      <c r="E2415" s="31" t="s">
        <v>874</v>
      </c>
      <c r="F2415" s="31" t="s">
        <v>874</v>
      </c>
      <c r="G2415" s="31" t="s">
        <v>875</v>
      </c>
      <c r="H2415" s="40" t="s">
        <v>876</v>
      </c>
      <c r="I2415" s="40" t="s">
        <v>3210</v>
      </c>
      <c r="J2415" s="40" t="s">
        <v>3211</v>
      </c>
      <c r="K2415" s="40" t="s">
        <v>591</v>
      </c>
      <c r="L2415" s="40" t="s">
        <v>644</v>
      </c>
      <c r="M2415" s="93">
        <v>1</v>
      </c>
      <c r="N2415" s="94">
        <v>30000</v>
      </c>
      <c r="O2415" s="94">
        <f>N2415*M2415</f>
        <v>30000</v>
      </c>
      <c r="P2415" s="40" t="s">
        <v>3116</v>
      </c>
      <c r="Q2415" s="40" t="s">
        <v>1051</v>
      </c>
      <c r="R2415" s="84">
        <v>274430100</v>
      </c>
      <c r="S2415" s="40">
        <v>100</v>
      </c>
    </row>
    <row r="2416" spans="1:19" s="92" customFormat="1" ht="89.25">
      <c r="A2416" s="5">
        <v>2401</v>
      </c>
      <c r="B2416" s="15" t="s">
        <v>710</v>
      </c>
      <c r="C2416" s="40" t="s">
        <v>597</v>
      </c>
      <c r="D2416" s="40" t="s">
        <v>598</v>
      </c>
      <c r="E2416" s="31" t="s">
        <v>599</v>
      </c>
      <c r="F2416" s="31" t="s">
        <v>782</v>
      </c>
      <c r="G2416" s="31" t="s">
        <v>3195</v>
      </c>
      <c r="H2416" s="40" t="s">
        <v>602</v>
      </c>
      <c r="I2416" s="40" t="s">
        <v>3196</v>
      </c>
      <c r="J2416" s="40" t="s">
        <v>3197</v>
      </c>
      <c r="K2416" s="40" t="s">
        <v>591</v>
      </c>
      <c r="L2416" s="11" t="s">
        <v>914</v>
      </c>
      <c r="M2416" s="93">
        <v>1</v>
      </c>
      <c r="N2416" s="94">
        <v>624400</v>
      </c>
      <c r="O2416" s="94">
        <v>624400</v>
      </c>
      <c r="P2416" s="40" t="s">
        <v>502</v>
      </c>
      <c r="Q2416" s="40" t="s">
        <v>766</v>
      </c>
      <c r="R2416" s="84">
        <v>276230100</v>
      </c>
      <c r="S2416" s="40">
        <v>0</v>
      </c>
    </row>
    <row r="2417" spans="1:19" s="92" customFormat="1" ht="89.25">
      <c r="A2417" s="5">
        <v>2402</v>
      </c>
      <c r="B2417" s="15" t="s">
        <v>710</v>
      </c>
      <c r="C2417" s="40" t="s">
        <v>597</v>
      </c>
      <c r="D2417" s="40" t="s">
        <v>598</v>
      </c>
      <c r="E2417" s="31" t="s">
        <v>599</v>
      </c>
      <c r="F2417" s="31" t="s">
        <v>782</v>
      </c>
      <c r="G2417" s="31" t="s">
        <v>3195</v>
      </c>
      <c r="H2417" s="40" t="s">
        <v>602</v>
      </c>
      <c r="I2417" s="40" t="s">
        <v>3196</v>
      </c>
      <c r="J2417" s="40" t="s">
        <v>3197</v>
      </c>
      <c r="K2417" s="40" t="s">
        <v>591</v>
      </c>
      <c r="L2417" s="11" t="s">
        <v>914</v>
      </c>
      <c r="M2417" s="93">
        <v>1</v>
      </c>
      <c r="N2417" s="94">
        <v>624400</v>
      </c>
      <c r="O2417" s="94">
        <v>624400</v>
      </c>
      <c r="P2417" s="40" t="s">
        <v>502</v>
      </c>
      <c r="Q2417" s="40" t="s">
        <v>766</v>
      </c>
      <c r="R2417" s="84">
        <v>276230100</v>
      </c>
      <c r="S2417" s="40">
        <v>0</v>
      </c>
    </row>
    <row r="2418" spans="1:19" s="92" customFormat="1" ht="51">
      <c r="A2418" s="5">
        <v>2403</v>
      </c>
      <c r="B2418" s="15" t="s">
        <v>710</v>
      </c>
      <c r="C2418" s="40" t="s">
        <v>597</v>
      </c>
      <c r="D2418" s="11" t="s">
        <v>850</v>
      </c>
      <c r="E2418" s="76" t="s">
        <v>1736</v>
      </c>
      <c r="F2418" s="76" t="s">
        <v>851</v>
      </c>
      <c r="G2418" s="76" t="s">
        <v>1737</v>
      </c>
      <c r="H2418" s="76" t="s">
        <v>852</v>
      </c>
      <c r="I2418" s="76" t="s">
        <v>3199</v>
      </c>
      <c r="J2418" s="76" t="s">
        <v>3200</v>
      </c>
      <c r="K2418" s="40" t="s">
        <v>591</v>
      </c>
      <c r="L2418" s="11" t="s">
        <v>914</v>
      </c>
      <c r="M2418" s="97">
        <v>1</v>
      </c>
      <c r="N2418" s="94">
        <f>10000*5</f>
        <v>50000</v>
      </c>
      <c r="O2418" s="94">
        <f>N2418</f>
        <v>50000</v>
      </c>
      <c r="P2418" s="40" t="s">
        <v>698</v>
      </c>
      <c r="Q2418" s="40" t="s">
        <v>766</v>
      </c>
      <c r="R2418" s="84">
        <v>276230100</v>
      </c>
      <c r="S2418" s="40">
        <v>0</v>
      </c>
    </row>
    <row r="2419" spans="1:19" s="92" customFormat="1" ht="51">
      <c r="A2419" s="5">
        <v>2404</v>
      </c>
      <c r="B2419" s="15" t="s">
        <v>710</v>
      </c>
      <c r="C2419" s="40" t="s">
        <v>597</v>
      </c>
      <c r="D2419" s="40" t="s">
        <v>2594</v>
      </c>
      <c r="E2419" s="31" t="s">
        <v>2618</v>
      </c>
      <c r="F2419" s="31" t="s">
        <v>2595</v>
      </c>
      <c r="G2419" s="31" t="s">
        <v>2618</v>
      </c>
      <c r="H2419" s="40" t="s">
        <v>2595</v>
      </c>
      <c r="I2419" s="40" t="s">
        <v>3201</v>
      </c>
      <c r="J2419" s="40" t="s">
        <v>3202</v>
      </c>
      <c r="K2419" s="40" t="s">
        <v>591</v>
      </c>
      <c r="L2419" s="11" t="s">
        <v>914</v>
      </c>
      <c r="M2419" s="93">
        <v>1</v>
      </c>
      <c r="N2419" s="94">
        <f>10500*3</f>
        <v>31500</v>
      </c>
      <c r="O2419" s="94">
        <f>N2419</f>
        <v>31500</v>
      </c>
      <c r="P2419" s="40" t="s">
        <v>3116</v>
      </c>
      <c r="Q2419" s="40" t="s">
        <v>766</v>
      </c>
      <c r="R2419" s="84">
        <v>276230100</v>
      </c>
      <c r="S2419" s="40">
        <v>30</v>
      </c>
    </row>
    <row r="2420" spans="1:19" s="92" customFormat="1" ht="89.25">
      <c r="A2420" s="5">
        <v>2405</v>
      </c>
      <c r="B2420" s="15" t="s">
        <v>710</v>
      </c>
      <c r="C2420" s="40" t="s">
        <v>711</v>
      </c>
      <c r="D2420" s="40" t="s">
        <v>976</v>
      </c>
      <c r="E2420" s="31" t="s">
        <v>730</v>
      </c>
      <c r="F2420" s="31" t="s">
        <v>731</v>
      </c>
      <c r="G2420" s="31" t="s">
        <v>977</v>
      </c>
      <c r="H2420" s="40" t="s">
        <v>978</v>
      </c>
      <c r="I2420" s="40" t="s">
        <v>3203</v>
      </c>
      <c r="J2420" s="40" t="s">
        <v>3204</v>
      </c>
      <c r="K2420" s="40" t="s">
        <v>591</v>
      </c>
      <c r="L2420" s="40" t="s">
        <v>644</v>
      </c>
      <c r="M2420" s="93">
        <v>2</v>
      </c>
      <c r="N2420" s="94">
        <v>26800</v>
      </c>
      <c r="O2420" s="94">
        <f>N2420*M2420</f>
        <v>53600</v>
      </c>
      <c r="P2420" s="40" t="s">
        <v>3116</v>
      </c>
      <c r="Q2420" s="40" t="s">
        <v>1051</v>
      </c>
      <c r="R2420" s="84">
        <v>276230100</v>
      </c>
      <c r="S2420" s="40">
        <v>100</v>
      </c>
    </row>
    <row r="2421" spans="1:19" s="92" customFormat="1" ht="63.75">
      <c r="A2421" s="5">
        <v>2406</v>
      </c>
      <c r="B2421" s="15" t="s">
        <v>710</v>
      </c>
      <c r="C2421" s="40" t="s">
        <v>711</v>
      </c>
      <c r="D2421" s="40" t="s">
        <v>744</v>
      </c>
      <c r="E2421" s="31" t="s">
        <v>745</v>
      </c>
      <c r="F2421" s="31" t="s">
        <v>109</v>
      </c>
      <c r="G2421" s="31" t="s">
        <v>746</v>
      </c>
      <c r="H2421" s="40" t="s">
        <v>3205</v>
      </c>
      <c r="I2421" s="40" t="s">
        <v>3206</v>
      </c>
      <c r="J2421" s="40" t="s">
        <v>3207</v>
      </c>
      <c r="K2421" s="40" t="s">
        <v>591</v>
      </c>
      <c r="L2421" s="40" t="s">
        <v>644</v>
      </c>
      <c r="M2421" s="93">
        <v>6</v>
      </c>
      <c r="N2421" s="94">
        <v>4000</v>
      </c>
      <c r="O2421" s="94">
        <f>M2421*N2421</f>
        <v>24000</v>
      </c>
      <c r="P2421" s="40" t="s">
        <v>3116</v>
      </c>
      <c r="Q2421" s="40" t="s">
        <v>1051</v>
      </c>
      <c r="R2421" s="84">
        <v>276230100</v>
      </c>
      <c r="S2421" s="40">
        <v>100</v>
      </c>
    </row>
    <row r="2422" spans="1:19" s="92" customFormat="1" ht="51">
      <c r="A2422" s="5">
        <v>2407</v>
      </c>
      <c r="B2422" s="15" t="s">
        <v>710</v>
      </c>
      <c r="C2422" s="40" t="s">
        <v>711</v>
      </c>
      <c r="D2422" s="98" t="s">
        <v>422</v>
      </c>
      <c r="E2422" s="76" t="s">
        <v>423</v>
      </c>
      <c r="F2422" s="76" t="s">
        <v>427</v>
      </c>
      <c r="G2422" s="76" t="s">
        <v>837</v>
      </c>
      <c r="H2422" s="76" t="s">
        <v>425</v>
      </c>
      <c r="I2422" s="76" t="s">
        <v>3208</v>
      </c>
      <c r="J2422" s="76" t="s">
        <v>3209</v>
      </c>
      <c r="K2422" s="76" t="s">
        <v>591</v>
      </c>
      <c r="L2422" s="11" t="s">
        <v>909</v>
      </c>
      <c r="M2422" s="53">
        <v>18</v>
      </c>
      <c r="N2422" s="94">
        <v>640</v>
      </c>
      <c r="O2422" s="94">
        <f>N2422*M2422</f>
        <v>11520</v>
      </c>
      <c r="P2422" s="40" t="s">
        <v>3116</v>
      </c>
      <c r="Q2422" s="40" t="s">
        <v>766</v>
      </c>
      <c r="R2422" s="84">
        <v>276230100</v>
      </c>
      <c r="S2422" s="40">
        <v>100</v>
      </c>
    </row>
    <row r="2423" spans="1:19" s="92" customFormat="1" ht="76.5">
      <c r="A2423" s="5">
        <v>2408</v>
      </c>
      <c r="B2423" s="15" t="s">
        <v>710</v>
      </c>
      <c r="C2423" s="40" t="s">
        <v>711</v>
      </c>
      <c r="D2423" s="40" t="s">
        <v>723</v>
      </c>
      <c r="E2423" s="31" t="s">
        <v>874</v>
      </c>
      <c r="F2423" s="31" t="s">
        <v>874</v>
      </c>
      <c r="G2423" s="31" t="s">
        <v>875</v>
      </c>
      <c r="H2423" s="40" t="s">
        <v>876</v>
      </c>
      <c r="I2423" s="40" t="s">
        <v>3210</v>
      </c>
      <c r="J2423" s="40" t="s">
        <v>3211</v>
      </c>
      <c r="K2423" s="40" t="s">
        <v>591</v>
      </c>
      <c r="L2423" s="40" t="s">
        <v>644</v>
      </c>
      <c r="M2423" s="93">
        <v>1</v>
      </c>
      <c r="N2423" s="94">
        <v>30000</v>
      </c>
      <c r="O2423" s="94">
        <f>N2423*M2423</f>
        <v>30000</v>
      </c>
      <c r="P2423" s="40" t="s">
        <v>3116</v>
      </c>
      <c r="Q2423" s="40" t="s">
        <v>1051</v>
      </c>
      <c r="R2423" s="84">
        <v>276230100</v>
      </c>
      <c r="S2423" s="40">
        <v>100</v>
      </c>
    </row>
    <row r="2424" spans="1:19" s="92" customFormat="1" ht="89.25">
      <c r="A2424" s="5">
        <v>2409</v>
      </c>
      <c r="B2424" s="15" t="s">
        <v>710</v>
      </c>
      <c r="C2424" s="40" t="s">
        <v>597</v>
      </c>
      <c r="D2424" s="40" t="s">
        <v>598</v>
      </c>
      <c r="E2424" s="31" t="s">
        <v>599</v>
      </c>
      <c r="F2424" s="31" t="s">
        <v>782</v>
      </c>
      <c r="G2424" s="31" t="s">
        <v>3195</v>
      </c>
      <c r="H2424" s="40" t="s">
        <v>602</v>
      </c>
      <c r="I2424" s="40" t="s">
        <v>3196</v>
      </c>
      <c r="J2424" s="40" t="s">
        <v>3197</v>
      </c>
      <c r="K2424" s="40" t="s">
        <v>591</v>
      </c>
      <c r="L2424" s="11" t="s">
        <v>914</v>
      </c>
      <c r="M2424" s="93">
        <v>1</v>
      </c>
      <c r="N2424" s="94">
        <v>624400</v>
      </c>
      <c r="O2424" s="94">
        <v>624400</v>
      </c>
      <c r="P2424" s="40" t="s">
        <v>698</v>
      </c>
      <c r="Q2424" s="40" t="s">
        <v>766</v>
      </c>
      <c r="R2424" s="84">
        <v>511610000</v>
      </c>
      <c r="S2424" s="40">
        <v>0</v>
      </c>
    </row>
    <row r="2425" spans="1:19" s="92" customFormat="1" ht="89.25">
      <c r="A2425" s="5">
        <v>2410</v>
      </c>
      <c r="B2425" s="15" t="s">
        <v>710</v>
      </c>
      <c r="C2425" s="40" t="s">
        <v>597</v>
      </c>
      <c r="D2425" s="40" t="s">
        <v>598</v>
      </c>
      <c r="E2425" s="31" t="s">
        <v>599</v>
      </c>
      <c r="F2425" s="31" t="s">
        <v>782</v>
      </c>
      <c r="G2425" s="31" t="s">
        <v>3195</v>
      </c>
      <c r="H2425" s="40" t="s">
        <v>602</v>
      </c>
      <c r="I2425" s="40" t="s">
        <v>3196</v>
      </c>
      <c r="J2425" s="40" t="s">
        <v>3197</v>
      </c>
      <c r="K2425" s="40" t="s">
        <v>591</v>
      </c>
      <c r="L2425" s="11" t="s">
        <v>914</v>
      </c>
      <c r="M2425" s="93">
        <v>1</v>
      </c>
      <c r="N2425" s="94">
        <v>624400</v>
      </c>
      <c r="O2425" s="94">
        <v>624400</v>
      </c>
      <c r="P2425" s="40" t="s">
        <v>698</v>
      </c>
      <c r="Q2425" s="40" t="s">
        <v>766</v>
      </c>
      <c r="R2425" s="84">
        <v>511610000</v>
      </c>
      <c r="S2425" s="40">
        <v>0</v>
      </c>
    </row>
    <row r="2426" spans="1:19" s="92" customFormat="1" ht="51">
      <c r="A2426" s="5">
        <v>2411</v>
      </c>
      <c r="B2426" s="15" t="s">
        <v>710</v>
      </c>
      <c r="C2426" s="40" t="s">
        <v>597</v>
      </c>
      <c r="D2426" s="11" t="s">
        <v>850</v>
      </c>
      <c r="E2426" s="76" t="s">
        <v>1736</v>
      </c>
      <c r="F2426" s="76" t="s">
        <v>851</v>
      </c>
      <c r="G2426" s="76" t="s">
        <v>1737</v>
      </c>
      <c r="H2426" s="76" t="s">
        <v>852</v>
      </c>
      <c r="I2426" s="76" t="s">
        <v>3199</v>
      </c>
      <c r="J2426" s="76" t="s">
        <v>3200</v>
      </c>
      <c r="K2426" s="40" t="s">
        <v>591</v>
      </c>
      <c r="L2426" s="11" t="s">
        <v>914</v>
      </c>
      <c r="M2426" s="97">
        <v>1</v>
      </c>
      <c r="N2426" s="94">
        <f>10000*5</f>
        <v>50000</v>
      </c>
      <c r="O2426" s="94">
        <f>N2426</f>
        <v>50000</v>
      </c>
      <c r="P2426" s="40" t="s">
        <v>698</v>
      </c>
      <c r="Q2426" s="40" t="s">
        <v>766</v>
      </c>
      <c r="R2426" s="84">
        <v>511610000</v>
      </c>
      <c r="S2426" s="40">
        <v>0</v>
      </c>
    </row>
    <row r="2427" spans="1:19" s="92" customFormat="1" ht="51">
      <c r="A2427" s="5">
        <v>2412</v>
      </c>
      <c r="B2427" s="15" t="s">
        <v>710</v>
      </c>
      <c r="C2427" s="40" t="s">
        <v>597</v>
      </c>
      <c r="D2427" s="40" t="s">
        <v>2594</v>
      </c>
      <c r="E2427" s="31" t="s">
        <v>2618</v>
      </c>
      <c r="F2427" s="31" t="s">
        <v>2595</v>
      </c>
      <c r="G2427" s="31" t="s">
        <v>2618</v>
      </c>
      <c r="H2427" s="40" t="s">
        <v>2595</v>
      </c>
      <c r="I2427" s="40" t="s">
        <v>3201</v>
      </c>
      <c r="J2427" s="40" t="s">
        <v>3202</v>
      </c>
      <c r="K2427" s="40" t="s">
        <v>591</v>
      </c>
      <c r="L2427" s="11" t="s">
        <v>914</v>
      </c>
      <c r="M2427" s="93">
        <v>1</v>
      </c>
      <c r="N2427" s="94">
        <f>10500*3</f>
        <v>31500</v>
      </c>
      <c r="O2427" s="94">
        <f>N2427</f>
        <v>31500</v>
      </c>
      <c r="P2427" s="40" t="s">
        <v>698</v>
      </c>
      <c r="Q2427" s="40" t="s">
        <v>766</v>
      </c>
      <c r="R2427" s="84">
        <v>511610000</v>
      </c>
      <c r="S2427" s="40">
        <v>30</v>
      </c>
    </row>
    <row r="2428" spans="1:19" s="92" customFormat="1" ht="89.25">
      <c r="A2428" s="5">
        <v>2413</v>
      </c>
      <c r="B2428" s="15" t="s">
        <v>710</v>
      </c>
      <c r="C2428" s="40" t="s">
        <v>711</v>
      </c>
      <c r="D2428" s="40" t="s">
        <v>976</v>
      </c>
      <c r="E2428" s="31" t="s">
        <v>730</v>
      </c>
      <c r="F2428" s="31" t="s">
        <v>731</v>
      </c>
      <c r="G2428" s="31" t="s">
        <v>977</v>
      </c>
      <c r="H2428" s="40" t="s">
        <v>978</v>
      </c>
      <c r="I2428" s="40" t="s">
        <v>3203</v>
      </c>
      <c r="J2428" s="40" t="s">
        <v>3204</v>
      </c>
      <c r="K2428" s="40" t="s">
        <v>591</v>
      </c>
      <c r="L2428" s="40" t="s">
        <v>644</v>
      </c>
      <c r="M2428" s="93">
        <v>2</v>
      </c>
      <c r="N2428" s="94">
        <v>26800</v>
      </c>
      <c r="O2428" s="94">
        <f>N2428*M2428</f>
        <v>53600</v>
      </c>
      <c r="P2428" s="40" t="s">
        <v>698</v>
      </c>
      <c r="Q2428" s="40" t="s">
        <v>1051</v>
      </c>
      <c r="R2428" s="84">
        <v>511610000</v>
      </c>
      <c r="S2428" s="40">
        <v>100</v>
      </c>
    </row>
    <row r="2429" spans="1:19" s="92" customFormat="1" ht="63.75">
      <c r="A2429" s="5">
        <v>2414</v>
      </c>
      <c r="B2429" s="15" t="s">
        <v>710</v>
      </c>
      <c r="C2429" s="40" t="s">
        <v>711</v>
      </c>
      <c r="D2429" s="40" t="s">
        <v>744</v>
      </c>
      <c r="E2429" s="31" t="s">
        <v>745</v>
      </c>
      <c r="F2429" s="31" t="s">
        <v>109</v>
      </c>
      <c r="G2429" s="31" t="s">
        <v>746</v>
      </c>
      <c r="H2429" s="40" t="s">
        <v>3205</v>
      </c>
      <c r="I2429" s="40" t="s">
        <v>3206</v>
      </c>
      <c r="J2429" s="40" t="s">
        <v>3207</v>
      </c>
      <c r="K2429" s="40" t="s">
        <v>591</v>
      </c>
      <c r="L2429" s="40" t="s">
        <v>644</v>
      </c>
      <c r="M2429" s="93">
        <v>6</v>
      </c>
      <c r="N2429" s="94">
        <v>4000</v>
      </c>
      <c r="O2429" s="94">
        <f>M2429*N2429</f>
        <v>24000</v>
      </c>
      <c r="P2429" s="40" t="s">
        <v>698</v>
      </c>
      <c r="Q2429" s="40" t="s">
        <v>1051</v>
      </c>
      <c r="R2429" s="84">
        <v>511610000</v>
      </c>
      <c r="S2429" s="40">
        <v>100</v>
      </c>
    </row>
    <row r="2430" spans="1:19" s="92" customFormat="1" ht="51">
      <c r="A2430" s="5">
        <v>2415</v>
      </c>
      <c r="B2430" s="15" t="s">
        <v>710</v>
      </c>
      <c r="C2430" s="40" t="s">
        <v>711</v>
      </c>
      <c r="D2430" s="98" t="s">
        <v>422</v>
      </c>
      <c r="E2430" s="76" t="s">
        <v>423</v>
      </c>
      <c r="F2430" s="76" t="s">
        <v>427</v>
      </c>
      <c r="G2430" s="76" t="s">
        <v>837</v>
      </c>
      <c r="H2430" s="76" t="s">
        <v>425</v>
      </c>
      <c r="I2430" s="76" t="s">
        <v>3208</v>
      </c>
      <c r="J2430" s="76" t="s">
        <v>3209</v>
      </c>
      <c r="K2430" s="76" t="s">
        <v>591</v>
      </c>
      <c r="L2430" s="11" t="s">
        <v>909</v>
      </c>
      <c r="M2430" s="53">
        <v>18</v>
      </c>
      <c r="N2430" s="94">
        <v>640</v>
      </c>
      <c r="O2430" s="94">
        <f>N2430*M2430</f>
        <v>11520</v>
      </c>
      <c r="P2430" s="40" t="s">
        <v>699</v>
      </c>
      <c r="Q2430" s="40" t="s">
        <v>766</v>
      </c>
      <c r="R2430" s="84">
        <v>511610000</v>
      </c>
      <c r="S2430" s="40">
        <v>100</v>
      </c>
    </row>
    <row r="2431" spans="1:19" s="92" customFormat="1" ht="76.5">
      <c r="A2431" s="5">
        <v>2416</v>
      </c>
      <c r="B2431" s="15" t="s">
        <v>710</v>
      </c>
      <c r="C2431" s="40" t="s">
        <v>711</v>
      </c>
      <c r="D2431" s="40" t="s">
        <v>723</v>
      </c>
      <c r="E2431" s="31" t="s">
        <v>874</v>
      </c>
      <c r="F2431" s="31" t="s">
        <v>874</v>
      </c>
      <c r="G2431" s="31" t="s">
        <v>875</v>
      </c>
      <c r="H2431" s="40" t="s">
        <v>876</v>
      </c>
      <c r="I2431" s="40" t="s">
        <v>3210</v>
      </c>
      <c r="J2431" s="40" t="s">
        <v>3211</v>
      </c>
      <c r="K2431" s="40" t="s">
        <v>591</v>
      </c>
      <c r="L2431" s="40" t="s">
        <v>644</v>
      </c>
      <c r="M2431" s="93">
        <v>1</v>
      </c>
      <c r="N2431" s="94">
        <v>30000</v>
      </c>
      <c r="O2431" s="94">
        <f>N2431*M2431</f>
        <v>30000</v>
      </c>
      <c r="P2431" s="40" t="s">
        <v>698</v>
      </c>
      <c r="Q2431" s="40" t="s">
        <v>1051</v>
      </c>
      <c r="R2431" s="84">
        <v>511610000</v>
      </c>
      <c r="S2431" s="40">
        <v>100</v>
      </c>
    </row>
    <row r="2432" spans="1:19" s="92" customFormat="1" ht="89.25">
      <c r="A2432" s="5">
        <v>2417</v>
      </c>
      <c r="B2432" s="15" t="s">
        <v>710</v>
      </c>
      <c r="C2432" s="40" t="s">
        <v>597</v>
      </c>
      <c r="D2432" s="40" t="s">
        <v>598</v>
      </c>
      <c r="E2432" s="31" t="s">
        <v>599</v>
      </c>
      <c r="F2432" s="31" t="s">
        <v>782</v>
      </c>
      <c r="G2432" s="31" t="s">
        <v>3195</v>
      </c>
      <c r="H2432" s="40" t="s">
        <v>602</v>
      </c>
      <c r="I2432" s="40" t="s">
        <v>3196</v>
      </c>
      <c r="J2432" s="40" t="s">
        <v>3197</v>
      </c>
      <c r="K2432" s="40" t="s">
        <v>591</v>
      </c>
      <c r="L2432" s="11" t="s">
        <v>914</v>
      </c>
      <c r="M2432" s="93">
        <v>1</v>
      </c>
      <c r="N2432" s="94">
        <v>624400</v>
      </c>
      <c r="O2432" s="94">
        <v>624400</v>
      </c>
      <c r="P2432" s="40" t="s">
        <v>502</v>
      </c>
      <c r="Q2432" s="40" t="s">
        <v>766</v>
      </c>
      <c r="R2432" s="84">
        <v>276630100</v>
      </c>
      <c r="S2432" s="40">
        <v>0</v>
      </c>
    </row>
    <row r="2433" spans="1:19" s="92" customFormat="1" ht="89.25">
      <c r="A2433" s="5">
        <v>2418</v>
      </c>
      <c r="B2433" s="15" t="s">
        <v>710</v>
      </c>
      <c r="C2433" s="40" t="s">
        <v>597</v>
      </c>
      <c r="D2433" s="40" t="s">
        <v>598</v>
      </c>
      <c r="E2433" s="31" t="s">
        <v>599</v>
      </c>
      <c r="F2433" s="31" t="s">
        <v>782</v>
      </c>
      <c r="G2433" s="31" t="s">
        <v>3195</v>
      </c>
      <c r="H2433" s="40" t="s">
        <v>602</v>
      </c>
      <c r="I2433" s="40" t="s">
        <v>3196</v>
      </c>
      <c r="J2433" s="40" t="s">
        <v>3197</v>
      </c>
      <c r="K2433" s="40" t="s">
        <v>591</v>
      </c>
      <c r="L2433" s="11" t="s">
        <v>914</v>
      </c>
      <c r="M2433" s="93">
        <v>1</v>
      </c>
      <c r="N2433" s="94">
        <v>624400</v>
      </c>
      <c r="O2433" s="94">
        <v>624400</v>
      </c>
      <c r="P2433" s="40" t="s">
        <v>502</v>
      </c>
      <c r="Q2433" s="40" t="s">
        <v>766</v>
      </c>
      <c r="R2433" s="84">
        <v>276630100</v>
      </c>
      <c r="S2433" s="40">
        <v>0</v>
      </c>
    </row>
    <row r="2434" spans="1:19" s="92" customFormat="1" ht="51">
      <c r="A2434" s="5">
        <v>2419</v>
      </c>
      <c r="B2434" s="15" t="s">
        <v>710</v>
      </c>
      <c r="C2434" s="40" t="s">
        <v>597</v>
      </c>
      <c r="D2434" s="11" t="s">
        <v>850</v>
      </c>
      <c r="E2434" s="76" t="s">
        <v>1736</v>
      </c>
      <c r="F2434" s="76" t="s">
        <v>851</v>
      </c>
      <c r="G2434" s="76" t="s">
        <v>1737</v>
      </c>
      <c r="H2434" s="76" t="s">
        <v>852</v>
      </c>
      <c r="I2434" s="76" t="s">
        <v>3199</v>
      </c>
      <c r="J2434" s="76" t="s">
        <v>3200</v>
      </c>
      <c r="K2434" s="40" t="s">
        <v>591</v>
      </c>
      <c r="L2434" s="11" t="s">
        <v>914</v>
      </c>
      <c r="M2434" s="97">
        <v>1</v>
      </c>
      <c r="N2434" s="94">
        <f>10000*5</f>
        <v>50000</v>
      </c>
      <c r="O2434" s="94">
        <f>N2434</f>
        <v>50000</v>
      </c>
      <c r="P2434" s="40" t="s">
        <v>698</v>
      </c>
      <c r="Q2434" s="40" t="s">
        <v>766</v>
      </c>
      <c r="R2434" s="84">
        <v>276630100</v>
      </c>
      <c r="S2434" s="40">
        <v>0</v>
      </c>
    </row>
    <row r="2435" spans="1:19" s="92" customFormat="1" ht="51">
      <c r="A2435" s="5">
        <v>2420</v>
      </c>
      <c r="B2435" s="15" t="s">
        <v>710</v>
      </c>
      <c r="C2435" s="40" t="s">
        <v>597</v>
      </c>
      <c r="D2435" s="40" t="s">
        <v>2594</v>
      </c>
      <c r="E2435" s="31" t="s">
        <v>2618</v>
      </c>
      <c r="F2435" s="31" t="s">
        <v>2595</v>
      </c>
      <c r="G2435" s="31" t="s">
        <v>2618</v>
      </c>
      <c r="H2435" s="40" t="s">
        <v>2595</v>
      </c>
      <c r="I2435" s="40" t="s">
        <v>3201</v>
      </c>
      <c r="J2435" s="40" t="s">
        <v>3202</v>
      </c>
      <c r="K2435" s="40" t="s">
        <v>591</v>
      </c>
      <c r="L2435" s="11" t="s">
        <v>914</v>
      </c>
      <c r="M2435" s="93">
        <v>1</v>
      </c>
      <c r="N2435" s="94">
        <f>10500*3</f>
        <v>31500</v>
      </c>
      <c r="O2435" s="94">
        <f>N2435</f>
        <v>31500</v>
      </c>
      <c r="P2435" s="40" t="s">
        <v>3116</v>
      </c>
      <c r="Q2435" s="40" t="s">
        <v>766</v>
      </c>
      <c r="R2435" s="84">
        <v>276630100</v>
      </c>
      <c r="S2435" s="40">
        <v>30</v>
      </c>
    </row>
    <row r="2436" spans="1:19" s="92" customFormat="1" ht="89.25">
      <c r="A2436" s="5">
        <v>2421</v>
      </c>
      <c r="B2436" s="15" t="s">
        <v>710</v>
      </c>
      <c r="C2436" s="40" t="s">
        <v>711</v>
      </c>
      <c r="D2436" s="40" t="s">
        <v>976</v>
      </c>
      <c r="E2436" s="31" t="s">
        <v>730</v>
      </c>
      <c r="F2436" s="31" t="s">
        <v>731</v>
      </c>
      <c r="G2436" s="31" t="s">
        <v>977</v>
      </c>
      <c r="H2436" s="40" t="s">
        <v>978</v>
      </c>
      <c r="I2436" s="40" t="s">
        <v>3203</v>
      </c>
      <c r="J2436" s="40" t="s">
        <v>3204</v>
      </c>
      <c r="K2436" s="40" t="s">
        <v>591</v>
      </c>
      <c r="L2436" s="40" t="s">
        <v>644</v>
      </c>
      <c r="M2436" s="93">
        <v>2</v>
      </c>
      <c r="N2436" s="94">
        <v>26800</v>
      </c>
      <c r="O2436" s="94">
        <f>N2436*M2436</f>
        <v>53600</v>
      </c>
      <c r="P2436" s="40" t="s">
        <v>3116</v>
      </c>
      <c r="Q2436" s="40" t="s">
        <v>1051</v>
      </c>
      <c r="R2436" s="84">
        <v>276630100</v>
      </c>
      <c r="S2436" s="40">
        <v>100</v>
      </c>
    </row>
    <row r="2437" spans="1:19" s="92" customFormat="1" ht="63.75">
      <c r="A2437" s="5">
        <v>2422</v>
      </c>
      <c r="B2437" s="15" t="s">
        <v>710</v>
      </c>
      <c r="C2437" s="40" t="s">
        <v>711</v>
      </c>
      <c r="D2437" s="40" t="s">
        <v>744</v>
      </c>
      <c r="E2437" s="31" t="s">
        <v>745</v>
      </c>
      <c r="F2437" s="31" t="s">
        <v>109</v>
      </c>
      <c r="G2437" s="31" t="s">
        <v>746</v>
      </c>
      <c r="H2437" s="40" t="s">
        <v>3205</v>
      </c>
      <c r="I2437" s="40" t="s">
        <v>3206</v>
      </c>
      <c r="J2437" s="40" t="s">
        <v>3207</v>
      </c>
      <c r="K2437" s="40" t="s">
        <v>591</v>
      </c>
      <c r="L2437" s="40" t="s">
        <v>644</v>
      </c>
      <c r="M2437" s="93">
        <v>6</v>
      </c>
      <c r="N2437" s="94">
        <v>4000</v>
      </c>
      <c r="O2437" s="94">
        <f>M2437*N2437</f>
        <v>24000</v>
      </c>
      <c r="P2437" s="40" t="s">
        <v>3116</v>
      </c>
      <c r="Q2437" s="40" t="s">
        <v>1051</v>
      </c>
      <c r="R2437" s="84">
        <v>276630100</v>
      </c>
      <c r="S2437" s="40">
        <v>100</v>
      </c>
    </row>
    <row r="2438" spans="1:19" s="92" customFormat="1" ht="51">
      <c r="A2438" s="5">
        <v>2423</v>
      </c>
      <c r="B2438" s="15" t="s">
        <v>710</v>
      </c>
      <c r="C2438" s="40" t="s">
        <v>711</v>
      </c>
      <c r="D2438" s="98" t="s">
        <v>422</v>
      </c>
      <c r="E2438" s="76" t="s">
        <v>423</v>
      </c>
      <c r="F2438" s="76" t="s">
        <v>427</v>
      </c>
      <c r="G2438" s="76" t="s">
        <v>837</v>
      </c>
      <c r="H2438" s="76" t="s">
        <v>425</v>
      </c>
      <c r="I2438" s="76" t="s">
        <v>3208</v>
      </c>
      <c r="J2438" s="76" t="s">
        <v>3209</v>
      </c>
      <c r="K2438" s="76" t="s">
        <v>591</v>
      </c>
      <c r="L2438" s="11" t="s">
        <v>909</v>
      </c>
      <c r="M2438" s="53">
        <v>18</v>
      </c>
      <c r="N2438" s="94">
        <v>640</v>
      </c>
      <c r="O2438" s="94">
        <f>N2438*M2438</f>
        <v>11520</v>
      </c>
      <c r="P2438" s="40" t="s">
        <v>3116</v>
      </c>
      <c r="Q2438" s="40" t="s">
        <v>766</v>
      </c>
      <c r="R2438" s="84">
        <v>276630100</v>
      </c>
      <c r="S2438" s="40">
        <v>100</v>
      </c>
    </row>
    <row r="2439" spans="1:19" s="92" customFormat="1" ht="76.5">
      <c r="A2439" s="5">
        <v>2424</v>
      </c>
      <c r="B2439" s="15" t="s">
        <v>710</v>
      </c>
      <c r="C2439" s="40" t="s">
        <v>711</v>
      </c>
      <c r="D2439" s="40" t="s">
        <v>723</v>
      </c>
      <c r="E2439" s="31" t="s">
        <v>874</v>
      </c>
      <c r="F2439" s="31" t="s">
        <v>874</v>
      </c>
      <c r="G2439" s="31" t="s">
        <v>875</v>
      </c>
      <c r="H2439" s="40" t="s">
        <v>876</v>
      </c>
      <c r="I2439" s="40" t="s">
        <v>3210</v>
      </c>
      <c r="J2439" s="40" t="s">
        <v>3211</v>
      </c>
      <c r="K2439" s="40" t="s">
        <v>591</v>
      </c>
      <c r="L2439" s="40" t="s">
        <v>644</v>
      </c>
      <c r="M2439" s="93">
        <v>1</v>
      </c>
      <c r="N2439" s="94">
        <v>30000</v>
      </c>
      <c r="O2439" s="94">
        <f>N2439*M2439</f>
        <v>30000</v>
      </c>
      <c r="P2439" s="40" t="s">
        <v>3116</v>
      </c>
      <c r="Q2439" s="40" t="s">
        <v>1051</v>
      </c>
      <c r="R2439" s="84">
        <v>276630100</v>
      </c>
      <c r="S2439" s="40">
        <v>100</v>
      </c>
    </row>
    <row r="2440" spans="1:19" s="92" customFormat="1" ht="89.25">
      <c r="A2440" s="5">
        <v>2425</v>
      </c>
      <c r="B2440" s="15" t="s">
        <v>710</v>
      </c>
      <c r="C2440" s="40" t="s">
        <v>597</v>
      </c>
      <c r="D2440" s="40" t="s">
        <v>598</v>
      </c>
      <c r="E2440" s="31" t="s">
        <v>599</v>
      </c>
      <c r="F2440" s="31" t="s">
        <v>782</v>
      </c>
      <c r="G2440" s="31" t="s">
        <v>3195</v>
      </c>
      <c r="H2440" s="40" t="s">
        <v>602</v>
      </c>
      <c r="I2440" s="40" t="s">
        <v>3196</v>
      </c>
      <c r="J2440" s="40" t="s">
        <v>3197</v>
      </c>
      <c r="K2440" s="40" t="s">
        <v>591</v>
      </c>
      <c r="L2440" s="11" t="s">
        <v>914</v>
      </c>
      <c r="M2440" s="93">
        <v>1</v>
      </c>
      <c r="N2440" s="94">
        <v>624400</v>
      </c>
      <c r="O2440" s="94">
        <v>624400</v>
      </c>
      <c r="P2440" s="40" t="s">
        <v>502</v>
      </c>
      <c r="Q2440" s="40" t="s">
        <v>766</v>
      </c>
      <c r="R2440" s="84">
        <v>274230100</v>
      </c>
      <c r="S2440" s="40">
        <v>0</v>
      </c>
    </row>
    <row r="2441" spans="1:19" s="92" customFormat="1" ht="89.25">
      <c r="A2441" s="5">
        <v>2426</v>
      </c>
      <c r="B2441" s="15" t="s">
        <v>710</v>
      </c>
      <c r="C2441" s="40" t="s">
        <v>597</v>
      </c>
      <c r="D2441" s="40" t="s">
        <v>598</v>
      </c>
      <c r="E2441" s="31" t="s">
        <v>599</v>
      </c>
      <c r="F2441" s="31" t="s">
        <v>782</v>
      </c>
      <c r="G2441" s="31" t="s">
        <v>3195</v>
      </c>
      <c r="H2441" s="40" t="s">
        <v>602</v>
      </c>
      <c r="I2441" s="40" t="s">
        <v>3196</v>
      </c>
      <c r="J2441" s="40" t="s">
        <v>3197</v>
      </c>
      <c r="K2441" s="40" t="s">
        <v>591</v>
      </c>
      <c r="L2441" s="11" t="s">
        <v>914</v>
      </c>
      <c r="M2441" s="93">
        <v>1</v>
      </c>
      <c r="N2441" s="94">
        <v>624400</v>
      </c>
      <c r="O2441" s="94">
        <v>624400</v>
      </c>
      <c r="P2441" s="40" t="s">
        <v>502</v>
      </c>
      <c r="Q2441" s="40" t="s">
        <v>766</v>
      </c>
      <c r="R2441" s="84">
        <v>274230100</v>
      </c>
      <c r="S2441" s="40">
        <v>0</v>
      </c>
    </row>
    <row r="2442" spans="1:19" s="92" customFormat="1" ht="51">
      <c r="A2442" s="5">
        <v>2427</v>
      </c>
      <c r="B2442" s="15" t="s">
        <v>710</v>
      </c>
      <c r="C2442" s="40" t="s">
        <v>597</v>
      </c>
      <c r="D2442" s="11" t="s">
        <v>850</v>
      </c>
      <c r="E2442" s="76" t="s">
        <v>1736</v>
      </c>
      <c r="F2442" s="76" t="s">
        <v>851</v>
      </c>
      <c r="G2442" s="76" t="s">
        <v>1737</v>
      </c>
      <c r="H2442" s="76" t="s">
        <v>852</v>
      </c>
      <c r="I2442" s="76" t="s">
        <v>3199</v>
      </c>
      <c r="J2442" s="76" t="s">
        <v>3200</v>
      </c>
      <c r="K2442" s="40" t="s">
        <v>591</v>
      </c>
      <c r="L2442" s="11" t="s">
        <v>914</v>
      </c>
      <c r="M2442" s="97">
        <v>1</v>
      </c>
      <c r="N2442" s="94">
        <f>10000*5</f>
        <v>50000</v>
      </c>
      <c r="O2442" s="94">
        <f>N2442</f>
        <v>50000</v>
      </c>
      <c r="P2442" s="40" t="s">
        <v>698</v>
      </c>
      <c r="Q2442" s="40" t="s">
        <v>766</v>
      </c>
      <c r="R2442" s="84">
        <v>274230100</v>
      </c>
      <c r="S2442" s="40">
        <v>0</v>
      </c>
    </row>
    <row r="2443" spans="1:19" s="92" customFormat="1" ht="51">
      <c r="A2443" s="5">
        <v>2428</v>
      </c>
      <c r="B2443" s="15" t="s">
        <v>710</v>
      </c>
      <c r="C2443" s="40" t="s">
        <v>597</v>
      </c>
      <c r="D2443" s="40" t="s">
        <v>2594</v>
      </c>
      <c r="E2443" s="31" t="s">
        <v>2618</v>
      </c>
      <c r="F2443" s="31" t="s">
        <v>2595</v>
      </c>
      <c r="G2443" s="31" t="s">
        <v>2618</v>
      </c>
      <c r="H2443" s="40" t="s">
        <v>2595</v>
      </c>
      <c r="I2443" s="40" t="s">
        <v>3201</v>
      </c>
      <c r="J2443" s="40" t="s">
        <v>3202</v>
      </c>
      <c r="K2443" s="40" t="s">
        <v>591</v>
      </c>
      <c r="L2443" s="11" t="s">
        <v>914</v>
      </c>
      <c r="M2443" s="93">
        <v>1</v>
      </c>
      <c r="N2443" s="94">
        <f>10500*3</f>
        <v>31500</v>
      </c>
      <c r="O2443" s="94">
        <f>N2443</f>
        <v>31500</v>
      </c>
      <c r="P2443" s="40" t="s">
        <v>3116</v>
      </c>
      <c r="Q2443" s="40" t="s">
        <v>766</v>
      </c>
      <c r="R2443" s="84">
        <v>274230100</v>
      </c>
      <c r="S2443" s="40">
        <v>30</v>
      </c>
    </row>
    <row r="2444" spans="1:19" s="92" customFormat="1" ht="89.25">
      <c r="A2444" s="5">
        <v>2429</v>
      </c>
      <c r="B2444" s="15" t="s">
        <v>710</v>
      </c>
      <c r="C2444" s="40" t="s">
        <v>711</v>
      </c>
      <c r="D2444" s="40" t="s">
        <v>976</v>
      </c>
      <c r="E2444" s="31" t="s">
        <v>730</v>
      </c>
      <c r="F2444" s="31" t="s">
        <v>731</v>
      </c>
      <c r="G2444" s="31" t="s">
        <v>977</v>
      </c>
      <c r="H2444" s="40" t="s">
        <v>978</v>
      </c>
      <c r="I2444" s="40" t="s">
        <v>3203</v>
      </c>
      <c r="J2444" s="40" t="s">
        <v>3204</v>
      </c>
      <c r="K2444" s="40" t="s">
        <v>591</v>
      </c>
      <c r="L2444" s="40" t="s">
        <v>644</v>
      </c>
      <c r="M2444" s="93">
        <v>2</v>
      </c>
      <c r="N2444" s="94">
        <v>26800</v>
      </c>
      <c r="O2444" s="94">
        <f>N2444*M2444</f>
        <v>53600</v>
      </c>
      <c r="P2444" s="40" t="s">
        <v>3116</v>
      </c>
      <c r="Q2444" s="40" t="s">
        <v>1051</v>
      </c>
      <c r="R2444" s="84">
        <v>274230100</v>
      </c>
      <c r="S2444" s="40">
        <v>100</v>
      </c>
    </row>
    <row r="2445" spans="1:19" s="92" customFormat="1" ht="63.75">
      <c r="A2445" s="5">
        <v>2430</v>
      </c>
      <c r="B2445" s="15" t="s">
        <v>710</v>
      </c>
      <c r="C2445" s="40" t="s">
        <v>711</v>
      </c>
      <c r="D2445" s="40" t="s">
        <v>744</v>
      </c>
      <c r="E2445" s="31" t="s">
        <v>745</v>
      </c>
      <c r="F2445" s="31" t="s">
        <v>109</v>
      </c>
      <c r="G2445" s="31" t="s">
        <v>746</v>
      </c>
      <c r="H2445" s="40" t="s">
        <v>3205</v>
      </c>
      <c r="I2445" s="40" t="s">
        <v>3206</v>
      </c>
      <c r="J2445" s="40" t="s">
        <v>3207</v>
      </c>
      <c r="K2445" s="40" t="s">
        <v>591</v>
      </c>
      <c r="L2445" s="40" t="s">
        <v>644</v>
      </c>
      <c r="M2445" s="93">
        <v>6</v>
      </c>
      <c r="N2445" s="94">
        <v>4000</v>
      </c>
      <c r="O2445" s="94">
        <f>M2445*N2445</f>
        <v>24000</v>
      </c>
      <c r="P2445" s="40" t="s">
        <v>3116</v>
      </c>
      <c r="Q2445" s="40" t="s">
        <v>1051</v>
      </c>
      <c r="R2445" s="84">
        <v>274230100</v>
      </c>
      <c r="S2445" s="40">
        <v>100</v>
      </c>
    </row>
    <row r="2446" spans="1:19" s="92" customFormat="1" ht="51">
      <c r="A2446" s="5">
        <v>2431</v>
      </c>
      <c r="B2446" s="15" t="s">
        <v>710</v>
      </c>
      <c r="C2446" s="40" t="s">
        <v>711</v>
      </c>
      <c r="D2446" s="98" t="s">
        <v>422</v>
      </c>
      <c r="E2446" s="76" t="s">
        <v>423</v>
      </c>
      <c r="F2446" s="76" t="s">
        <v>427</v>
      </c>
      <c r="G2446" s="76" t="s">
        <v>837</v>
      </c>
      <c r="H2446" s="76" t="s">
        <v>425</v>
      </c>
      <c r="I2446" s="76" t="s">
        <v>3208</v>
      </c>
      <c r="J2446" s="76" t="s">
        <v>3209</v>
      </c>
      <c r="K2446" s="76" t="s">
        <v>591</v>
      </c>
      <c r="L2446" s="11" t="s">
        <v>909</v>
      </c>
      <c r="M2446" s="53">
        <v>18</v>
      </c>
      <c r="N2446" s="94">
        <v>640</v>
      </c>
      <c r="O2446" s="94">
        <f>N2446*M2446</f>
        <v>11520</v>
      </c>
      <c r="P2446" s="40" t="s">
        <v>3116</v>
      </c>
      <c r="Q2446" s="40" t="s">
        <v>766</v>
      </c>
      <c r="R2446" s="84">
        <v>274230100</v>
      </c>
      <c r="S2446" s="40">
        <v>100</v>
      </c>
    </row>
    <row r="2447" spans="1:19" s="92" customFormat="1" ht="76.5">
      <c r="A2447" s="5">
        <v>2432</v>
      </c>
      <c r="B2447" s="15" t="s">
        <v>710</v>
      </c>
      <c r="C2447" s="40" t="s">
        <v>711</v>
      </c>
      <c r="D2447" s="40" t="s">
        <v>723</v>
      </c>
      <c r="E2447" s="31" t="s">
        <v>874</v>
      </c>
      <c r="F2447" s="31" t="s">
        <v>874</v>
      </c>
      <c r="G2447" s="31" t="s">
        <v>875</v>
      </c>
      <c r="H2447" s="40" t="s">
        <v>876</v>
      </c>
      <c r="I2447" s="40" t="s">
        <v>3210</v>
      </c>
      <c r="J2447" s="40" t="s">
        <v>3211</v>
      </c>
      <c r="K2447" s="40" t="s">
        <v>591</v>
      </c>
      <c r="L2447" s="40" t="s">
        <v>644</v>
      </c>
      <c r="M2447" s="93">
        <v>1</v>
      </c>
      <c r="N2447" s="94">
        <v>30000</v>
      </c>
      <c r="O2447" s="94">
        <f>N2447*M2447</f>
        <v>30000</v>
      </c>
      <c r="P2447" s="40" t="s">
        <v>3116</v>
      </c>
      <c r="Q2447" s="40" t="s">
        <v>1051</v>
      </c>
      <c r="R2447" s="84">
        <v>274230100</v>
      </c>
      <c r="S2447" s="40">
        <v>100</v>
      </c>
    </row>
    <row r="2448" spans="1:19" s="92" customFormat="1" ht="89.25">
      <c r="A2448" s="5">
        <v>2433</v>
      </c>
      <c r="B2448" s="15" t="s">
        <v>710</v>
      </c>
      <c r="C2448" s="40" t="s">
        <v>597</v>
      </c>
      <c r="D2448" s="40" t="s">
        <v>598</v>
      </c>
      <c r="E2448" s="31" t="s">
        <v>599</v>
      </c>
      <c r="F2448" s="31" t="s">
        <v>782</v>
      </c>
      <c r="G2448" s="31" t="s">
        <v>3195</v>
      </c>
      <c r="H2448" s="40" t="s">
        <v>602</v>
      </c>
      <c r="I2448" s="40" t="s">
        <v>3196</v>
      </c>
      <c r="J2448" s="40" t="s">
        <v>3197</v>
      </c>
      <c r="K2448" s="40" t="s">
        <v>591</v>
      </c>
      <c r="L2448" s="11" t="s">
        <v>914</v>
      </c>
      <c r="M2448" s="93">
        <v>1</v>
      </c>
      <c r="N2448" s="94">
        <v>624400</v>
      </c>
      <c r="O2448" s="94">
        <v>624400</v>
      </c>
      <c r="P2448" s="40" t="s">
        <v>502</v>
      </c>
      <c r="Q2448" s="40" t="s">
        <v>766</v>
      </c>
      <c r="R2448" s="84">
        <v>274830100</v>
      </c>
      <c r="S2448" s="40">
        <v>0</v>
      </c>
    </row>
    <row r="2449" spans="1:19" s="92" customFormat="1" ht="89.25">
      <c r="A2449" s="5">
        <v>2434</v>
      </c>
      <c r="B2449" s="15" t="s">
        <v>710</v>
      </c>
      <c r="C2449" s="40" t="s">
        <v>597</v>
      </c>
      <c r="D2449" s="40" t="s">
        <v>598</v>
      </c>
      <c r="E2449" s="31" t="s">
        <v>599</v>
      </c>
      <c r="F2449" s="31" t="s">
        <v>782</v>
      </c>
      <c r="G2449" s="31" t="s">
        <v>3195</v>
      </c>
      <c r="H2449" s="40" t="s">
        <v>602</v>
      </c>
      <c r="I2449" s="40" t="s">
        <v>3196</v>
      </c>
      <c r="J2449" s="40" t="s">
        <v>3197</v>
      </c>
      <c r="K2449" s="40" t="s">
        <v>591</v>
      </c>
      <c r="L2449" s="11" t="s">
        <v>914</v>
      </c>
      <c r="M2449" s="93">
        <v>1</v>
      </c>
      <c r="N2449" s="94">
        <v>624400</v>
      </c>
      <c r="O2449" s="94">
        <v>624400</v>
      </c>
      <c r="P2449" s="40" t="s">
        <v>502</v>
      </c>
      <c r="Q2449" s="40" t="s">
        <v>766</v>
      </c>
      <c r="R2449" s="84">
        <v>274830100</v>
      </c>
      <c r="S2449" s="40">
        <v>0</v>
      </c>
    </row>
    <row r="2450" spans="1:19" s="92" customFormat="1" ht="51">
      <c r="A2450" s="5">
        <v>2435</v>
      </c>
      <c r="B2450" s="15" t="s">
        <v>710</v>
      </c>
      <c r="C2450" s="40" t="s">
        <v>597</v>
      </c>
      <c r="D2450" s="11" t="s">
        <v>850</v>
      </c>
      <c r="E2450" s="76" t="s">
        <v>1736</v>
      </c>
      <c r="F2450" s="76" t="s">
        <v>851</v>
      </c>
      <c r="G2450" s="76" t="s">
        <v>1737</v>
      </c>
      <c r="H2450" s="76" t="s">
        <v>852</v>
      </c>
      <c r="I2450" s="76" t="s">
        <v>3199</v>
      </c>
      <c r="J2450" s="76" t="s">
        <v>3200</v>
      </c>
      <c r="K2450" s="40" t="s">
        <v>591</v>
      </c>
      <c r="L2450" s="11" t="s">
        <v>914</v>
      </c>
      <c r="M2450" s="97">
        <v>1</v>
      </c>
      <c r="N2450" s="94">
        <f>10000*5</f>
        <v>50000</v>
      </c>
      <c r="O2450" s="94">
        <f>N2450</f>
        <v>50000</v>
      </c>
      <c r="P2450" s="40" t="s">
        <v>698</v>
      </c>
      <c r="Q2450" s="40" t="s">
        <v>766</v>
      </c>
      <c r="R2450" s="84">
        <v>274830100</v>
      </c>
      <c r="S2450" s="40">
        <v>0</v>
      </c>
    </row>
    <row r="2451" spans="1:19" s="92" customFormat="1" ht="51">
      <c r="A2451" s="5">
        <v>2436</v>
      </c>
      <c r="B2451" s="15" t="s">
        <v>710</v>
      </c>
      <c r="C2451" s="40" t="s">
        <v>597</v>
      </c>
      <c r="D2451" s="40" t="s">
        <v>2594</v>
      </c>
      <c r="E2451" s="31" t="s">
        <v>2618</v>
      </c>
      <c r="F2451" s="31" t="s">
        <v>2595</v>
      </c>
      <c r="G2451" s="31" t="s">
        <v>2618</v>
      </c>
      <c r="H2451" s="40" t="s">
        <v>2595</v>
      </c>
      <c r="I2451" s="40" t="s">
        <v>3201</v>
      </c>
      <c r="J2451" s="40" t="s">
        <v>3202</v>
      </c>
      <c r="K2451" s="40" t="s">
        <v>591</v>
      </c>
      <c r="L2451" s="11" t="s">
        <v>914</v>
      </c>
      <c r="M2451" s="93">
        <v>1</v>
      </c>
      <c r="N2451" s="94">
        <f>10500*3</f>
        <v>31500</v>
      </c>
      <c r="O2451" s="94">
        <f>N2451</f>
        <v>31500</v>
      </c>
      <c r="P2451" s="40" t="s">
        <v>3116</v>
      </c>
      <c r="Q2451" s="40" t="s">
        <v>766</v>
      </c>
      <c r="R2451" s="84">
        <v>274830100</v>
      </c>
      <c r="S2451" s="40">
        <v>30</v>
      </c>
    </row>
    <row r="2452" spans="1:19" s="92" customFormat="1" ht="89.25">
      <c r="A2452" s="5">
        <v>2437</v>
      </c>
      <c r="B2452" s="15" t="s">
        <v>710</v>
      </c>
      <c r="C2452" s="40" t="s">
        <v>711</v>
      </c>
      <c r="D2452" s="40" t="s">
        <v>976</v>
      </c>
      <c r="E2452" s="31" t="s">
        <v>730</v>
      </c>
      <c r="F2452" s="31" t="s">
        <v>731</v>
      </c>
      <c r="G2452" s="31" t="s">
        <v>977</v>
      </c>
      <c r="H2452" s="40" t="s">
        <v>978</v>
      </c>
      <c r="I2452" s="40" t="s">
        <v>3203</v>
      </c>
      <c r="J2452" s="40" t="s">
        <v>3204</v>
      </c>
      <c r="K2452" s="40" t="s">
        <v>591</v>
      </c>
      <c r="L2452" s="40" t="s">
        <v>644</v>
      </c>
      <c r="M2452" s="93">
        <v>2</v>
      </c>
      <c r="N2452" s="94">
        <v>26800</v>
      </c>
      <c r="O2452" s="94">
        <f>N2452*M2452</f>
        <v>53600</v>
      </c>
      <c r="P2452" s="40" t="s">
        <v>3116</v>
      </c>
      <c r="Q2452" s="40" t="s">
        <v>1051</v>
      </c>
      <c r="R2452" s="84">
        <v>274830100</v>
      </c>
      <c r="S2452" s="40">
        <v>100</v>
      </c>
    </row>
    <row r="2453" spans="1:19" s="92" customFormat="1" ht="63.75">
      <c r="A2453" s="5">
        <v>2438</v>
      </c>
      <c r="B2453" s="15" t="s">
        <v>710</v>
      </c>
      <c r="C2453" s="40" t="s">
        <v>711</v>
      </c>
      <c r="D2453" s="40" t="s">
        <v>744</v>
      </c>
      <c r="E2453" s="31" t="s">
        <v>745</v>
      </c>
      <c r="F2453" s="31" t="s">
        <v>109</v>
      </c>
      <c r="G2453" s="31" t="s">
        <v>746</v>
      </c>
      <c r="H2453" s="40" t="s">
        <v>3205</v>
      </c>
      <c r="I2453" s="40" t="s">
        <v>3206</v>
      </c>
      <c r="J2453" s="40" t="s">
        <v>3207</v>
      </c>
      <c r="K2453" s="40" t="s">
        <v>591</v>
      </c>
      <c r="L2453" s="40" t="s">
        <v>644</v>
      </c>
      <c r="M2453" s="93">
        <v>6</v>
      </c>
      <c r="N2453" s="94">
        <v>4000</v>
      </c>
      <c r="O2453" s="94">
        <f>M2453*N2453</f>
        <v>24000</v>
      </c>
      <c r="P2453" s="40" t="s">
        <v>3116</v>
      </c>
      <c r="Q2453" s="40" t="s">
        <v>1051</v>
      </c>
      <c r="R2453" s="84">
        <v>274830100</v>
      </c>
      <c r="S2453" s="40">
        <v>100</v>
      </c>
    </row>
    <row r="2454" spans="1:19" s="92" customFormat="1" ht="51">
      <c r="A2454" s="5">
        <v>2439</v>
      </c>
      <c r="B2454" s="15" t="s">
        <v>710</v>
      </c>
      <c r="C2454" s="40" t="s">
        <v>711</v>
      </c>
      <c r="D2454" s="98" t="s">
        <v>422</v>
      </c>
      <c r="E2454" s="76" t="s">
        <v>423</v>
      </c>
      <c r="F2454" s="76" t="s">
        <v>427</v>
      </c>
      <c r="G2454" s="76" t="s">
        <v>837</v>
      </c>
      <c r="H2454" s="76" t="s">
        <v>425</v>
      </c>
      <c r="I2454" s="76" t="s">
        <v>3208</v>
      </c>
      <c r="J2454" s="76" t="s">
        <v>3209</v>
      </c>
      <c r="K2454" s="76" t="s">
        <v>591</v>
      </c>
      <c r="L2454" s="11" t="s">
        <v>909</v>
      </c>
      <c r="M2454" s="53">
        <v>18</v>
      </c>
      <c r="N2454" s="94">
        <v>640</v>
      </c>
      <c r="O2454" s="94">
        <f>N2454*M2454</f>
        <v>11520</v>
      </c>
      <c r="P2454" s="40" t="s">
        <v>3116</v>
      </c>
      <c r="Q2454" s="40" t="s">
        <v>766</v>
      </c>
      <c r="R2454" s="84">
        <v>274830100</v>
      </c>
      <c r="S2454" s="40">
        <v>100</v>
      </c>
    </row>
    <row r="2455" spans="1:19" s="92" customFormat="1" ht="76.5">
      <c r="A2455" s="5">
        <v>2440</v>
      </c>
      <c r="B2455" s="15" t="s">
        <v>710</v>
      </c>
      <c r="C2455" s="40" t="s">
        <v>711</v>
      </c>
      <c r="D2455" s="40" t="s">
        <v>723</v>
      </c>
      <c r="E2455" s="31" t="s">
        <v>874</v>
      </c>
      <c r="F2455" s="31" t="s">
        <v>874</v>
      </c>
      <c r="G2455" s="31" t="s">
        <v>875</v>
      </c>
      <c r="H2455" s="40" t="s">
        <v>876</v>
      </c>
      <c r="I2455" s="40" t="s">
        <v>3210</v>
      </c>
      <c r="J2455" s="40" t="s">
        <v>3211</v>
      </c>
      <c r="K2455" s="40" t="s">
        <v>591</v>
      </c>
      <c r="L2455" s="40" t="s">
        <v>644</v>
      </c>
      <c r="M2455" s="93">
        <v>1</v>
      </c>
      <c r="N2455" s="94">
        <v>30000</v>
      </c>
      <c r="O2455" s="94">
        <f>N2455*M2455</f>
        <v>30000</v>
      </c>
      <c r="P2455" s="40" t="s">
        <v>3116</v>
      </c>
      <c r="Q2455" s="40" t="s">
        <v>1051</v>
      </c>
      <c r="R2455" s="84">
        <v>274830100</v>
      </c>
      <c r="S2455" s="40">
        <v>100</v>
      </c>
    </row>
    <row r="2456" spans="1:19" s="92" customFormat="1" ht="89.25">
      <c r="A2456" s="5">
        <v>2441</v>
      </c>
      <c r="B2456" s="15" t="s">
        <v>710</v>
      </c>
      <c r="C2456" s="40" t="s">
        <v>597</v>
      </c>
      <c r="D2456" s="40" t="s">
        <v>598</v>
      </c>
      <c r="E2456" s="31" t="s">
        <v>599</v>
      </c>
      <c r="F2456" s="31" t="s">
        <v>782</v>
      </c>
      <c r="G2456" s="31" t="s">
        <v>3195</v>
      </c>
      <c r="H2456" s="40" t="s">
        <v>602</v>
      </c>
      <c r="I2456" s="40" t="s">
        <v>3196</v>
      </c>
      <c r="J2456" s="40" t="s">
        <v>3197</v>
      </c>
      <c r="K2456" s="40" t="s">
        <v>591</v>
      </c>
      <c r="L2456" s="11" t="s">
        <v>914</v>
      </c>
      <c r="M2456" s="93">
        <v>1</v>
      </c>
      <c r="N2456" s="94">
        <v>624400</v>
      </c>
      <c r="O2456" s="94">
        <v>624400</v>
      </c>
      <c r="P2456" s="40" t="s">
        <v>502</v>
      </c>
      <c r="Q2456" s="40" t="s">
        <v>766</v>
      </c>
      <c r="R2456" s="84">
        <v>273230100</v>
      </c>
      <c r="S2456" s="40">
        <v>0</v>
      </c>
    </row>
    <row r="2457" spans="1:19" s="92" customFormat="1" ht="89.25">
      <c r="A2457" s="5">
        <v>2442</v>
      </c>
      <c r="B2457" s="15" t="s">
        <v>710</v>
      </c>
      <c r="C2457" s="40" t="s">
        <v>597</v>
      </c>
      <c r="D2457" s="40" t="s">
        <v>598</v>
      </c>
      <c r="E2457" s="31" t="s">
        <v>599</v>
      </c>
      <c r="F2457" s="31" t="s">
        <v>782</v>
      </c>
      <c r="G2457" s="31" t="s">
        <v>3195</v>
      </c>
      <c r="H2457" s="40" t="s">
        <v>602</v>
      </c>
      <c r="I2457" s="40" t="s">
        <v>3196</v>
      </c>
      <c r="J2457" s="40" t="s">
        <v>3197</v>
      </c>
      <c r="K2457" s="40" t="s">
        <v>591</v>
      </c>
      <c r="L2457" s="11" t="s">
        <v>914</v>
      </c>
      <c r="M2457" s="93">
        <v>1</v>
      </c>
      <c r="N2457" s="94">
        <v>624400</v>
      </c>
      <c r="O2457" s="94">
        <v>624400</v>
      </c>
      <c r="P2457" s="40" t="s">
        <v>502</v>
      </c>
      <c r="Q2457" s="40" t="s">
        <v>766</v>
      </c>
      <c r="R2457" s="84">
        <v>273230100</v>
      </c>
      <c r="S2457" s="40">
        <v>0</v>
      </c>
    </row>
    <row r="2458" spans="1:19" s="92" customFormat="1" ht="51">
      <c r="A2458" s="5">
        <v>2443</v>
      </c>
      <c r="B2458" s="15" t="s">
        <v>710</v>
      </c>
      <c r="C2458" s="40" t="s">
        <v>597</v>
      </c>
      <c r="D2458" s="11" t="s">
        <v>850</v>
      </c>
      <c r="E2458" s="76" t="s">
        <v>1736</v>
      </c>
      <c r="F2458" s="76" t="s">
        <v>851</v>
      </c>
      <c r="G2458" s="76" t="s">
        <v>1737</v>
      </c>
      <c r="H2458" s="76" t="s">
        <v>852</v>
      </c>
      <c r="I2458" s="76" t="s">
        <v>3199</v>
      </c>
      <c r="J2458" s="76" t="s">
        <v>3200</v>
      </c>
      <c r="K2458" s="40" t="s">
        <v>591</v>
      </c>
      <c r="L2458" s="11" t="s">
        <v>914</v>
      </c>
      <c r="M2458" s="97">
        <v>1</v>
      </c>
      <c r="N2458" s="94">
        <f>10000*5</f>
        <v>50000</v>
      </c>
      <c r="O2458" s="94">
        <f>N2458</f>
        <v>50000</v>
      </c>
      <c r="P2458" s="40" t="s">
        <v>698</v>
      </c>
      <c r="Q2458" s="40" t="s">
        <v>766</v>
      </c>
      <c r="R2458" s="84">
        <v>273230100</v>
      </c>
      <c r="S2458" s="40">
        <v>0</v>
      </c>
    </row>
    <row r="2459" spans="1:19" s="92" customFormat="1" ht="51">
      <c r="A2459" s="5">
        <v>2444</v>
      </c>
      <c r="B2459" s="15" t="s">
        <v>710</v>
      </c>
      <c r="C2459" s="40" t="s">
        <v>597</v>
      </c>
      <c r="D2459" s="40" t="s">
        <v>2594</v>
      </c>
      <c r="E2459" s="31" t="s">
        <v>2618</v>
      </c>
      <c r="F2459" s="31" t="s">
        <v>2595</v>
      </c>
      <c r="G2459" s="31" t="s">
        <v>2618</v>
      </c>
      <c r="H2459" s="40" t="s">
        <v>2595</v>
      </c>
      <c r="I2459" s="40" t="s">
        <v>3201</v>
      </c>
      <c r="J2459" s="40" t="s">
        <v>3202</v>
      </c>
      <c r="K2459" s="40" t="s">
        <v>591</v>
      </c>
      <c r="L2459" s="11" t="s">
        <v>914</v>
      </c>
      <c r="M2459" s="93">
        <v>1</v>
      </c>
      <c r="N2459" s="94">
        <f>10500*3</f>
        <v>31500</v>
      </c>
      <c r="O2459" s="94">
        <f>N2459</f>
        <v>31500</v>
      </c>
      <c r="P2459" s="40" t="s">
        <v>3116</v>
      </c>
      <c r="Q2459" s="40" t="s">
        <v>766</v>
      </c>
      <c r="R2459" s="84">
        <v>273230100</v>
      </c>
      <c r="S2459" s="40">
        <v>30</v>
      </c>
    </row>
    <row r="2460" spans="1:19" s="92" customFormat="1" ht="89.25">
      <c r="A2460" s="5">
        <v>2445</v>
      </c>
      <c r="B2460" s="15" t="s">
        <v>710</v>
      </c>
      <c r="C2460" s="40" t="s">
        <v>711</v>
      </c>
      <c r="D2460" s="40" t="s">
        <v>976</v>
      </c>
      <c r="E2460" s="31" t="s">
        <v>730</v>
      </c>
      <c r="F2460" s="31" t="s">
        <v>731</v>
      </c>
      <c r="G2460" s="31" t="s">
        <v>977</v>
      </c>
      <c r="H2460" s="40" t="s">
        <v>978</v>
      </c>
      <c r="I2460" s="40" t="s">
        <v>3203</v>
      </c>
      <c r="J2460" s="40" t="s">
        <v>3204</v>
      </c>
      <c r="K2460" s="40" t="s">
        <v>591</v>
      </c>
      <c r="L2460" s="40" t="s">
        <v>644</v>
      </c>
      <c r="M2460" s="93">
        <v>2</v>
      </c>
      <c r="N2460" s="94">
        <v>26800</v>
      </c>
      <c r="O2460" s="94">
        <f>N2460*M2460</f>
        <v>53600</v>
      </c>
      <c r="P2460" s="40" t="s">
        <v>3116</v>
      </c>
      <c r="Q2460" s="40" t="s">
        <v>1051</v>
      </c>
      <c r="R2460" s="84">
        <v>273230100</v>
      </c>
      <c r="S2460" s="40">
        <v>100</v>
      </c>
    </row>
    <row r="2461" spans="1:19" s="92" customFormat="1" ht="63.75">
      <c r="A2461" s="5">
        <v>2446</v>
      </c>
      <c r="B2461" s="15" t="s">
        <v>710</v>
      </c>
      <c r="C2461" s="40" t="s">
        <v>711</v>
      </c>
      <c r="D2461" s="40" t="s">
        <v>744</v>
      </c>
      <c r="E2461" s="31" t="s">
        <v>745</v>
      </c>
      <c r="F2461" s="31" t="s">
        <v>109</v>
      </c>
      <c r="G2461" s="31" t="s">
        <v>746</v>
      </c>
      <c r="H2461" s="40" t="s">
        <v>3205</v>
      </c>
      <c r="I2461" s="40" t="s">
        <v>3206</v>
      </c>
      <c r="J2461" s="40" t="s">
        <v>3207</v>
      </c>
      <c r="K2461" s="40" t="s">
        <v>591</v>
      </c>
      <c r="L2461" s="40" t="s">
        <v>644</v>
      </c>
      <c r="M2461" s="93">
        <v>6</v>
      </c>
      <c r="N2461" s="94">
        <v>4000</v>
      </c>
      <c r="O2461" s="94">
        <f>M2461*N2461</f>
        <v>24000</v>
      </c>
      <c r="P2461" s="40" t="s">
        <v>3116</v>
      </c>
      <c r="Q2461" s="40" t="s">
        <v>1051</v>
      </c>
      <c r="R2461" s="84">
        <v>273230100</v>
      </c>
      <c r="S2461" s="40">
        <v>100</v>
      </c>
    </row>
    <row r="2462" spans="1:19" s="92" customFormat="1" ht="51">
      <c r="A2462" s="5">
        <v>2447</v>
      </c>
      <c r="B2462" s="15" t="s">
        <v>710</v>
      </c>
      <c r="C2462" s="40" t="s">
        <v>711</v>
      </c>
      <c r="D2462" s="98" t="s">
        <v>422</v>
      </c>
      <c r="E2462" s="76" t="s">
        <v>423</v>
      </c>
      <c r="F2462" s="76" t="s">
        <v>427</v>
      </c>
      <c r="G2462" s="76" t="s">
        <v>837</v>
      </c>
      <c r="H2462" s="76" t="s">
        <v>425</v>
      </c>
      <c r="I2462" s="76" t="s">
        <v>3208</v>
      </c>
      <c r="J2462" s="76" t="s">
        <v>3209</v>
      </c>
      <c r="K2462" s="76" t="s">
        <v>591</v>
      </c>
      <c r="L2462" s="11" t="s">
        <v>909</v>
      </c>
      <c r="M2462" s="53">
        <v>18</v>
      </c>
      <c r="N2462" s="94">
        <v>640</v>
      </c>
      <c r="O2462" s="94">
        <f>N2462*M2462</f>
        <v>11520</v>
      </c>
      <c r="P2462" s="40" t="s">
        <v>3116</v>
      </c>
      <c r="Q2462" s="40" t="s">
        <v>766</v>
      </c>
      <c r="R2462" s="84">
        <v>273230100</v>
      </c>
      <c r="S2462" s="40">
        <v>100</v>
      </c>
    </row>
    <row r="2463" spans="1:19" s="92" customFormat="1" ht="76.5">
      <c r="A2463" s="5">
        <v>2448</v>
      </c>
      <c r="B2463" s="15" t="s">
        <v>710</v>
      </c>
      <c r="C2463" s="40" t="s">
        <v>711</v>
      </c>
      <c r="D2463" s="40" t="s">
        <v>723</v>
      </c>
      <c r="E2463" s="31" t="s">
        <v>874</v>
      </c>
      <c r="F2463" s="31" t="s">
        <v>874</v>
      </c>
      <c r="G2463" s="31" t="s">
        <v>875</v>
      </c>
      <c r="H2463" s="40" t="s">
        <v>876</v>
      </c>
      <c r="I2463" s="40" t="s">
        <v>3210</v>
      </c>
      <c r="J2463" s="40" t="s">
        <v>3211</v>
      </c>
      <c r="K2463" s="40" t="s">
        <v>591</v>
      </c>
      <c r="L2463" s="40" t="s">
        <v>644</v>
      </c>
      <c r="M2463" s="93">
        <v>1</v>
      </c>
      <c r="N2463" s="94">
        <v>30000</v>
      </c>
      <c r="O2463" s="94">
        <f>N2463*M2463</f>
        <v>30000</v>
      </c>
      <c r="P2463" s="40" t="s">
        <v>3116</v>
      </c>
      <c r="Q2463" s="40" t="s">
        <v>1051</v>
      </c>
      <c r="R2463" s="84">
        <v>273230100</v>
      </c>
      <c r="S2463" s="40">
        <v>100</v>
      </c>
    </row>
    <row r="2464" spans="1:19" s="92" customFormat="1" ht="89.25">
      <c r="A2464" s="5">
        <v>2449</v>
      </c>
      <c r="B2464" s="15" t="s">
        <v>710</v>
      </c>
      <c r="C2464" s="40" t="s">
        <v>597</v>
      </c>
      <c r="D2464" s="40" t="s">
        <v>598</v>
      </c>
      <c r="E2464" s="31" t="s">
        <v>599</v>
      </c>
      <c r="F2464" s="31" t="s">
        <v>782</v>
      </c>
      <c r="G2464" s="31" t="s">
        <v>3195</v>
      </c>
      <c r="H2464" s="40" t="s">
        <v>602</v>
      </c>
      <c r="I2464" s="40" t="s">
        <v>3196</v>
      </c>
      <c r="J2464" s="40" t="s">
        <v>3197</v>
      </c>
      <c r="K2464" s="40" t="s">
        <v>591</v>
      </c>
      <c r="L2464" s="11" t="s">
        <v>914</v>
      </c>
      <c r="M2464" s="93">
        <v>1</v>
      </c>
      <c r="N2464" s="94">
        <v>624400</v>
      </c>
      <c r="O2464" s="94">
        <v>624400</v>
      </c>
      <c r="P2464" s="40" t="s">
        <v>502</v>
      </c>
      <c r="Q2464" s="40" t="s">
        <v>766</v>
      </c>
      <c r="R2464" s="84">
        <v>275830000</v>
      </c>
      <c r="S2464" s="40">
        <v>0</v>
      </c>
    </row>
    <row r="2465" spans="1:19" s="92" customFormat="1" ht="89.25">
      <c r="A2465" s="5">
        <v>2450</v>
      </c>
      <c r="B2465" s="15" t="s">
        <v>710</v>
      </c>
      <c r="C2465" s="40" t="s">
        <v>597</v>
      </c>
      <c r="D2465" s="40" t="s">
        <v>598</v>
      </c>
      <c r="E2465" s="31" t="s">
        <v>599</v>
      </c>
      <c r="F2465" s="31" t="s">
        <v>782</v>
      </c>
      <c r="G2465" s="31" t="s">
        <v>3195</v>
      </c>
      <c r="H2465" s="40" t="s">
        <v>602</v>
      </c>
      <c r="I2465" s="40" t="s">
        <v>3196</v>
      </c>
      <c r="J2465" s="40" t="s">
        <v>3197</v>
      </c>
      <c r="K2465" s="40" t="s">
        <v>591</v>
      </c>
      <c r="L2465" s="11" t="s">
        <v>914</v>
      </c>
      <c r="M2465" s="93">
        <v>1</v>
      </c>
      <c r="N2465" s="94">
        <v>624400</v>
      </c>
      <c r="O2465" s="94">
        <v>624400</v>
      </c>
      <c r="P2465" s="40" t="s">
        <v>502</v>
      </c>
      <c r="Q2465" s="40" t="s">
        <v>766</v>
      </c>
      <c r="R2465" s="84">
        <v>275830000</v>
      </c>
      <c r="S2465" s="40">
        <v>0</v>
      </c>
    </row>
    <row r="2466" spans="1:19" s="92" customFormat="1" ht="51">
      <c r="A2466" s="5">
        <v>2451</v>
      </c>
      <c r="B2466" s="15" t="s">
        <v>710</v>
      </c>
      <c r="C2466" s="40" t="s">
        <v>597</v>
      </c>
      <c r="D2466" s="11" t="s">
        <v>850</v>
      </c>
      <c r="E2466" s="76" t="s">
        <v>1736</v>
      </c>
      <c r="F2466" s="76" t="s">
        <v>851</v>
      </c>
      <c r="G2466" s="76" t="s">
        <v>1737</v>
      </c>
      <c r="H2466" s="76" t="s">
        <v>852</v>
      </c>
      <c r="I2466" s="76" t="s">
        <v>3199</v>
      </c>
      <c r="J2466" s="76" t="s">
        <v>3200</v>
      </c>
      <c r="K2466" s="40" t="s">
        <v>591</v>
      </c>
      <c r="L2466" s="11" t="s">
        <v>914</v>
      </c>
      <c r="M2466" s="97">
        <v>1</v>
      </c>
      <c r="N2466" s="94">
        <f>10000*5</f>
        <v>50000</v>
      </c>
      <c r="O2466" s="94">
        <f>N2466</f>
        <v>50000</v>
      </c>
      <c r="P2466" s="40" t="s">
        <v>698</v>
      </c>
      <c r="Q2466" s="40" t="s">
        <v>766</v>
      </c>
      <c r="R2466" s="84">
        <v>275830000</v>
      </c>
      <c r="S2466" s="40">
        <v>0</v>
      </c>
    </row>
    <row r="2467" spans="1:19" s="92" customFormat="1" ht="51">
      <c r="A2467" s="5">
        <v>2452</v>
      </c>
      <c r="B2467" s="15" t="s">
        <v>710</v>
      </c>
      <c r="C2467" s="40" t="s">
        <v>597</v>
      </c>
      <c r="D2467" s="40" t="s">
        <v>2594</v>
      </c>
      <c r="E2467" s="31" t="s">
        <v>2618</v>
      </c>
      <c r="F2467" s="31" t="s">
        <v>2595</v>
      </c>
      <c r="G2467" s="31" t="s">
        <v>2618</v>
      </c>
      <c r="H2467" s="40" t="s">
        <v>2595</v>
      </c>
      <c r="I2467" s="40" t="s">
        <v>3201</v>
      </c>
      <c r="J2467" s="40" t="s">
        <v>3202</v>
      </c>
      <c r="K2467" s="40" t="s">
        <v>591</v>
      </c>
      <c r="L2467" s="11" t="s">
        <v>914</v>
      </c>
      <c r="M2467" s="93">
        <v>1</v>
      </c>
      <c r="N2467" s="94">
        <f>10500*3</f>
        <v>31500</v>
      </c>
      <c r="O2467" s="94">
        <f>N2467</f>
        <v>31500</v>
      </c>
      <c r="P2467" s="40" t="s">
        <v>3116</v>
      </c>
      <c r="Q2467" s="40" t="s">
        <v>766</v>
      </c>
      <c r="R2467" s="84">
        <v>275830000</v>
      </c>
      <c r="S2467" s="40">
        <v>30</v>
      </c>
    </row>
    <row r="2468" spans="1:19" s="92" customFormat="1" ht="89.25">
      <c r="A2468" s="5">
        <v>2453</v>
      </c>
      <c r="B2468" s="15" t="s">
        <v>710</v>
      </c>
      <c r="C2468" s="40" t="s">
        <v>711</v>
      </c>
      <c r="D2468" s="40" t="s">
        <v>976</v>
      </c>
      <c r="E2468" s="31" t="s">
        <v>730</v>
      </c>
      <c r="F2468" s="31" t="s">
        <v>731</v>
      </c>
      <c r="G2468" s="31" t="s">
        <v>977</v>
      </c>
      <c r="H2468" s="40" t="s">
        <v>978</v>
      </c>
      <c r="I2468" s="40" t="s">
        <v>3203</v>
      </c>
      <c r="J2468" s="40" t="s">
        <v>3204</v>
      </c>
      <c r="K2468" s="40" t="s">
        <v>591</v>
      </c>
      <c r="L2468" s="40" t="s">
        <v>644</v>
      </c>
      <c r="M2468" s="93">
        <v>2</v>
      </c>
      <c r="N2468" s="94">
        <v>26800</v>
      </c>
      <c r="O2468" s="94">
        <f>N2468*M2468</f>
        <v>53600</v>
      </c>
      <c r="P2468" s="40" t="s">
        <v>3116</v>
      </c>
      <c r="Q2468" s="40" t="s">
        <v>1051</v>
      </c>
      <c r="R2468" s="84">
        <v>275830000</v>
      </c>
      <c r="S2468" s="40">
        <v>100</v>
      </c>
    </row>
    <row r="2469" spans="1:19" s="92" customFormat="1" ht="63.75">
      <c r="A2469" s="5">
        <v>2454</v>
      </c>
      <c r="B2469" s="15" t="s">
        <v>710</v>
      </c>
      <c r="C2469" s="40" t="s">
        <v>711</v>
      </c>
      <c r="D2469" s="40" t="s">
        <v>744</v>
      </c>
      <c r="E2469" s="31" t="s">
        <v>745</v>
      </c>
      <c r="F2469" s="31" t="s">
        <v>109</v>
      </c>
      <c r="G2469" s="31" t="s">
        <v>746</v>
      </c>
      <c r="H2469" s="40" t="s">
        <v>3205</v>
      </c>
      <c r="I2469" s="40" t="s">
        <v>3206</v>
      </c>
      <c r="J2469" s="40" t="s">
        <v>3207</v>
      </c>
      <c r="K2469" s="40" t="s">
        <v>591</v>
      </c>
      <c r="L2469" s="40" t="s">
        <v>644</v>
      </c>
      <c r="M2469" s="93">
        <v>6</v>
      </c>
      <c r="N2469" s="94">
        <v>4000</v>
      </c>
      <c r="O2469" s="94">
        <f>M2469*N2469</f>
        <v>24000</v>
      </c>
      <c r="P2469" s="40" t="s">
        <v>3116</v>
      </c>
      <c r="Q2469" s="40" t="s">
        <v>1051</v>
      </c>
      <c r="R2469" s="84">
        <v>275830000</v>
      </c>
      <c r="S2469" s="40">
        <v>100</v>
      </c>
    </row>
    <row r="2470" spans="1:19" s="92" customFormat="1" ht="51">
      <c r="A2470" s="5">
        <v>2455</v>
      </c>
      <c r="B2470" s="15" t="s">
        <v>710</v>
      </c>
      <c r="C2470" s="40" t="s">
        <v>711</v>
      </c>
      <c r="D2470" s="98" t="s">
        <v>422</v>
      </c>
      <c r="E2470" s="76" t="s">
        <v>423</v>
      </c>
      <c r="F2470" s="76" t="s">
        <v>427</v>
      </c>
      <c r="G2470" s="76" t="s">
        <v>837</v>
      </c>
      <c r="H2470" s="76" t="s">
        <v>425</v>
      </c>
      <c r="I2470" s="76" t="s">
        <v>3208</v>
      </c>
      <c r="J2470" s="76" t="s">
        <v>3209</v>
      </c>
      <c r="K2470" s="76" t="s">
        <v>591</v>
      </c>
      <c r="L2470" s="11" t="s">
        <v>909</v>
      </c>
      <c r="M2470" s="53">
        <v>18</v>
      </c>
      <c r="N2470" s="94">
        <v>640</v>
      </c>
      <c r="O2470" s="94">
        <f>N2470*M2470</f>
        <v>11520</v>
      </c>
      <c r="P2470" s="40" t="s">
        <v>3116</v>
      </c>
      <c r="Q2470" s="40" t="s">
        <v>766</v>
      </c>
      <c r="R2470" s="84">
        <v>275830000</v>
      </c>
      <c r="S2470" s="40">
        <v>100</v>
      </c>
    </row>
    <row r="2471" spans="1:19" s="92" customFormat="1" ht="76.5">
      <c r="A2471" s="5">
        <v>2456</v>
      </c>
      <c r="B2471" s="15" t="s">
        <v>710</v>
      </c>
      <c r="C2471" s="40" t="s">
        <v>711</v>
      </c>
      <c r="D2471" s="40" t="s">
        <v>723</v>
      </c>
      <c r="E2471" s="31" t="s">
        <v>874</v>
      </c>
      <c r="F2471" s="31" t="s">
        <v>874</v>
      </c>
      <c r="G2471" s="31" t="s">
        <v>875</v>
      </c>
      <c r="H2471" s="40" t="s">
        <v>876</v>
      </c>
      <c r="I2471" s="40" t="s">
        <v>3210</v>
      </c>
      <c r="J2471" s="40" t="s">
        <v>3211</v>
      </c>
      <c r="K2471" s="40" t="s">
        <v>591</v>
      </c>
      <c r="L2471" s="40" t="s">
        <v>644</v>
      </c>
      <c r="M2471" s="93">
        <v>1</v>
      </c>
      <c r="N2471" s="94">
        <v>30000</v>
      </c>
      <c r="O2471" s="94">
        <f>N2471*M2471</f>
        <v>30000</v>
      </c>
      <c r="P2471" s="40" t="s">
        <v>3116</v>
      </c>
      <c r="Q2471" s="40" t="s">
        <v>1051</v>
      </c>
      <c r="R2471" s="84">
        <v>275830000</v>
      </c>
      <c r="S2471" s="40">
        <v>100</v>
      </c>
    </row>
    <row r="2472" spans="1:19" s="92" customFormat="1" ht="89.25">
      <c r="A2472" s="5">
        <v>2457</v>
      </c>
      <c r="B2472" s="15" t="s">
        <v>710</v>
      </c>
      <c r="C2472" s="40" t="s">
        <v>597</v>
      </c>
      <c r="D2472" s="40" t="s">
        <v>598</v>
      </c>
      <c r="E2472" s="31" t="s">
        <v>599</v>
      </c>
      <c r="F2472" s="31" t="s">
        <v>782</v>
      </c>
      <c r="G2472" s="31" t="s">
        <v>3195</v>
      </c>
      <c r="H2472" s="40" t="s">
        <v>602</v>
      </c>
      <c r="I2472" s="40" t="s">
        <v>3196</v>
      </c>
      <c r="J2472" s="40" t="s">
        <v>3197</v>
      </c>
      <c r="K2472" s="40" t="s">
        <v>591</v>
      </c>
      <c r="L2472" s="11" t="s">
        <v>914</v>
      </c>
      <c r="M2472" s="93">
        <v>1</v>
      </c>
      <c r="N2472" s="94">
        <v>624400</v>
      </c>
      <c r="O2472" s="94">
        <v>624400</v>
      </c>
      <c r="P2472" s="40" t="s">
        <v>502</v>
      </c>
      <c r="Q2472" s="40" t="s">
        <v>766</v>
      </c>
      <c r="R2472" s="84">
        <v>275030100</v>
      </c>
      <c r="S2472" s="40">
        <v>0</v>
      </c>
    </row>
    <row r="2473" spans="1:19" s="92" customFormat="1" ht="89.25">
      <c r="A2473" s="5">
        <v>2458</v>
      </c>
      <c r="B2473" s="15" t="s">
        <v>710</v>
      </c>
      <c r="C2473" s="40" t="s">
        <v>597</v>
      </c>
      <c r="D2473" s="40" t="s">
        <v>598</v>
      </c>
      <c r="E2473" s="31" t="s">
        <v>599</v>
      </c>
      <c r="F2473" s="31" t="s">
        <v>782</v>
      </c>
      <c r="G2473" s="31" t="s">
        <v>3195</v>
      </c>
      <c r="H2473" s="40" t="s">
        <v>602</v>
      </c>
      <c r="I2473" s="40" t="s">
        <v>3196</v>
      </c>
      <c r="J2473" s="40" t="s">
        <v>3197</v>
      </c>
      <c r="K2473" s="40" t="s">
        <v>591</v>
      </c>
      <c r="L2473" s="11" t="s">
        <v>914</v>
      </c>
      <c r="M2473" s="93">
        <v>1</v>
      </c>
      <c r="N2473" s="94">
        <v>624400</v>
      </c>
      <c r="O2473" s="94">
        <v>624400</v>
      </c>
      <c r="P2473" s="40" t="s">
        <v>502</v>
      </c>
      <c r="Q2473" s="40" t="s">
        <v>766</v>
      </c>
      <c r="R2473" s="84">
        <v>275030100</v>
      </c>
      <c r="S2473" s="40">
        <v>0</v>
      </c>
    </row>
    <row r="2474" spans="1:19" s="92" customFormat="1" ht="51">
      <c r="A2474" s="5">
        <v>2459</v>
      </c>
      <c r="B2474" s="15" t="s">
        <v>710</v>
      </c>
      <c r="C2474" s="40" t="s">
        <v>597</v>
      </c>
      <c r="D2474" s="11" t="s">
        <v>850</v>
      </c>
      <c r="E2474" s="76" t="s">
        <v>1736</v>
      </c>
      <c r="F2474" s="76" t="s">
        <v>851</v>
      </c>
      <c r="G2474" s="76" t="s">
        <v>1737</v>
      </c>
      <c r="H2474" s="76" t="s">
        <v>852</v>
      </c>
      <c r="I2474" s="76" t="s">
        <v>3199</v>
      </c>
      <c r="J2474" s="76" t="s">
        <v>3200</v>
      </c>
      <c r="K2474" s="40" t="s">
        <v>591</v>
      </c>
      <c r="L2474" s="11" t="s">
        <v>914</v>
      </c>
      <c r="M2474" s="97">
        <v>1</v>
      </c>
      <c r="N2474" s="94">
        <f>10000*5</f>
        <v>50000</v>
      </c>
      <c r="O2474" s="94">
        <f>N2474</f>
        <v>50000</v>
      </c>
      <c r="P2474" s="40" t="s">
        <v>698</v>
      </c>
      <c r="Q2474" s="40" t="s">
        <v>766</v>
      </c>
      <c r="R2474" s="84">
        <v>275030100</v>
      </c>
      <c r="S2474" s="40">
        <v>0</v>
      </c>
    </row>
    <row r="2475" spans="1:19" s="92" customFormat="1" ht="51">
      <c r="A2475" s="5">
        <v>2460</v>
      </c>
      <c r="B2475" s="15" t="s">
        <v>710</v>
      </c>
      <c r="C2475" s="40" t="s">
        <v>597</v>
      </c>
      <c r="D2475" s="40" t="s">
        <v>2594</v>
      </c>
      <c r="E2475" s="31" t="s">
        <v>2618</v>
      </c>
      <c r="F2475" s="31" t="s">
        <v>2595</v>
      </c>
      <c r="G2475" s="31" t="s">
        <v>2618</v>
      </c>
      <c r="H2475" s="40" t="s">
        <v>2595</v>
      </c>
      <c r="I2475" s="40" t="s">
        <v>3201</v>
      </c>
      <c r="J2475" s="40" t="s">
        <v>3202</v>
      </c>
      <c r="K2475" s="40" t="s">
        <v>591</v>
      </c>
      <c r="L2475" s="11" t="s">
        <v>914</v>
      </c>
      <c r="M2475" s="93">
        <v>1</v>
      </c>
      <c r="N2475" s="94">
        <f>10500*3</f>
        <v>31500</v>
      </c>
      <c r="O2475" s="94">
        <f>N2475</f>
        <v>31500</v>
      </c>
      <c r="P2475" s="40" t="s">
        <v>3116</v>
      </c>
      <c r="Q2475" s="40" t="s">
        <v>766</v>
      </c>
      <c r="R2475" s="84">
        <v>275030100</v>
      </c>
      <c r="S2475" s="40">
        <v>30</v>
      </c>
    </row>
    <row r="2476" spans="1:19" s="92" customFormat="1" ht="89.25">
      <c r="A2476" s="5">
        <v>2461</v>
      </c>
      <c r="B2476" s="15" t="s">
        <v>710</v>
      </c>
      <c r="C2476" s="40" t="s">
        <v>711</v>
      </c>
      <c r="D2476" s="40" t="s">
        <v>976</v>
      </c>
      <c r="E2476" s="31" t="s">
        <v>730</v>
      </c>
      <c r="F2476" s="31" t="s">
        <v>731</v>
      </c>
      <c r="G2476" s="31" t="s">
        <v>977</v>
      </c>
      <c r="H2476" s="40" t="s">
        <v>978</v>
      </c>
      <c r="I2476" s="40" t="s">
        <v>3203</v>
      </c>
      <c r="J2476" s="40" t="s">
        <v>3204</v>
      </c>
      <c r="K2476" s="40" t="s">
        <v>591</v>
      </c>
      <c r="L2476" s="40" t="s">
        <v>644</v>
      </c>
      <c r="M2476" s="93">
        <v>2</v>
      </c>
      <c r="N2476" s="94">
        <v>26800</v>
      </c>
      <c r="O2476" s="94">
        <f>N2476*M2476</f>
        <v>53600</v>
      </c>
      <c r="P2476" s="40" t="s">
        <v>3116</v>
      </c>
      <c r="Q2476" s="40" t="s">
        <v>1051</v>
      </c>
      <c r="R2476" s="84">
        <v>275030100</v>
      </c>
      <c r="S2476" s="40">
        <v>100</v>
      </c>
    </row>
    <row r="2477" spans="1:19" s="92" customFormat="1" ht="63.75">
      <c r="A2477" s="5">
        <v>2462</v>
      </c>
      <c r="B2477" s="15" t="s">
        <v>710</v>
      </c>
      <c r="C2477" s="40" t="s">
        <v>711</v>
      </c>
      <c r="D2477" s="40" t="s">
        <v>744</v>
      </c>
      <c r="E2477" s="31" t="s">
        <v>745</v>
      </c>
      <c r="F2477" s="31" t="s">
        <v>109</v>
      </c>
      <c r="G2477" s="31" t="s">
        <v>746</v>
      </c>
      <c r="H2477" s="40" t="s">
        <v>3205</v>
      </c>
      <c r="I2477" s="40" t="s">
        <v>3206</v>
      </c>
      <c r="J2477" s="40" t="s">
        <v>3207</v>
      </c>
      <c r="K2477" s="40" t="s">
        <v>591</v>
      </c>
      <c r="L2477" s="40" t="s">
        <v>644</v>
      </c>
      <c r="M2477" s="93">
        <v>6</v>
      </c>
      <c r="N2477" s="94">
        <v>4000</v>
      </c>
      <c r="O2477" s="94">
        <f>M2477*N2477</f>
        <v>24000</v>
      </c>
      <c r="P2477" s="40" t="s">
        <v>3116</v>
      </c>
      <c r="Q2477" s="40" t="s">
        <v>1051</v>
      </c>
      <c r="R2477" s="84">
        <v>275030100</v>
      </c>
      <c r="S2477" s="40">
        <v>100</v>
      </c>
    </row>
    <row r="2478" spans="1:19" s="92" customFormat="1" ht="51">
      <c r="A2478" s="5">
        <v>2463</v>
      </c>
      <c r="B2478" s="15" t="s">
        <v>710</v>
      </c>
      <c r="C2478" s="40" t="s">
        <v>711</v>
      </c>
      <c r="D2478" s="98" t="s">
        <v>422</v>
      </c>
      <c r="E2478" s="76" t="s">
        <v>423</v>
      </c>
      <c r="F2478" s="76" t="s">
        <v>427</v>
      </c>
      <c r="G2478" s="76" t="s">
        <v>837</v>
      </c>
      <c r="H2478" s="76" t="s">
        <v>425</v>
      </c>
      <c r="I2478" s="76" t="s">
        <v>3208</v>
      </c>
      <c r="J2478" s="76" t="s">
        <v>3209</v>
      </c>
      <c r="K2478" s="76" t="s">
        <v>591</v>
      </c>
      <c r="L2478" s="11" t="s">
        <v>909</v>
      </c>
      <c r="M2478" s="53">
        <v>18</v>
      </c>
      <c r="N2478" s="94">
        <v>640</v>
      </c>
      <c r="O2478" s="94">
        <f>N2478*M2478</f>
        <v>11520</v>
      </c>
      <c r="P2478" s="40" t="s">
        <v>3116</v>
      </c>
      <c r="Q2478" s="40" t="s">
        <v>766</v>
      </c>
      <c r="R2478" s="84">
        <v>275030100</v>
      </c>
      <c r="S2478" s="40">
        <v>100</v>
      </c>
    </row>
    <row r="2479" spans="1:19" s="92" customFormat="1" ht="76.5">
      <c r="A2479" s="5">
        <v>2464</v>
      </c>
      <c r="B2479" s="15" t="s">
        <v>710</v>
      </c>
      <c r="C2479" s="40" t="s">
        <v>711</v>
      </c>
      <c r="D2479" s="40" t="s">
        <v>723</v>
      </c>
      <c r="E2479" s="31" t="s">
        <v>874</v>
      </c>
      <c r="F2479" s="31" t="s">
        <v>874</v>
      </c>
      <c r="G2479" s="31" t="s">
        <v>875</v>
      </c>
      <c r="H2479" s="40" t="s">
        <v>876</v>
      </c>
      <c r="I2479" s="40" t="s">
        <v>3210</v>
      </c>
      <c r="J2479" s="40" t="s">
        <v>3211</v>
      </c>
      <c r="K2479" s="40" t="s">
        <v>591</v>
      </c>
      <c r="L2479" s="40" t="s">
        <v>644</v>
      </c>
      <c r="M2479" s="93">
        <v>1</v>
      </c>
      <c r="N2479" s="94">
        <v>30000</v>
      </c>
      <c r="O2479" s="94">
        <f>N2479*M2479</f>
        <v>30000</v>
      </c>
      <c r="P2479" s="40" t="s">
        <v>3116</v>
      </c>
      <c r="Q2479" s="40" t="s">
        <v>1051</v>
      </c>
      <c r="R2479" s="84">
        <v>275030100</v>
      </c>
      <c r="S2479" s="40">
        <v>100</v>
      </c>
    </row>
    <row r="2480" spans="1:19" s="92" customFormat="1" ht="89.25">
      <c r="A2480" s="5">
        <v>2465</v>
      </c>
      <c r="B2480" s="15" t="s">
        <v>710</v>
      </c>
      <c r="C2480" s="40" t="s">
        <v>597</v>
      </c>
      <c r="D2480" s="40" t="s">
        <v>598</v>
      </c>
      <c r="E2480" s="31" t="s">
        <v>599</v>
      </c>
      <c r="F2480" s="31" t="s">
        <v>782</v>
      </c>
      <c r="G2480" s="31" t="s">
        <v>3195</v>
      </c>
      <c r="H2480" s="40" t="s">
        <v>602</v>
      </c>
      <c r="I2480" s="40" t="s">
        <v>3196</v>
      </c>
      <c r="J2480" s="40" t="s">
        <v>3197</v>
      </c>
      <c r="K2480" s="40" t="s">
        <v>591</v>
      </c>
      <c r="L2480" s="11" t="s">
        <v>914</v>
      </c>
      <c r="M2480" s="93">
        <v>1</v>
      </c>
      <c r="N2480" s="94">
        <v>624400</v>
      </c>
      <c r="O2480" s="94">
        <v>624400</v>
      </c>
      <c r="P2480" s="40" t="s">
        <v>502</v>
      </c>
      <c r="Q2480" s="40" t="s">
        <v>766</v>
      </c>
      <c r="R2480" s="84">
        <v>274035416</v>
      </c>
      <c r="S2480" s="40">
        <v>0</v>
      </c>
    </row>
    <row r="2481" spans="1:19" s="92" customFormat="1" ht="89.25">
      <c r="A2481" s="5">
        <v>2466</v>
      </c>
      <c r="B2481" s="15" t="s">
        <v>710</v>
      </c>
      <c r="C2481" s="40" t="s">
        <v>597</v>
      </c>
      <c r="D2481" s="40" t="s">
        <v>598</v>
      </c>
      <c r="E2481" s="31" t="s">
        <v>599</v>
      </c>
      <c r="F2481" s="31" t="s">
        <v>782</v>
      </c>
      <c r="G2481" s="31" t="s">
        <v>3195</v>
      </c>
      <c r="H2481" s="40" t="s">
        <v>602</v>
      </c>
      <c r="I2481" s="40" t="s">
        <v>3196</v>
      </c>
      <c r="J2481" s="40" t="s">
        <v>3197</v>
      </c>
      <c r="K2481" s="40" t="s">
        <v>591</v>
      </c>
      <c r="L2481" s="11" t="s">
        <v>914</v>
      </c>
      <c r="M2481" s="93">
        <v>1</v>
      </c>
      <c r="N2481" s="94">
        <v>624400</v>
      </c>
      <c r="O2481" s="94">
        <v>624400</v>
      </c>
      <c r="P2481" s="40" t="s">
        <v>502</v>
      </c>
      <c r="Q2481" s="40" t="s">
        <v>766</v>
      </c>
      <c r="R2481" s="84">
        <v>274035416</v>
      </c>
      <c r="S2481" s="40">
        <v>0</v>
      </c>
    </row>
    <row r="2482" spans="1:19" s="92" customFormat="1" ht="51">
      <c r="A2482" s="5">
        <v>2467</v>
      </c>
      <c r="B2482" s="15" t="s">
        <v>710</v>
      </c>
      <c r="C2482" s="40" t="s">
        <v>597</v>
      </c>
      <c r="D2482" s="11" t="s">
        <v>850</v>
      </c>
      <c r="E2482" s="76" t="s">
        <v>1736</v>
      </c>
      <c r="F2482" s="76" t="s">
        <v>851</v>
      </c>
      <c r="G2482" s="76" t="s">
        <v>1737</v>
      </c>
      <c r="H2482" s="76" t="s">
        <v>852</v>
      </c>
      <c r="I2482" s="76" t="s">
        <v>3199</v>
      </c>
      <c r="J2482" s="76" t="s">
        <v>3200</v>
      </c>
      <c r="K2482" s="40" t="s">
        <v>591</v>
      </c>
      <c r="L2482" s="11" t="s">
        <v>914</v>
      </c>
      <c r="M2482" s="97">
        <v>1</v>
      </c>
      <c r="N2482" s="94">
        <f>10000*5</f>
        <v>50000</v>
      </c>
      <c r="O2482" s="94">
        <f>N2482</f>
        <v>50000</v>
      </c>
      <c r="P2482" s="40" t="s">
        <v>698</v>
      </c>
      <c r="Q2482" s="40" t="s">
        <v>766</v>
      </c>
      <c r="R2482" s="84">
        <v>274035416</v>
      </c>
      <c r="S2482" s="40">
        <v>0</v>
      </c>
    </row>
    <row r="2483" spans="1:19" s="92" customFormat="1" ht="51">
      <c r="A2483" s="5">
        <v>2468</v>
      </c>
      <c r="B2483" s="15" t="s">
        <v>710</v>
      </c>
      <c r="C2483" s="40" t="s">
        <v>597</v>
      </c>
      <c r="D2483" s="40" t="s">
        <v>2594</v>
      </c>
      <c r="E2483" s="31" t="s">
        <v>2618</v>
      </c>
      <c r="F2483" s="31" t="s">
        <v>2595</v>
      </c>
      <c r="G2483" s="31" t="s">
        <v>2618</v>
      </c>
      <c r="H2483" s="40" t="s">
        <v>2595</v>
      </c>
      <c r="I2483" s="40" t="s">
        <v>3201</v>
      </c>
      <c r="J2483" s="40" t="s">
        <v>3202</v>
      </c>
      <c r="K2483" s="40" t="s">
        <v>591</v>
      </c>
      <c r="L2483" s="11" t="s">
        <v>914</v>
      </c>
      <c r="M2483" s="93">
        <v>1</v>
      </c>
      <c r="N2483" s="94">
        <f>10500*3</f>
        <v>31500</v>
      </c>
      <c r="O2483" s="94">
        <f>N2483</f>
        <v>31500</v>
      </c>
      <c r="P2483" s="40" t="s">
        <v>3116</v>
      </c>
      <c r="Q2483" s="40" t="s">
        <v>766</v>
      </c>
      <c r="R2483" s="84">
        <v>274035416</v>
      </c>
      <c r="S2483" s="40">
        <v>30</v>
      </c>
    </row>
    <row r="2484" spans="1:19" s="92" customFormat="1" ht="89.25">
      <c r="A2484" s="5">
        <v>2469</v>
      </c>
      <c r="B2484" s="15" t="s">
        <v>710</v>
      </c>
      <c r="C2484" s="40" t="s">
        <v>711</v>
      </c>
      <c r="D2484" s="40" t="s">
        <v>976</v>
      </c>
      <c r="E2484" s="31" t="s">
        <v>730</v>
      </c>
      <c r="F2484" s="31" t="s">
        <v>731</v>
      </c>
      <c r="G2484" s="31" t="s">
        <v>977</v>
      </c>
      <c r="H2484" s="40" t="s">
        <v>978</v>
      </c>
      <c r="I2484" s="40" t="s">
        <v>3203</v>
      </c>
      <c r="J2484" s="40" t="s">
        <v>3204</v>
      </c>
      <c r="K2484" s="40" t="s">
        <v>591</v>
      </c>
      <c r="L2484" s="40" t="s">
        <v>644</v>
      </c>
      <c r="M2484" s="93">
        <v>2</v>
      </c>
      <c r="N2484" s="94">
        <v>26800</v>
      </c>
      <c r="O2484" s="94">
        <f>N2484*M2484</f>
        <v>53600</v>
      </c>
      <c r="P2484" s="40" t="s">
        <v>3116</v>
      </c>
      <c r="Q2484" s="40" t="s">
        <v>1051</v>
      </c>
      <c r="R2484" s="84">
        <v>274035416</v>
      </c>
      <c r="S2484" s="40">
        <v>100</v>
      </c>
    </row>
    <row r="2485" spans="1:19" s="92" customFormat="1" ht="63.75">
      <c r="A2485" s="5">
        <v>2470</v>
      </c>
      <c r="B2485" s="15" t="s">
        <v>710</v>
      </c>
      <c r="C2485" s="40" t="s">
        <v>711</v>
      </c>
      <c r="D2485" s="40" t="s">
        <v>744</v>
      </c>
      <c r="E2485" s="31" t="s">
        <v>745</v>
      </c>
      <c r="F2485" s="31" t="s">
        <v>109</v>
      </c>
      <c r="G2485" s="31" t="s">
        <v>746</v>
      </c>
      <c r="H2485" s="40" t="s">
        <v>3205</v>
      </c>
      <c r="I2485" s="40" t="s">
        <v>3206</v>
      </c>
      <c r="J2485" s="40" t="s">
        <v>3207</v>
      </c>
      <c r="K2485" s="40" t="s">
        <v>591</v>
      </c>
      <c r="L2485" s="40" t="s">
        <v>644</v>
      </c>
      <c r="M2485" s="93">
        <v>6</v>
      </c>
      <c r="N2485" s="94">
        <v>4000</v>
      </c>
      <c r="O2485" s="94">
        <f>M2485*N2485</f>
        <v>24000</v>
      </c>
      <c r="P2485" s="40" t="s">
        <v>3116</v>
      </c>
      <c r="Q2485" s="40" t="s">
        <v>1051</v>
      </c>
      <c r="R2485" s="84">
        <v>274035416</v>
      </c>
      <c r="S2485" s="40">
        <v>100</v>
      </c>
    </row>
    <row r="2486" spans="1:19" s="92" customFormat="1" ht="51">
      <c r="A2486" s="5">
        <v>2471</v>
      </c>
      <c r="B2486" s="15" t="s">
        <v>710</v>
      </c>
      <c r="C2486" s="40" t="s">
        <v>711</v>
      </c>
      <c r="D2486" s="98" t="s">
        <v>422</v>
      </c>
      <c r="E2486" s="76" t="s">
        <v>423</v>
      </c>
      <c r="F2486" s="76" t="s">
        <v>427</v>
      </c>
      <c r="G2486" s="76" t="s">
        <v>837</v>
      </c>
      <c r="H2486" s="76" t="s">
        <v>425</v>
      </c>
      <c r="I2486" s="76" t="s">
        <v>3208</v>
      </c>
      <c r="J2486" s="76" t="s">
        <v>3209</v>
      </c>
      <c r="K2486" s="76" t="s">
        <v>591</v>
      </c>
      <c r="L2486" s="11" t="s">
        <v>909</v>
      </c>
      <c r="M2486" s="53">
        <v>18</v>
      </c>
      <c r="N2486" s="94">
        <v>640</v>
      </c>
      <c r="O2486" s="94">
        <f>N2486*M2486</f>
        <v>11520</v>
      </c>
      <c r="P2486" s="40" t="s">
        <v>3116</v>
      </c>
      <c r="Q2486" s="40" t="s">
        <v>766</v>
      </c>
      <c r="R2486" s="84">
        <v>274035416</v>
      </c>
      <c r="S2486" s="40">
        <v>100</v>
      </c>
    </row>
    <row r="2487" spans="1:19" s="92" customFormat="1" ht="76.5">
      <c r="A2487" s="5">
        <v>2472</v>
      </c>
      <c r="B2487" s="15" t="s">
        <v>710</v>
      </c>
      <c r="C2487" s="40" t="s">
        <v>711</v>
      </c>
      <c r="D2487" s="40" t="s">
        <v>723</v>
      </c>
      <c r="E2487" s="31" t="s">
        <v>874</v>
      </c>
      <c r="F2487" s="31" t="s">
        <v>874</v>
      </c>
      <c r="G2487" s="31" t="s">
        <v>875</v>
      </c>
      <c r="H2487" s="40" t="s">
        <v>876</v>
      </c>
      <c r="I2487" s="40" t="s">
        <v>3210</v>
      </c>
      <c r="J2487" s="40" t="s">
        <v>3211</v>
      </c>
      <c r="K2487" s="40" t="s">
        <v>591</v>
      </c>
      <c r="L2487" s="40" t="s">
        <v>644</v>
      </c>
      <c r="M2487" s="93">
        <v>1</v>
      </c>
      <c r="N2487" s="94">
        <v>30000</v>
      </c>
      <c r="O2487" s="94">
        <f>N2487*M2487</f>
        <v>30000</v>
      </c>
      <c r="P2487" s="40" t="s">
        <v>3116</v>
      </c>
      <c r="Q2487" s="40" t="s">
        <v>1051</v>
      </c>
      <c r="R2487" s="84">
        <v>274035416</v>
      </c>
      <c r="S2487" s="40">
        <v>100</v>
      </c>
    </row>
    <row r="2488" spans="1:19" s="92" customFormat="1" ht="89.25">
      <c r="A2488" s="5">
        <v>2473</v>
      </c>
      <c r="B2488" s="15" t="s">
        <v>710</v>
      </c>
      <c r="C2488" s="40" t="s">
        <v>597</v>
      </c>
      <c r="D2488" s="40" t="s">
        <v>598</v>
      </c>
      <c r="E2488" s="31" t="s">
        <v>599</v>
      </c>
      <c r="F2488" s="31" t="s">
        <v>782</v>
      </c>
      <c r="G2488" s="31" t="s">
        <v>3195</v>
      </c>
      <c r="H2488" s="40" t="s">
        <v>602</v>
      </c>
      <c r="I2488" s="40" t="s">
        <v>3196</v>
      </c>
      <c r="J2488" s="40" t="s">
        <v>3197</v>
      </c>
      <c r="K2488" s="40" t="s">
        <v>591</v>
      </c>
      <c r="L2488" s="11" t="s">
        <v>914</v>
      </c>
      <c r="M2488" s="93">
        <v>1</v>
      </c>
      <c r="N2488" s="94">
        <v>624400</v>
      </c>
      <c r="O2488" s="94">
        <v>624400</v>
      </c>
      <c r="P2488" s="40" t="s">
        <v>502</v>
      </c>
      <c r="Q2488" s="40" t="s">
        <v>766</v>
      </c>
      <c r="R2488" s="84">
        <v>274030100</v>
      </c>
      <c r="S2488" s="40">
        <v>0</v>
      </c>
    </row>
    <row r="2489" spans="1:19" s="92" customFormat="1" ht="89.25">
      <c r="A2489" s="5">
        <v>2474</v>
      </c>
      <c r="B2489" s="15" t="s">
        <v>710</v>
      </c>
      <c r="C2489" s="40" t="s">
        <v>597</v>
      </c>
      <c r="D2489" s="40" t="s">
        <v>598</v>
      </c>
      <c r="E2489" s="31" t="s">
        <v>599</v>
      </c>
      <c r="F2489" s="31" t="s">
        <v>782</v>
      </c>
      <c r="G2489" s="31" t="s">
        <v>3195</v>
      </c>
      <c r="H2489" s="40" t="s">
        <v>602</v>
      </c>
      <c r="I2489" s="40" t="s">
        <v>3196</v>
      </c>
      <c r="J2489" s="40" t="s">
        <v>3197</v>
      </c>
      <c r="K2489" s="40" t="s">
        <v>591</v>
      </c>
      <c r="L2489" s="11" t="s">
        <v>914</v>
      </c>
      <c r="M2489" s="93">
        <v>1</v>
      </c>
      <c r="N2489" s="94">
        <v>624400</v>
      </c>
      <c r="O2489" s="94">
        <v>624400</v>
      </c>
      <c r="P2489" s="40" t="s">
        <v>502</v>
      </c>
      <c r="Q2489" s="40" t="s">
        <v>766</v>
      </c>
      <c r="R2489" s="84">
        <v>274030100</v>
      </c>
      <c r="S2489" s="40">
        <v>0</v>
      </c>
    </row>
    <row r="2490" spans="1:19" s="92" customFormat="1" ht="51">
      <c r="A2490" s="5">
        <v>2475</v>
      </c>
      <c r="B2490" s="15" t="s">
        <v>710</v>
      </c>
      <c r="C2490" s="40" t="s">
        <v>597</v>
      </c>
      <c r="D2490" s="11" t="s">
        <v>850</v>
      </c>
      <c r="E2490" s="76" t="s">
        <v>1736</v>
      </c>
      <c r="F2490" s="76" t="s">
        <v>851</v>
      </c>
      <c r="G2490" s="76" t="s">
        <v>1737</v>
      </c>
      <c r="H2490" s="76" t="s">
        <v>852</v>
      </c>
      <c r="I2490" s="76" t="s">
        <v>3199</v>
      </c>
      <c r="J2490" s="76" t="s">
        <v>3200</v>
      </c>
      <c r="K2490" s="40" t="s">
        <v>591</v>
      </c>
      <c r="L2490" s="11" t="s">
        <v>914</v>
      </c>
      <c r="M2490" s="97">
        <v>1</v>
      </c>
      <c r="N2490" s="94">
        <f>10000*5</f>
        <v>50000</v>
      </c>
      <c r="O2490" s="94">
        <f>N2490</f>
        <v>50000</v>
      </c>
      <c r="P2490" s="40" t="s">
        <v>698</v>
      </c>
      <c r="Q2490" s="40" t="s">
        <v>766</v>
      </c>
      <c r="R2490" s="84">
        <v>274030100</v>
      </c>
      <c r="S2490" s="40">
        <v>0</v>
      </c>
    </row>
    <row r="2491" spans="1:19" s="92" customFormat="1" ht="51">
      <c r="A2491" s="5">
        <v>2476</v>
      </c>
      <c r="B2491" s="15" t="s">
        <v>710</v>
      </c>
      <c r="C2491" s="40" t="s">
        <v>597</v>
      </c>
      <c r="D2491" s="40" t="s">
        <v>2594</v>
      </c>
      <c r="E2491" s="31" t="s">
        <v>2618</v>
      </c>
      <c r="F2491" s="31" t="s">
        <v>2595</v>
      </c>
      <c r="G2491" s="31" t="s">
        <v>2618</v>
      </c>
      <c r="H2491" s="40" t="s">
        <v>2595</v>
      </c>
      <c r="I2491" s="40" t="s">
        <v>3201</v>
      </c>
      <c r="J2491" s="40" t="s">
        <v>3202</v>
      </c>
      <c r="K2491" s="40" t="s">
        <v>591</v>
      </c>
      <c r="L2491" s="11" t="s">
        <v>914</v>
      </c>
      <c r="M2491" s="93">
        <v>1</v>
      </c>
      <c r="N2491" s="94">
        <f>10500*3</f>
        <v>31500</v>
      </c>
      <c r="O2491" s="94">
        <f>N2491</f>
        <v>31500</v>
      </c>
      <c r="P2491" s="40" t="s">
        <v>3116</v>
      </c>
      <c r="Q2491" s="40" t="s">
        <v>766</v>
      </c>
      <c r="R2491" s="84">
        <v>274030100</v>
      </c>
      <c r="S2491" s="40">
        <v>30</v>
      </c>
    </row>
    <row r="2492" spans="1:19" s="92" customFormat="1" ht="89.25">
      <c r="A2492" s="5">
        <v>2477</v>
      </c>
      <c r="B2492" s="15" t="s">
        <v>710</v>
      </c>
      <c r="C2492" s="40" t="s">
        <v>711</v>
      </c>
      <c r="D2492" s="40" t="s">
        <v>976</v>
      </c>
      <c r="E2492" s="31" t="s">
        <v>730</v>
      </c>
      <c r="F2492" s="31" t="s">
        <v>731</v>
      </c>
      <c r="G2492" s="31" t="s">
        <v>977</v>
      </c>
      <c r="H2492" s="40" t="s">
        <v>978</v>
      </c>
      <c r="I2492" s="40" t="s">
        <v>3203</v>
      </c>
      <c r="J2492" s="40" t="s">
        <v>3204</v>
      </c>
      <c r="K2492" s="40" t="s">
        <v>591</v>
      </c>
      <c r="L2492" s="40" t="s">
        <v>644</v>
      </c>
      <c r="M2492" s="93">
        <v>2</v>
      </c>
      <c r="N2492" s="94">
        <v>26800</v>
      </c>
      <c r="O2492" s="94">
        <f>N2492*M2492</f>
        <v>53600</v>
      </c>
      <c r="P2492" s="40" t="s">
        <v>3116</v>
      </c>
      <c r="Q2492" s="40" t="s">
        <v>1051</v>
      </c>
      <c r="R2492" s="84">
        <v>274030100</v>
      </c>
      <c r="S2492" s="40">
        <v>100</v>
      </c>
    </row>
    <row r="2493" spans="1:19" s="92" customFormat="1" ht="63.75">
      <c r="A2493" s="5">
        <v>2478</v>
      </c>
      <c r="B2493" s="15" t="s">
        <v>710</v>
      </c>
      <c r="C2493" s="40" t="s">
        <v>711</v>
      </c>
      <c r="D2493" s="40" t="s">
        <v>744</v>
      </c>
      <c r="E2493" s="31" t="s">
        <v>745</v>
      </c>
      <c r="F2493" s="31" t="s">
        <v>109</v>
      </c>
      <c r="G2493" s="31" t="s">
        <v>746</v>
      </c>
      <c r="H2493" s="40" t="s">
        <v>3205</v>
      </c>
      <c r="I2493" s="40" t="s">
        <v>3206</v>
      </c>
      <c r="J2493" s="40" t="s">
        <v>3207</v>
      </c>
      <c r="K2493" s="40" t="s">
        <v>591</v>
      </c>
      <c r="L2493" s="40" t="s">
        <v>644</v>
      </c>
      <c r="M2493" s="93">
        <v>6</v>
      </c>
      <c r="N2493" s="94">
        <v>4000</v>
      </c>
      <c r="O2493" s="94">
        <f>M2493*N2493</f>
        <v>24000</v>
      </c>
      <c r="P2493" s="40" t="s">
        <v>3116</v>
      </c>
      <c r="Q2493" s="40" t="s">
        <v>1051</v>
      </c>
      <c r="R2493" s="84">
        <v>274030100</v>
      </c>
      <c r="S2493" s="40">
        <v>100</v>
      </c>
    </row>
    <row r="2494" spans="1:19" s="92" customFormat="1" ht="51">
      <c r="A2494" s="5">
        <v>2479</v>
      </c>
      <c r="B2494" s="15" t="s">
        <v>710</v>
      </c>
      <c r="C2494" s="40" t="s">
        <v>711</v>
      </c>
      <c r="D2494" s="98" t="s">
        <v>422</v>
      </c>
      <c r="E2494" s="76" t="s">
        <v>423</v>
      </c>
      <c r="F2494" s="76" t="s">
        <v>427</v>
      </c>
      <c r="G2494" s="76" t="s">
        <v>837</v>
      </c>
      <c r="H2494" s="76" t="s">
        <v>425</v>
      </c>
      <c r="I2494" s="76" t="s">
        <v>3208</v>
      </c>
      <c r="J2494" s="76" t="s">
        <v>3209</v>
      </c>
      <c r="K2494" s="76" t="s">
        <v>591</v>
      </c>
      <c r="L2494" s="11" t="s">
        <v>909</v>
      </c>
      <c r="M2494" s="53">
        <v>18</v>
      </c>
      <c r="N2494" s="94">
        <v>640</v>
      </c>
      <c r="O2494" s="94">
        <f>N2494*M2494</f>
        <v>11520</v>
      </c>
      <c r="P2494" s="40" t="s">
        <v>3116</v>
      </c>
      <c r="Q2494" s="40" t="s">
        <v>766</v>
      </c>
      <c r="R2494" s="84">
        <v>274030100</v>
      </c>
      <c r="S2494" s="40">
        <v>100</v>
      </c>
    </row>
    <row r="2495" spans="1:19" s="92" customFormat="1" ht="76.5">
      <c r="A2495" s="5">
        <v>2480</v>
      </c>
      <c r="B2495" s="15" t="s">
        <v>710</v>
      </c>
      <c r="C2495" s="40" t="s">
        <v>711</v>
      </c>
      <c r="D2495" s="40" t="s">
        <v>723</v>
      </c>
      <c r="E2495" s="31" t="s">
        <v>874</v>
      </c>
      <c r="F2495" s="31" t="s">
        <v>874</v>
      </c>
      <c r="G2495" s="31" t="s">
        <v>875</v>
      </c>
      <c r="H2495" s="40" t="s">
        <v>876</v>
      </c>
      <c r="I2495" s="40" t="s">
        <v>3210</v>
      </c>
      <c r="J2495" s="40" t="s">
        <v>3211</v>
      </c>
      <c r="K2495" s="40" t="s">
        <v>591</v>
      </c>
      <c r="L2495" s="40" t="s">
        <v>644</v>
      </c>
      <c r="M2495" s="93">
        <v>1</v>
      </c>
      <c r="N2495" s="94">
        <v>30000</v>
      </c>
      <c r="O2495" s="94">
        <f>N2495*M2495</f>
        <v>30000</v>
      </c>
      <c r="P2495" s="40" t="s">
        <v>3116</v>
      </c>
      <c r="Q2495" s="40" t="s">
        <v>1051</v>
      </c>
      <c r="R2495" s="84">
        <v>274030100</v>
      </c>
      <c r="S2495" s="40">
        <v>100</v>
      </c>
    </row>
    <row r="2496" spans="1:19" s="92" customFormat="1" ht="51">
      <c r="A2496" s="5">
        <v>2481</v>
      </c>
      <c r="B2496" s="15" t="s">
        <v>710</v>
      </c>
      <c r="C2496" s="40" t="s">
        <v>597</v>
      </c>
      <c r="D2496" s="40" t="s">
        <v>3128</v>
      </c>
      <c r="E2496" s="31" t="s">
        <v>2620</v>
      </c>
      <c r="F2496" s="31" t="s">
        <v>1304</v>
      </c>
      <c r="G2496" s="31" t="s">
        <v>3129</v>
      </c>
      <c r="H2496" s="40" t="s">
        <v>3130</v>
      </c>
      <c r="I2496" s="40" t="s">
        <v>3131</v>
      </c>
      <c r="J2496" s="40" t="s">
        <v>3132</v>
      </c>
      <c r="K2496" s="40" t="s">
        <v>591</v>
      </c>
      <c r="L2496" s="11" t="s">
        <v>914</v>
      </c>
      <c r="M2496" s="93">
        <v>1</v>
      </c>
      <c r="N2496" s="94">
        <f>59000*9</f>
        <v>531000</v>
      </c>
      <c r="O2496" s="94">
        <f>N2496*M2496</f>
        <v>531000</v>
      </c>
      <c r="P2496" s="40" t="s">
        <v>3116</v>
      </c>
      <c r="Q2496" s="40" t="s">
        <v>766</v>
      </c>
      <c r="R2496" s="84">
        <v>351010000</v>
      </c>
      <c r="S2496" s="40">
        <v>50</v>
      </c>
    </row>
    <row r="2497" spans="1:19" s="92" customFormat="1" ht="76.5">
      <c r="A2497" s="5">
        <v>2482</v>
      </c>
      <c r="B2497" s="15" t="s">
        <v>710</v>
      </c>
      <c r="C2497" s="40" t="s">
        <v>3117</v>
      </c>
      <c r="D2497" s="40" t="s">
        <v>532</v>
      </c>
      <c r="E2497" s="31" t="s">
        <v>3133</v>
      </c>
      <c r="F2497" s="31" t="s">
        <v>534</v>
      </c>
      <c r="G2497" s="31" t="s">
        <v>3133</v>
      </c>
      <c r="H2497" s="31" t="s">
        <v>534</v>
      </c>
      <c r="I2497" s="40" t="s">
        <v>3134</v>
      </c>
      <c r="J2497" s="40" t="s">
        <v>3135</v>
      </c>
      <c r="K2497" s="40" t="s">
        <v>591</v>
      </c>
      <c r="L2497" s="11" t="s">
        <v>914</v>
      </c>
      <c r="M2497" s="93">
        <v>1</v>
      </c>
      <c r="N2497" s="94">
        <f>9*30000</f>
        <v>270000</v>
      </c>
      <c r="O2497" s="94">
        <f>N2497*M2497</f>
        <v>270000</v>
      </c>
      <c r="P2497" s="40" t="s">
        <v>3116</v>
      </c>
      <c r="Q2497" s="40" t="s">
        <v>1051</v>
      </c>
      <c r="R2497" s="84">
        <v>351010000</v>
      </c>
      <c r="S2497" s="40">
        <v>50</v>
      </c>
    </row>
    <row r="2498" spans="1:19" s="92" customFormat="1" ht="51">
      <c r="A2498" s="5">
        <v>2483</v>
      </c>
      <c r="B2498" s="15" t="s">
        <v>710</v>
      </c>
      <c r="C2498" s="40" t="s">
        <v>2433</v>
      </c>
      <c r="D2498" s="40" t="s">
        <v>3136</v>
      </c>
      <c r="E2498" s="40" t="s">
        <v>466</v>
      </c>
      <c r="F2498" s="40" t="s">
        <v>25</v>
      </c>
      <c r="G2498" s="40" t="s">
        <v>3212</v>
      </c>
      <c r="H2498" s="40" t="s">
        <v>467</v>
      </c>
      <c r="I2498" s="40" t="s">
        <v>3137</v>
      </c>
      <c r="J2498" s="40" t="s">
        <v>3138</v>
      </c>
      <c r="K2498" s="40" t="s">
        <v>591</v>
      </c>
      <c r="L2498" s="95" t="s">
        <v>644</v>
      </c>
      <c r="M2498" s="93">
        <f>18*5</f>
        <v>90</v>
      </c>
      <c r="N2498" s="94">
        <v>40</v>
      </c>
      <c r="O2498" s="94">
        <f>N2498*M2498</f>
        <v>3600</v>
      </c>
      <c r="P2498" s="40" t="s">
        <v>3139</v>
      </c>
      <c r="Q2498" s="40" t="s">
        <v>766</v>
      </c>
      <c r="R2498" s="84">
        <v>351010000</v>
      </c>
      <c r="S2498" s="40">
        <v>0</v>
      </c>
    </row>
    <row r="2499" spans="1:19" s="92" customFormat="1" ht="51">
      <c r="A2499" s="5">
        <v>2484</v>
      </c>
      <c r="B2499" s="15" t="s">
        <v>710</v>
      </c>
      <c r="C2499" s="40" t="s">
        <v>2433</v>
      </c>
      <c r="D2499" s="40" t="s">
        <v>3140</v>
      </c>
      <c r="E2499" s="40" t="s">
        <v>3141</v>
      </c>
      <c r="F2499" s="40" t="s">
        <v>3142</v>
      </c>
      <c r="G2499" s="40" t="s">
        <v>3213</v>
      </c>
      <c r="H2499" s="40" t="s">
        <v>3214</v>
      </c>
      <c r="I2499" s="40" t="s">
        <v>3143</v>
      </c>
      <c r="J2499" s="40" t="s">
        <v>3144</v>
      </c>
      <c r="K2499" s="40" t="s">
        <v>591</v>
      </c>
      <c r="L2499" s="95" t="s">
        <v>644</v>
      </c>
      <c r="M2499" s="93">
        <f>18*2</f>
        <v>36</v>
      </c>
      <c r="N2499" s="94">
        <v>170</v>
      </c>
      <c r="O2499" s="94">
        <f t="shared" ref="O2499:O2516" si="64">N2499*M2499</f>
        <v>6120</v>
      </c>
      <c r="P2499" s="40" t="s">
        <v>3139</v>
      </c>
      <c r="Q2499" s="40" t="s">
        <v>766</v>
      </c>
      <c r="R2499" s="84">
        <v>351010000</v>
      </c>
      <c r="S2499" s="40">
        <v>0</v>
      </c>
    </row>
    <row r="2500" spans="1:19" s="92" customFormat="1" ht="51">
      <c r="A2500" s="5">
        <v>2485</v>
      </c>
      <c r="B2500" s="15" t="s">
        <v>710</v>
      </c>
      <c r="C2500" s="40" t="s">
        <v>2433</v>
      </c>
      <c r="D2500" s="40" t="s">
        <v>452</v>
      </c>
      <c r="E2500" s="40" t="s">
        <v>453</v>
      </c>
      <c r="F2500" s="40" t="s">
        <v>454</v>
      </c>
      <c r="G2500" s="40" t="s">
        <v>455</v>
      </c>
      <c r="H2500" s="40" t="s">
        <v>456</v>
      </c>
      <c r="I2500" s="40" t="s">
        <v>3145</v>
      </c>
      <c r="J2500" s="40" t="s">
        <v>3146</v>
      </c>
      <c r="K2500" s="40" t="s">
        <v>591</v>
      </c>
      <c r="L2500" s="95" t="s">
        <v>480</v>
      </c>
      <c r="M2500" s="93">
        <f>18*5</f>
        <v>90</v>
      </c>
      <c r="N2500" s="94">
        <v>155</v>
      </c>
      <c r="O2500" s="94">
        <f t="shared" si="64"/>
        <v>13950</v>
      </c>
      <c r="P2500" s="40" t="s">
        <v>3139</v>
      </c>
      <c r="Q2500" s="40" t="s">
        <v>766</v>
      </c>
      <c r="R2500" s="84">
        <v>351010000</v>
      </c>
      <c r="S2500" s="40">
        <v>0</v>
      </c>
    </row>
    <row r="2501" spans="1:19" s="92" customFormat="1" ht="51">
      <c r="A2501" s="5">
        <v>2486</v>
      </c>
      <c r="B2501" s="15" t="s">
        <v>710</v>
      </c>
      <c r="C2501" s="40" t="s">
        <v>2433</v>
      </c>
      <c r="D2501" s="40" t="s">
        <v>452</v>
      </c>
      <c r="E2501" s="40" t="s">
        <v>453</v>
      </c>
      <c r="F2501" s="40" t="s">
        <v>454</v>
      </c>
      <c r="G2501" s="40" t="s">
        <v>455</v>
      </c>
      <c r="H2501" s="40" t="s">
        <v>456</v>
      </c>
      <c r="I2501" s="40" t="s">
        <v>3147</v>
      </c>
      <c r="J2501" s="40" t="s">
        <v>3148</v>
      </c>
      <c r="K2501" s="40" t="s">
        <v>591</v>
      </c>
      <c r="L2501" s="95" t="s">
        <v>480</v>
      </c>
      <c r="M2501" s="93">
        <f>18*5</f>
        <v>90</v>
      </c>
      <c r="N2501" s="94">
        <v>200</v>
      </c>
      <c r="O2501" s="94">
        <f t="shared" si="64"/>
        <v>18000</v>
      </c>
      <c r="P2501" s="40" t="s">
        <v>3139</v>
      </c>
      <c r="Q2501" s="40" t="s">
        <v>766</v>
      </c>
      <c r="R2501" s="84">
        <v>351010000</v>
      </c>
      <c r="S2501" s="40">
        <v>0</v>
      </c>
    </row>
    <row r="2502" spans="1:19" s="92" customFormat="1" ht="51">
      <c r="A2502" s="5">
        <v>2487</v>
      </c>
      <c r="B2502" s="15" t="s">
        <v>710</v>
      </c>
      <c r="C2502" s="40" t="s">
        <v>2433</v>
      </c>
      <c r="D2502" s="40" t="s">
        <v>432</v>
      </c>
      <c r="E2502" s="40" t="s">
        <v>433</v>
      </c>
      <c r="F2502" s="40" t="s">
        <v>434</v>
      </c>
      <c r="G2502" s="40" t="s">
        <v>435</v>
      </c>
      <c r="H2502" s="40" t="s">
        <v>436</v>
      </c>
      <c r="I2502" s="40" t="s">
        <v>3149</v>
      </c>
      <c r="J2502" s="40" t="s">
        <v>3150</v>
      </c>
      <c r="K2502" s="40" t="s">
        <v>591</v>
      </c>
      <c r="L2502" s="95" t="s">
        <v>644</v>
      </c>
      <c r="M2502" s="93">
        <f>18*5</f>
        <v>90</v>
      </c>
      <c r="N2502" s="94">
        <v>250</v>
      </c>
      <c r="O2502" s="94">
        <f t="shared" si="64"/>
        <v>22500</v>
      </c>
      <c r="P2502" s="40" t="s">
        <v>3139</v>
      </c>
      <c r="Q2502" s="40" t="s">
        <v>766</v>
      </c>
      <c r="R2502" s="84">
        <v>351010000</v>
      </c>
      <c r="S2502" s="40">
        <v>0</v>
      </c>
    </row>
    <row r="2503" spans="1:19" s="92" customFormat="1" ht="51">
      <c r="A2503" s="5">
        <v>2488</v>
      </c>
      <c r="B2503" s="15" t="s">
        <v>710</v>
      </c>
      <c r="C2503" s="40" t="s">
        <v>2433</v>
      </c>
      <c r="D2503" s="40" t="s">
        <v>447</v>
      </c>
      <c r="E2503" s="40" t="s">
        <v>24</v>
      </c>
      <c r="F2503" s="40" t="s">
        <v>24</v>
      </c>
      <c r="G2503" s="40" t="s">
        <v>3215</v>
      </c>
      <c r="H2503" s="40" t="s">
        <v>448</v>
      </c>
      <c r="I2503" s="40" t="s">
        <v>3151</v>
      </c>
      <c r="J2503" s="40" t="s">
        <v>3152</v>
      </c>
      <c r="K2503" s="40" t="s">
        <v>591</v>
      </c>
      <c r="L2503" s="95" t="s">
        <v>644</v>
      </c>
      <c r="M2503" s="93">
        <f>18*3</f>
        <v>54</v>
      </c>
      <c r="N2503" s="94">
        <v>250</v>
      </c>
      <c r="O2503" s="94">
        <f t="shared" si="64"/>
        <v>13500</v>
      </c>
      <c r="P2503" s="40" t="s">
        <v>3139</v>
      </c>
      <c r="Q2503" s="40" t="s">
        <v>766</v>
      </c>
      <c r="R2503" s="84">
        <v>351010000</v>
      </c>
      <c r="S2503" s="40">
        <v>0</v>
      </c>
    </row>
    <row r="2504" spans="1:19" s="92" customFormat="1" ht="51">
      <c r="A2504" s="5">
        <v>2489</v>
      </c>
      <c r="B2504" s="15" t="s">
        <v>710</v>
      </c>
      <c r="C2504" s="40" t="s">
        <v>2433</v>
      </c>
      <c r="D2504" s="40" t="s">
        <v>449</v>
      </c>
      <c r="E2504" s="40" t="s">
        <v>450</v>
      </c>
      <c r="F2504" s="40" t="s">
        <v>450</v>
      </c>
      <c r="G2504" s="40" t="s">
        <v>3216</v>
      </c>
      <c r="H2504" s="40" t="s">
        <v>451</v>
      </c>
      <c r="I2504" s="40" t="s">
        <v>3153</v>
      </c>
      <c r="J2504" s="40" t="s">
        <v>3154</v>
      </c>
      <c r="K2504" s="40" t="s">
        <v>591</v>
      </c>
      <c r="L2504" s="95" t="s">
        <v>480</v>
      </c>
      <c r="M2504" s="93">
        <f>18*3</f>
        <v>54</v>
      </c>
      <c r="N2504" s="94">
        <v>250</v>
      </c>
      <c r="O2504" s="94">
        <f t="shared" si="64"/>
        <v>13500</v>
      </c>
      <c r="P2504" s="40" t="s">
        <v>3139</v>
      </c>
      <c r="Q2504" s="40" t="s">
        <v>766</v>
      </c>
      <c r="R2504" s="84">
        <v>351010000</v>
      </c>
      <c r="S2504" s="40">
        <v>0</v>
      </c>
    </row>
    <row r="2505" spans="1:19" s="92" customFormat="1" ht="51">
      <c r="A2505" s="5">
        <v>2490</v>
      </c>
      <c r="B2505" s="15" t="s">
        <v>710</v>
      </c>
      <c r="C2505" s="40" t="s">
        <v>2433</v>
      </c>
      <c r="D2505" s="40" t="s">
        <v>3155</v>
      </c>
      <c r="E2505" s="40" t="s">
        <v>3156</v>
      </c>
      <c r="F2505" s="40" t="s">
        <v>3157</v>
      </c>
      <c r="G2505" s="40" t="s">
        <v>3217</v>
      </c>
      <c r="H2505" s="40" t="s">
        <v>3218</v>
      </c>
      <c r="I2505" s="40" t="s">
        <v>3158</v>
      </c>
      <c r="J2505" s="40" t="s">
        <v>3159</v>
      </c>
      <c r="K2505" s="40" t="s">
        <v>591</v>
      </c>
      <c r="L2505" s="95" t="s">
        <v>644</v>
      </c>
      <c r="M2505" s="93">
        <f>18*2</f>
        <v>36</v>
      </c>
      <c r="N2505" s="94">
        <v>150</v>
      </c>
      <c r="O2505" s="94">
        <f t="shared" si="64"/>
        <v>5400</v>
      </c>
      <c r="P2505" s="40" t="s">
        <v>3139</v>
      </c>
      <c r="Q2505" s="40" t="s">
        <v>766</v>
      </c>
      <c r="R2505" s="84">
        <v>351010000</v>
      </c>
      <c r="S2505" s="40">
        <v>0</v>
      </c>
    </row>
    <row r="2506" spans="1:19" s="92" customFormat="1" ht="51">
      <c r="A2506" s="5">
        <v>2491</v>
      </c>
      <c r="B2506" s="15" t="s">
        <v>710</v>
      </c>
      <c r="C2506" s="40" t="s">
        <v>2433</v>
      </c>
      <c r="D2506" s="40" t="s">
        <v>437</v>
      </c>
      <c r="E2506" s="40" t="s">
        <v>20</v>
      </c>
      <c r="F2506" s="40" t="s">
        <v>20</v>
      </c>
      <c r="G2506" s="40" t="s">
        <v>438</v>
      </c>
      <c r="H2506" s="40" t="s">
        <v>439</v>
      </c>
      <c r="I2506" s="40" t="s">
        <v>3160</v>
      </c>
      <c r="J2506" s="40" t="s">
        <v>3161</v>
      </c>
      <c r="K2506" s="40" t="s">
        <v>591</v>
      </c>
      <c r="L2506" s="95" t="s">
        <v>644</v>
      </c>
      <c r="M2506" s="93">
        <f>18*5</f>
        <v>90</v>
      </c>
      <c r="N2506" s="94">
        <v>100</v>
      </c>
      <c r="O2506" s="94">
        <f t="shared" si="64"/>
        <v>9000</v>
      </c>
      <c r="P2506" s="40" t="s">
        <v>3139</v>
      </c>
      <c r="Q2506" s="40" t="s">
        <v>766</v>
      </c>
      <c r="R2506" s="84">
        <v>351010000</v>
      </c>
      <c r="S2506" s="40">
        <v>0</v>
      </c>
    </row>
    <row r="2507" spans="1:19" s="92" customFormat="1" ht="51">
      <c r="A2507" s="5">
        <v>2492</v>
      </c>
      <c r="B2507" s="15" t="s">
        <v>710</v>
      </c>
      <c r="C2507" s="40" t="s">
        <v>2433</v>
      </c>
      <c r="D2507" s="40" t="s">
        <v>3162</v>
      </c>
      <c r="E2507" s="40" t="s">
        <v>3163</v>
      </c>
      <c r="F2507" s="40" t="s">
        <v>3164</v>
      </c>
      <c r="G2507" s="31" t="s">
        <v>3219</v>
      </c>
      <c r="H2507" s="40" t="s">
        <v>3220</v>
      </c>
      <c r="I2507" s="40" t="s">
        <v>3165</v>
      </c>
      <c r="J2507" s="40" t="s">
        <v>3166</v>
      </c>
      <c r="K2507" s="40" t="s">
        <v>591</v>
      </c>
      <c r="L2507" s="95" t="s">
        <v>480</v>
      </c>
      <c r="M2507" s="93">
        <f>18*5</f>
        <v>90</v>
      </c>
      <c r="N2507" s="94">
        <v>500</v>
      </c>
      <c r="O2507" s="94">
        <f t="shared" si="64"/>
        <v>45000</v>
      </c>
      <c r="P2507" s="40" t="s">
        <v>3139</v>
      </c>
      <c r="Q2507" s="40" t="s">
        <v>766</v>
      </c>
      <c r="R2507" s="84">
        <v>351010000</v>
      </c>
      <c r="S2507" s="40">
        <v>0</v>
      </c>
    </row>
    <row r="2508" spans="1:19" s="92" customFormat="1" ht="51">
      <c r="A2508" s="5">
        <v>2493</v>
      </c>
      <c r="B2508" s="15" t="s">
        <v>710</v>
      </c>
      <c r="C2508" s="40" t="s">
        <v>2433</v>
      </c>
      <c r="D2508" s="40" t="s">
        <v>440</v>
      </c>
      <c r="E2508" s="40" t="s">
        <v>21</v>
      </c>
      <c r="F2508" s="40" t="s">
        <v>21</v>
      </c>
      <c r="G2508" s="31" t="s">
        <v>441</v>
      </c>
      <c r="H2508" s="40" t="s">
        <v>442</v>
      </c>
      <c r="I2508" s="40" t="s">
        <v>3167</v>
      </c>
      <c r="J2508" s="40" t="s">
        <v>3168</v>
      </c>
      <c r="K2508" s="40" t="s">
        <v>591</v>
      </c>
      <c r="L2508" s="95" t="s">
        <v>644</v>
      </c>
      <c r="M2508" s="93">
        <f t="shared" ref="M2508:M2513" si="65">18*1</f>
        <v>18</v>
      </c>
      <c r="N2508" s="94">
        <v>1500</v>
      </c>
      <c r="O2508" s="94">
        <f t="shared" si="64"/>
        <v>27000</v>
      </c>
      <c r="P2508" s="40" t="s">
        <v>3139</v>
      </c>
      <c r="Q2508" s="40" t="s">
        <v>766</v>
      </c>
      <c r="R2508" s="84">
        <v>351010000</v>
      </c>
      <c r="S2508" s="40">
        <v>0</v>
      </c>
    </row>
    <row r="2509" spans="1:19" s="92" customFormat="1" ht="127.5">
      <c r="A2509" s="5">
        <v>2494</v>
      </c>
      <c r="B2509" s="15" t="s">
        <v>710</v>
      </c>
      <c r="C2509" s="40" t="s">
        <v>2433</v>
      </c>
      <c r="D2509" s="40" t="s">
        <v>470</v>
      </c>
      <c r="E2509" s="40" t="s">
        <v>27</v>
      </c>
      <c r="F2509" s="40" t="s">
        <v>27</v>
      </c>
      <c r="G2509" s="31" t="s">
        <v>471</v>
      </c>
      <c r="H2509" s="40" t="s">
        <v>472</v>
      </c>
      <c r="I2509" s="40" t="s">
        <v>3169</v>
      </c>
      <c r="J2509" s="40" t="s">
        <v>3170</v>
      </c>
      <c r="K2509" s="40" t="s">
        <v>591</v>
      </c>
      <c r="L2509" s="95" t="s">
        <v>644</v>
      </c>
      <c r="M2509" s="93">
        <f t="shared" si="65"/>
        <v>18</v>
      </c>
      <c r="N2509" s="94">
        <v>3500</v>
      </c>
      <c r="O2509" s="94">
        <f t="shared" si="64"/>
        <v>63000</v>
      </c>
      <c r="P2509" s="40" t="s">
        <v>3139</v>
      </c>
      <c r="Q2509" s="40" t="s">
        <v>766</v>
      </c>
      <c r="R2509" s="84">
        <v>351010000</v>
      </c>
      <c r="S2509" s="40">
        <v>0</v>
      </c>
    </row>
    <row r="2510" spans="1:19" s="92" customFormat="1" ht="76.5">
      <c r="A2510" s="5">
        <v>2495</v>
      </c>
      <c r="B2510" s="15" t="s">
        <v>710</v>
      </c>
      <c r="C2510" s="40" t="s">
        <v>2433</v>
      </c>
      <c r="D2510" s="40" t="s">
        <v>3171</v>
      </c>
      <c r="E2510" s="40" t="s">
        <v>3172</v>
      </c>
      <c r="F2510" s="40" t="s">
        <v>3172</v>
      </c>
      <c r="G2510" s="40" t="s">
        <v>3173</v>
      </c>
      <c r="H2510" s="40" t="s">
        <v>3174</v>
      </c>
      <c r="I2510" s="40" t="s">
        <v>3175</v>
      </c>
      <c r="J2510" s="40" t="s">
        <v>3176</v>
      </c>
      <c r="K2510" s="40" t="s">
        <v>591</v>
      </c>
      <c r="L2510" s="95" t="s">
        <v>644</v>
      </c>
      <c r="M2510" s="93">
        <f t="shared" si="65"/>
        <v>18</v>
      </c>
      <c r="N2510" s="94">
        <v>150</v>
      </c>
      <c r="O2510" s="94">
        <f t="shared" si="64"/>
        <v>2700</v>
      </c>
      <c r="P2510" s="40" t="s">
        <v>3139</v>
      </c>
      <c r="Q2510" s="40" t="s">
        <v>766</v>
      </c>
      <c r="R2510" s="84">
        <v>351010000</v>
      </c>
      <c r="S2510" s="40">
        <v>0</v>
      </c>
    </row>
    <row r="2511" spans="1:19" s="92" customFormat="1" ht="51">
      <c r="A2511" s="5">
        <v>2496</v>
      </c>
      <c r="B2511" s="15" t="s">
        <v>710</v>
      </c>
      <c r="C2511" s="40" t="s">
        <v>2433</v>
      </c>
      <c r="D2511" s="40" t="s">
        <v>457</v>
      </c>
      <c r="E2511" s="40" t="s">
        <v>17</v>
      </c>
      <c r="F2511" s="40" t="s">
        <v>17</v>
      </c>
      <c r="G2511" s="40" t="s">
        <v>3177</v>
      </c>
      <c r="H2511" s="40" t="s">
        <v>458</v>
      </c>
      <c r="I2511" s="40" t="s">
        <v>3178</v>
      </c>
      <c r="J2511" s="40" t="s">
        <v>3179</v>
      </c>
      <c r="K2511" s="40" t="s">
        <v>591</v>
      </c>
      <c r="L2511" s="95" t="s">
        <v>644</v>
      </c>
      <c r="M2511" s="93">
        <f t="shared" si="65"/>
        <v>18</v>
      </c>
      <c r="N2511" s="94">
        <v>600</v>
      </c>
      <c r="O2511" s="94">
        <f t="shared" si="64"/>
        <v>10800</v>
      </c>
      <c r="P2511" s="40" t="s">
        <v>3139</v>
      </c>
      <c r="Q2511" s="40" t="s">
        <v>766</v>
      </c>
      <c r="R2511" s="84">
        <v>351010000</v>
      </c>
      <c r="S2511" s="40">
        <v>0</v>
      </c>
    </row>
    <row r="2512" spans="1:19" s="92" customFormat="1" ht="51">
      <c r="A2512" s="5">
        <v>2497</v>
      </c>
      <c r="B2512" s="15" t="s">
        <v>710</v>
      </c>
      <c r="C2512" s="40" t="s">
        <v>2433</v>
      </c>
      <c r="D2512" s="40" t="s">
        <v>457</v>
      </c>
      <c r="E2512" s="40" t="s">
        <v>17</v>
      </c>
      <c r="F2512" s="40" t="s">
        <v>17</v>
      </c>
      <c r="G2512" s="40" t="s">
        <v>3177</v>
      </c>
      <c r="H2512" s="40" t="s">
        <v>458</v>
      </c>
      <c r="I2512" s="40" t="s">
        <v>3180</v>
      </c>
      <c r="J2512" s="40" t="s">
        <v>3181</v>
      </c>
      <c r="K2512" s="40" t="s">
        <v>591</v>
      </c>
      <c r="L2512" s="95" t="s">
        <v>644</v>
      </c>
      <c r="M2512" s="93">
        <f t="shared" si="65"/>
        <v>18</v>
      </c>
      <c r="N2512" s="94">
        <v>800</v>
      </c>
      <c r="O2512" s="94">
        <f t="shared" si="64"/>
        <v>14400</v>
      </c>
      <c r="P2512" s="40" t="s">
        <v>3139</v>
      </c>
      <c r="Q2512" s="40" t="s">
        <v>766</v>
      </c>
      <c r="R2512" s="84">
        <v>351010000</v>
      </c>
      <c r="S2512" s="40">
        <v>0</v>
      </c>
    </row>
    <row r="2513" spans="1:19" s="92" customFormat="1" ht="51">
      <c r="A2513" s="5">
        <v>2498</v>
      </c>
      <c r="B2513" s="15" t="s">
        <v>710</v>
      </c>
      <c r="C2513" s="40" t="s">
        <v>2433</v>
      </c>
      <c r="D2513" s="40" t="s">
        <v>476</v>
      </c>
      <c r="E2513" s="40" t="s">
        <v>477</v>
      </c>
      <c r="F2513" s="40" t="s">
        <v>28</v>
      </c>
      <c r="G2513" s="40" t="s">
        <v>478</v>
      </c>
      <c r="H2513" s="40" t="s">
        <v>479</v>
      </c>
      <c r="I2513" s="40" t="s">
        <v>3182</v>
      </c>
      <c r="J2513" s="40" t="s">
        <v>3183</v>
      </c>
      <c r="K2513" s="40" t="s">
        <v>591</v>
      </c>
      <c r="L2513" s="95" t="s">
        <v>644</v>
      </c>
      <c r="M2513" s="93">
        <f t="shared" si="65"/>
        <v>18</v>
      </c>
      <c r="N2513" s="94">
        <v>1500</v>
      </c>
      <c r="O2513" s="94">
        <f t="shared" si="64"/>
        <v>27000</v>
      </c>
      <c r="P2513" s="40" t="s">
        <v>3139</v>
      </c>
      <c r="Q2513" s="40" t="s">
        <v>766</v>
      </c>
      <c r="R2513" s="84">
        <v>351010000</v>
      </c>
      <c r="S2513" s="40">
        <v>0</v>
      </c>
    </row>
    <row r="2514" spans="1:19" s="92" customFormat="1" ht="51">
      <c r="A2514" s="5">
        <v>2499</v>
      </c>
      <c r="B2514" s="15" t="s">
        <v>710</v>
      </c>
      <c r="C2514" s="40" t="s">
        <v>2433</v>
      </c>
      <c r="D2514" s="40" t="s">
        <v>468</v>
      </c>
      <c r="E2514" s="40" t="s">
        <v>3184</v>
      </c>
      <c r="F2514" s="40" t="s">
        <v>26</v>
      </c>
      <c r="G2514" s="40" t="s">
        <v>3185</v>
      </c>
      <c r="H2514" s="40" t="s">
        <v>469</v>
      </c>
      <c r="I2514" s="40" t="s">
        <v>3186</v>
      </c>
      <c r="J2514" s="40" t="s">
        <v>3187</v>
      </c>
      <c r="K2514" s="40" t="s">
        <v>591</v>
      </c>
      <c r="L2514" s="95" t="s">
        <v>644</v>
      </c>
      <c r="M2514" s="93">
        <f>18*5</f>
        <v>90</v>
      </c>
      <c r="N2514" s="94">
        <v>250</v>
      </c>
      <c r="O2514" s="94">
        <f t="shared" si="64"/>
        <v>22500</v>
      </c>
      <c r="P2514" s="40" t="s">
        <v>3139</v>
      </c>
      <c r="Q2514" s="40" t="s">
        <v>766</v>
      </c>
      <c r="R2514" s="84">
        <v>351010000</v>
      </c>
      <c r="S2514" s="40">
        <v>0</v>
      </c>
    </row>
    <row r="2515" spans="1:19" s="92" customFormat="1" ht="51">
      <c r="A2515" s="5">
        <v>2500</v>
      </c>
      <c r="B2515" s="15" t="s">
        <v>710</v>
      </c>
      <c r="C2515" s="40" t="s">
        <v>2433</v>
      </c>
      <c r="D2515" s="40" t="s">
        <v>443</v>
      </c>
      <c r="E2515" s="40" t="s">
        <v>444</v>
      </c>
      <c r="F2515" s="40" t="s">
        <v>444</v>
      </c>
      <c r="G2515" s="40" t="s">
        <v>445</v>
      </c>
      <c r="H2515" s="40" t="s">
        <v>446</v>
      </c>
      <c r="I2515" s="40" t="s">
        <v>3188</v>
      </c>
      <c r="J2515" s="40" t="s">
        <v>3189</v>
      </c>
      <c r="K2515" s="40" t="s">
        <v>591</v>
      </c>
      <c r="L2515" s="95" t="s">
        <v>644</v>
      </c>
      <c r="M2515" s="93">
        <f>18*5</f>
        <v>90</v>
      </c>
      <c r="N2515" s="94">
        <v>500</v>
      </c>
      <c r="O2515" s="94">
        <f t="shared" si="64"/>
        <v>45000</v>
      </c>
      <c r="P2515" s="40" t="s">
        <v>3139</v>
      </c>
      <c r="Q2515" s="40" t="s">
        <v>766</v>
      </c>
      <c r="R2515" s="84">
        <v>351010000</v>
      </c>
      <c r="S2515" s="40">
        <v>0</v>
      </c>
    </row>
    <row r="2516" spans="1:19" s="92" customFormat="1" ht="51">
      <c r="A2516" s="5">
        <v>2501</v>
      </c>
      <c r="B2516" s="15" t="s">
        <v>710</v>
      </c>
      <c r="C2516" s="40" t="s">
        <v>711</v>
      </c>
      <c r="D2516" s="40" t="s">
        <v>3190</v>
      </c>
      <c r="E2516" s="31" t="s">
        <v>3191</v>
      </c>
      <c r="F2516" s="31" t="s">
        <v>3192</v>
      </c>
      <c r="G2516" s="40" t="s">
        <v>3264</v>
      </c>
      <c r="H2516" s="40" t="s">
        <v>3264</v>
      </c>
      <c r="I2516" s="31" t="s">
        <v>3193</v>
      </c>
      <c r="J2516" s="31" t="s">
        <v>3194</v>
      </c>
      <c r="K2516" s="40" t="s">
        <v>591</v>
      </c>
      <c r="L2516" s="95" t="s">
        <v>644</v>
      </c>
      <c r="M2516" s="93">
        <f>18*1</f>
        <v>18</v>
      </c>
      <c r="N2516" s="94">
        <v>1200</v>
      </c>
      <c r="O2516" s="94">
        <f t="shared" si="64"/>
        <v>21600</v>
      </c>
      <c r="P2516" s="40" t="s">
        <v>3139</v>
      </c>
      <c r="Q2516" s="40" t="s">
        <v>766</v>
      </c>
      <c r="R2516" s="84">
        <v>351010000</v>
      </c>
      <c r="S2516" s="40">
        <v>0</v>
      </c>
    </row>
    <row r="2517" spans="1:19" s="92" customFormat="1" ht="89.25">
      <c r="A2517" s="5">
        <v>2502</v>
      </c>
      <c r="B2517" s="15" t="s">
        <v>710</v>
      </c>
      <c r="C2517" s="40" t="s">
        <v>597</v>
      </c>
      <c r="D2517" s="40" t="s">
        <v>598</v>
      </c>
      <c r="E2517" s="31" t="s">
        <v>599</v>
      </c>
      <c r="F2517" s="31" t="s">
        <v>782</v>
      </c>
      <c r="G2517" s="31" t="s">
        <v>3195</v>
      </c>
      <c r="H2517" s="40" t="s">
        <v>602</v>
      </c>
      <c r="I2517" s="40" t="s">
        <v>3196</v>
      </c>
      <c r="J2517" s="40" t="s">
        <v>3197</v>
      </c>
      <c r="K2517" s="40" t="s">
        <v>591</v>
      </c>
      <c r="L2517" s="11" t="s">
        <v>914</v>
      </c>
      <c r="M2517" s="93">
        <v>1</v>
      </c>
      <c r="N2517" s="94">
        <v>624400</v>
      </c>
      <c r="O2517" s="94">
        <v>624400</v>
      </c>
      <c r="P2517" s="40" t="s">
        <v>502</v>
      </c>
      <c r="Q2517" s="40" t="s">
        <v>766</v>
      </c>
      <c r="R2517" s="84">
        <v>354030100</v>
      </c>
      <c r="S2517" s="40">
        <v>0</v>
      </c>
    </row>
    <row r="2518" spans="1:19" s="92" customFormat="1" ht="89.25">
      <c r="A2518" s="5">
        <v>2503</v>
      </c>
      <c r="B2518" s="15" t="s">
        <v>710</v>
      </c>
      <c r="C2518" s="40" t="s">
        <v>597</v>
      </c>
      <c r="D2518" s="40" t="s">
        <v>598</v>
      </c>
      <c r="E2518" s="31" t="s">
        <v>599</v>
      </c>
      <c r="F2518" s="31" t="s">
        <v>782</v>
      </c>
      <c r="G2518" s="31" t="s">
        <v>3195</v>
      </c>
      <c r="H2518" s="40" t="s">
        <v>602</v>
      </c>
      <c r="I2518" s="40" t="s">
        <v>3196</v>
      </c>
      <c r="J2518" s="40" t="s">
        <v>3197</v>
      </c>
      <c r="K2518" s="40" t="s">
        <v>591</v>
      </c>
      <c r="L2518" s="11" t="s">
        <v>914</v>
      </c>
      <c r="M2518" s="93">
        <v>1</v>
      </c>
      <c r="N2518" s="94">
        <v>624400</v>
      </c>
      <c r="O2518" s="94">
        <v>624400</v>
      </c>
      <c r="P2518" s="40" t="s">
        <v>502</v>
      </c>
      <c r="Q2518" s="40" t="s">
        <v>766</v>
      </c>
      <c r="R2518" s="84">
        <v>354030100</v>
      </c>
      <c r="S2518" s="40">
        <v>0</v>
      </c>
    </row>
    <row r="2519" spans="1:19" s="92" customFormat="1" ht="51">
      <c r="A2519" s="5">
        <v>2504</v>
      </c>
      <c r="B2519" s="15" t="s">
        <v>710</v>
      </c>
      <c r="C2519" s="40" t="s">
        <v>597</v>
      </c>
      <c r="D2519" s="11" t="s">
        <v>850</v>
      </c>
      <c r="E2519" s="76" t="s">
        <v>1736</v>
      </c>
      <c r="F2519" s="76" t="s">
        <v>851</v>
      </c>
      <c r="G2519" s="76" t="s">
        <v>1737</v>
      </c>
      <c r="H2519" s="76" t="s">
        <v>852</v>
      </c>
      <c r="I2519" s="76" t="s">
        <v>3199</v>
      </c>
      <c r="J2519" s="76" t="s">
        <v>3200</v>
      </c>
      <c r="K2519" s="40" t="s">
        <v>591</v>
      </c>
      <c r="L2519" s="11" t="s">
        <v>914</v>
      </c>
      <c r="M2519" s="97">
        <v>1</v>
      </c>
      <c r="N2519" s="94">
        <f>10000*5</f>
        <v>50000</v>
      </c>
      <c r="O2519" s="94">
        <f>N2519</f>
        <v>50000</v>
      </c>
      <c r="P2519" s="40" t="s">
        <v>698</v>
      </c>
      <c r="Q2519" s="40" t="s">
        <v>766</v>
      </c>
      <c r="R2519" s="84">
        <v>354030100</v>
      </c>
      <c r="S2519" s="40">
        <v>0</v>
      </c>
    </row>
    <row r="2520" spans="1:19" s="92" customFormat="1" ht="51">
      <c r="A2520" s="5">
        <v>2505</v>
      </c>
      <c r="B2520" s="15" t="s">
        <v>710</v>
      </c>
      <c r="C2520" s="40" t="s">
        <v>597</v>
      </c>
      <c r="D2520" s="40" t="s">
        <v>2594</v>
      </c>
      <c r="E2520" s="31" t="s">
        <v>2618</v>
      </c>
      <c r="F2520" s="31" t="s">
        <v>2595</v>
      </c>
      <c r="G2520" s="31" t="s">
        <v>2618</v>
      </c>
      <c r="H2520" s="40" t="s">
        <v>2595</v>
      </c>
      <c r="I2520" s="40" t="s">
        <v>3201</v>
      </c>
      <c r="J2520" s="40" t="s">
        <v>3202</v>
      </c>
      <c r="K2520" s="40" t="s">
        <v>591</v>
      </c>
      <c r="L2520" s="11" t="s">
        <v>914</v>
      </c>
      <c r="M2520" s="93">
        <v>1</v>
      </c>
      <c r="N2520" s="94">
        <f>10500*3</f>
        <v>31500</v>
      </c>
      <c r="O2520" s="94">
        <f>N2520</f>
        <v>31500</v>
      </c>
      <c r="P2520" s="40" t="s">
        <v>3116</v>
      </c>
      <c r="Q2520" s="40" t="s">
        <v>766</v>
      </c>
      <c r="R2520" s="84">
        <v>354030100</v>
      </c>
      <c r="S2520" s="40">
        <v>30</v>
      </c>
    </row>
    <row r="2521" spans="1:19" s="92" customFormat="1" ht="89.25">
      <c r="A2521" s="5">
        <v>2506</v>
      </c>
      <c r="B2521" s="15" t="s">
        <v>710</v>
      </c>
      <c r="C2521" s="40" t="s">
        <v>711</v>
      </c>
      <c r="D2521" s="40" t="s">
        <v>976</v>
      </c>
      <c r="E2521" s="31" t="s">
        <v>730</v>
      </c>
      <c r="F2521" s="31" t="s">
        <v>731</v>
      </c>
      <c r="G2521" s="31" t="s">
        <v>977</v>
      </c>
      <c r="H2521" s="40" t="s">
        <v>978</v>
      </c>
      <c r="I2521" s="40" t="s">
        <v>3203</v>
      </c>
      <c r="J2521" s="40" t="s">
        <v>3204</v>
      </c>
      <c r="K2521" s="40" t="s">
        <v>591</v>
      </c>
      <c r="L2521" s="40" t="s">
        <v>644</v>
      </c>
      <c r="M2521" s="93">
        <v>2</v>
      </c>
      <c r="N2521" s="94">
        <v>26800</v>
      </c>
      <c r="O2521" s="94">
        <f>N2521*M2521</f>
        <v>53600</v>
      </c>
      <c r="P2521" s="40" t="s">
        <v>3116</v>
      </c>
      <c r="Q2521" s="40" t="s">
        <v>1051</v>
      </c>
      <c r="R2521" s="84">
        <v>354030100</v>
      </c>
      <c r="S2521" s="40">
        <v>100</v>
      </c>
    </row>
    <row r="2522" spans="1:19" s="92" customFormat="1" ht="63.75">
      <c r="A2522" s="5">
        <v>2507</v>
      </c>
      <c r="B2522" s="15" t="s">
        <v>710</v>
      </c>
      <c r="C2522" s="40" t="s">
        <v>711</v>
      </c>
      <c r="D2522" s="40" t="s">
        <v>744</v>
      </c>
      <c r="E2522" s="31" t="s">
        <v>745</v>
      </c>
      <c r="F2522" s="31" t="s">
        <v>109</v>
      </c>
      <c r="G2522" s="31" t="s">
        <v>746</v>
      </c>
      <c r="H2522" s="40" t="s">
        <v>3205</v>
      </c>
      <c r="I2522" s="40" t="s">
        <v>3206</v>
      </c>
      <c r="J2522" s="40" t="s">
        <v>3207</v>
      </c>
      <c r="K2522" s="40" t="s">
        <v>591</v>
      </c>
      <c r="L2522" s="40" t="s">
        <v>644</v>
      </c>
      <c r="M2522" s="93">
        <v>6</v>
      </c>
      <c r="N2522" s="94">
        <v>4000</v>
      </c>
      <c r="O2522" s="94">
        <f>M2522*N2522</f>
        <v>24000</v>
      </c>
      <c r="P2522" s="40" t="s">
        <v>3116</v>
      </c>
      <c r="Q2522" s="40" t="s">
        <v>1051</v>
      </c>
      <c r="R2522" s="84">
        <v>354030100</v>
      </c>
      <c r="S2522" s="40">
        <v>100</v>
      </c>
    </row>
    <row r="2523" spans="1:19" s="92" customFormat="1" ht="51">
      <c r="A2523" s="5">
        <v>2508</v>
      </c>
      <c r="B2523" s="15" t="s">
        <v>710</v>
      </c>
      <c r="C2523" s="40" t="s">
        <v>711</v>
      </c>
      <c r="D2523" s="98" t="s">
        <v>422</v>
      </c>
      <c r="E2523" s="76" t="s">
        <v>423</v>
      </c>
      <c r="F2523" s="76" t="s">
        <v>427</v>
      </c>
      <c r="G2523" s="76" t="s">
        <v>837</v>
      </c>
      <c r="H2523" s="76" t="s">
        <v>425</v>
      </c>
      <c r="I2523" s="76" t="s">
        <v>3208</v>
      </c>
      <c r="J2523" s="76" t="s">
        <v>3209</v>
      </c>
      <c r="K2523" s="76" t="s">
        <v>591</v>
      </c>
      <c r="L2523" s="11" t="s">
        <v>909</v>
      </c>
      <c r="M2523" s="53">
        <v>18</v>
      </c>
      <c r="N2523" s="94">
        <v>640</v>
      </c>
      <c r="O2523" s="94">
        <f>N2523*M2523</f>
        <v>11520</v>
      </c>
      <c r="P2523" s="40" t="s">
        <v>3116</v>
      </c>
      <c r="Q2523" s="40" t="s">
        <v>766</v>
      </c>
      <c r="R2523" s="84">
        <v>354030100</v>
      </c>
      <c r="S2523" s="40">
        <v>100</v>
      </c>
    </row>
    <row r="2524" spans="1:19" s="92" customFormat="1" ht="76.5">
      <c r="A2524" s="5">
        <v>2509</v>
      </c>
      <c r="B2524" s="15" t="s">
        <v>710</v>
      </c>
      <c r="C2524" s="40" t="s">
        <v>711</v>
      </c>
      <c r="D2524" s="40" t="s">
        <v>723</v>
      </c>
      <c r="E2524" s="31" t="s">
        <v>874</v>
      </c>
      <c r="F2524" s="31" t="s">
        <v>874</v>
      </c>
      <c r="G2524" s="31" t="s">
        <v>875</v>
      </c>
      <c r="H2524" s="40" t="s">
        <v>876</v>
      </c>
      <c r="I2524" s="40" t="s">
        <v>3210</v>
      </c>
      <c r="J2524" s="40" t="s">
        <v>3211</v>
      </c>
      <c r="K2524" s="40" t="s">
        <v>591</v>
      </c>
      <c r="L2524" s="40" t="s">
        <v>644</v>
      </c>
      <c r="M2524" s="93">
        <v>1</v>
      </c>
      <c r="N2524" s="94">
        <v>30000</v>
      </c>
      <c r="O2524" s="94">
        <f>N2524*M2524</f>
        <v>30000</v>
      </c>
      <c r="P2524" s="40" t="s">
        <v>3116</v>
      </c>
      <c r="Q2524" s="40" t="s">
        <v>1051</v>
      </c>
      <c r="R2524" s="84">
        <v>354030100</v>
      </c>
      <c r="S2524" s="40">
        <v>100</v>
      </c>
    </row>
    <row r="2525" spans="1:19" s="92" customFormat="1" ht="89.25">
      <c r="A2525" s="5">
        <v>2510</v>
      </c>
      <c r="B2525" s="15" t="s">
        <v>710</v>
      </c>
      <c r="C2525" s="40" t="s">
        <v>597</v>
      </c>
      <c r="D2525" s="40" t="s">
        <v>598</v>
      </c>
      <c r="E2525" s="31" t="s">
        <v>599</v>
      </c>
      <c r="F2525" s="31" t="s">
        <v>782</v>
      </c>
      <c r="G2525" s="31" t="s">
        <v>3195</v>
      </c>
      <c r="H2525" s="40" t="s">
        <v>602</v>
      </c>
      <c r="I2525" s="40" t="s">
        <v>3196</v>
      </c>
      <c r="J2525" s="40" t="s">
        <v>3197</v>
      </c>
      <c r="K2525" s="40" t="s">
        <v>591</v>
      </c>
      <c r="L2525" s="11" t="s">
        <v>914</v>
      </c>
      <c r="M2525" s="93">
        <v>1</v>
      </c>
      <c r="N2525" s="94">
        <v>624400</v>
      </c>
      <c r="O2525" s="94">
        <v>624400</v>
      </c>
      <c r="P2525" s="40" t="s">
        <v>502</v>
      </c>
      <c r="Q2525" s="40" t="s">
        <v>766</v>
      </c>
      <c r="R2525" s="84">
        <v>353630100</v>
      </c>
      <c r="S2525" s="40">
        <v>0</v>
      </c>
    </row>
    <row r="2526" spans="1:19" s="92" customFormat="1" ht="89.25">
      <c r="A2526" s="5">
        <v>2511</v>
      </c>
      <c r="B2526" s="15" t="s">
        <v>710</v>
      </c>
      <c r="C2526" s="40" t="s">
        <v>597</v>
      </c>
      <c r="D2526" s="40" t="s">
        <v>598</v>
      </c>
      <c r="E2526" s="31" t="s">
        <v>599</v>
      </c>
      <c r="F2526" s="31" t="s">
        <v>782</v>
      </c>
      <c r="G2526" s="31" t="s">
        <v>3195</v>
      </c>
      <c r="H2526" s="40" t="s">
        <v>602</v>
      </c>
      <c r="I2526" s="40" t="s">
        <v>3196</v>
      </c>
      <c r="J2526" s="40" t="s">
        <v>3197</v>
      </c>
      <c r="K2526" s="40" t="s">
        <v>591</v>
      </c>
      <c r="L2526" s="11" t="s">
        <v>914</v>
      </c>
      <c r="M2526" s="93">
        <v>1</v>
      </c>
      <c r="N2526" s="94">
        <v>624400</v>
      </c>
      <c r="O2526" s="94">
        <v>624400</v>
      </c>
      <c r="P2526" s="40" t="s">
        <v>502</v>
      </c>
      <c r="Q2526" s="40" t="s">
        <v>766</v>
      </c>
      <c r="R2526" s="84">
        <v>353630100</v>
      </c>
      <c r="S2526" s="40">
        <v>0</v>
      </c>
    </row>
    <row r="2527" spans="1:19" s="92" customFormat="1" ht="51">
      <c r="A2527" s="5">
        <v>2512</v>
      </c>
      <c r="B2527" s="15" t="s">
        <v>710</v>
      </c>
      <c r="C2527" s="40" t="s">
        <v>597</v>
      </c>
      <c r="D2527" s="11" t="s">
        <v>850</v>
      </c>
      <c r="E2527" s="76" t="s">
        <v>1736</v>
      </c>
      <c r="F2527" s="76" t="s">
        <v>851</v>
      </c>
      <c r="G2527" s="76" t="s">
        <v>1737</v>
      </c>
      <c r="H2527" s="76" t="s">
        <v>852</v>
      </c>
      <c r="I2527" s="76" t="s">
        <v>3199</v>
      </c>
      <c r="J2527" s="76" t="s">
        <v>3200</v>
      </c>
      <c r="K2527" s="40" t="s">
        <v>591</v>
      </c>
      <c r="L2527" s="11" t="s">
        <v>914</v>
      </c>
      <c r="M2527" s="97">
        <v>1</v>
      </c>
      <c r="N2527" s="94">
        <f>10000*5</f>
        <v>50000</v>
      </c>
      <c r="O2527" s="94">
        <f>N2527</f>
        <v>50000</v>
      </c>
      <c r="P2527" s="40" t="s">
        <v>698</v>
      </c>
      <c r="Q2527" s="40" t="s">
        <v>766</v>
      </c>
      <c r="R2527" s="84">
        <v>353630100</v>
      </c>
      <c r="S2527" s="40">
        <v>0</v>
      </c>
    </row>
    <row r="2528" spans="1:19" s="92" customFormat="1" ht="51">
      <c r="A2528" s="5">
        <v>2513</v>
      </c>
      <c r="B2528" s="15" t="s">
        <v>710</v>
      </c>
      <c r="C2528" s="40" t="s">
        <v>597</v>
      </c>
      <c r="D2528" s="40" t="s">
        <v>2594</v>
      </c>
      <c r="E2528" s="31" t="s">
        <v>2618</v>
      </c>
      <c r="F2528" s="31" t="s">
        <v>2595</v>
      </c>
      <c r="G2528" s="31" t="s">
        <v>2618</v>
      </c>
      <c r="H2528" s="40" t="s">
        <v>2595</v>
      </c>
      <c r="I2528" s="40" t="s">
        <v>3201</v>
      </c>
      <c r="J2528" s="40" t="s">
        <v>3202</v>
      </c>
      <c r="K2528" s="40" t="s">
        <v>591</v>
      </c>
      <c r="L2528" s="11" t="s">
        <v>914</v>
      </c>
      <c r="M2528" s="93">
        <v>1</v>
      </c>
      <c r="N2528" s="94">
        <f>10500*3</f>
        <v>31500</v>
      </c>
      <c r="O2528" s="94">
        <f>N2528</f>
        <v>31500</v>
      </c>
      <c r="P2528" s="40" t="s">
        <v>3116</v>
      </c>
      <c r="Q2528" s="40" t="s">
        <v>766</v>
      </c>
      <c r="R2528" s="84">
        <v>353630100</v>
      </c>
      <c r="S2528" s="40">
        <v>30</v>
      </c>
    </row>
    <row r="2529" spans="1:19" s="92" customFormat="1" ht="89.25">
      <c r="A2529" s="5">
        <v>2514</v>
      </c>
      <c r="B2529" s="15" t="s">
        <v>710</v>
      </c>
      <c r="C2529" s="40" t="s">
        <v>711</v>
      </c>
      <c r="D2529" s="40" t="s">
        <v>976</v>
      </c>
      <c r="E2529" s="31" t="s">
        <v>730</v>
      </c>
      <c r="F2529" s="31" t="s">
        <v>731</v>
      </c>
      <c r="G2529" s="31" t="s">
        <v>977</v>
      </c>
      <c r="H2529" s="40" t="s">
        <v>978</v>
      </c>
      <c r="I2529" s="40" t="s">
        <v>3203</v>
      </c>
      <c r="J2529" s="40" t="s">
        <v>3204</v>
      </c>
      <c r="K2529" s="40" t="s">
        <v>591</v>
      </c>
      <c r="L2529" s="40" t="s">
        <v>644</v>
      </c>
      <c r="M2529" s="93">
        <v>2</v>
      </c>
      <c r="N2529" s="94">
        <v>26800</v>
      </c>
      <c r="O2529" s="94">
        <f>N2529*M2529</f>
        <v>53600</v>
      </c>
      <c r="P2529" s="40" t="s">
        <v>3116</v>
      </c>
      <c r="Q2529" s="40" t="s">
        <v>1051</v>
      </c>
      <c r="R2529" s="84">
        <v>353630100</v>
      </c>
      <c r="S2529" s="40">
        <v>100</v>
      </c>
    </row>
    <row r="2530" spans="1:19" s="92" customFormat="1" ht="63.75">
      <c r="A2530" s="5">
        <v>2515</v>
      </c>
      <c r="B2530" s="15" t="s">
        <v>710</v>
      </c>
      <c r="C2530" s="40" t="s">
        <v>711</v>
      </c>
      <c r="D2530" s="40" t="s">
        <v>744</v>
      </c>
      <c r="E2530" s="31" t="s">
        <v>745</v>
      </c>
      <c r="F2530" s="31" t="s">
        <v>109</v>
      </c>
      <c r="G2530" s="31" t="s">
        <v>746</v>
      </c>
      <c r="H2530" s="40" t="s">
        <v>3205</v>
      </c>
      <c r="I2530" s="40" t="s">
        <v>3206</v>
      </c>
      <c r="J2530" s="40" t="s">
        <v>3207</v>
      </c>
      <c r="K2530" s="40" t="s">
        <v>591</v>
      </c>
      <c r="L2530" s="40" t="s">
        <v>644</v>
      </c>
      <c r="M2530" s="93">
        <v>6</v>
      </c>
      <c r="N2530" s="94">
        <v>4000</v>
      </c>
      <c r="O2530" s="94">
        <f>M2530*N2530</f>
        <v>24000</v>
      </c>
      <c r="P2530" s="40" t="s">
        <v>3116</v>
      </c>
      <c r="Q2530" s="40" t="s">
        <v>1051</v>
      </c>
      <c r="R2530" s="84">
        <v>353630100</v>
      </c>
      <c r="S2530" s="40">
        <v>100</v>
      </c>
    </row>
    <row r="2531" spans="1:19" s="92" customFormat="1" ht="51">
      <c r="A2531" s="5">
        <v>2516</v>
      </c>
      <c r="B2531" s="15" t="s">
        <v>710</v>
      </c>
      <c r="C2531" s="40" t="s">
        <v>711</v>
      </c>
      <c r="D2531" s="98" t="s">
        <v>422</v>
      </c>
      <c r="E2531" s="76" t="s">
        <v>423</v>
      </c>
      <c r="F2531" s="76" t="s">
        <v>427</v>
      </c>
      <c r="G2531" s="76" t="s">
        <v>837</v>
      </c>
      <c r="H2531" s="76" t="s">
        <v>425</v>
      </c>
      <c r="I2531" s="76" t="s">
        <v>3208</v>
      </c>
      <c r="J2531" s="76" t="s">
        <v>3209</v>
      </c>
      <c r="K2531" s="76" t="s">
        <v>591</v>
      </c>
      <c r="L2531" s="11" t="s">
        <v>909</v>
      </c>
      <c r="M2531" s="53">
        <v>18</v>
      </c>
      <c r="N2531" s="94">
        <v>640</v>
      </c>
      <c r="O2531" s="94">
        <f>N2531*M2531</f>
        <v>11520</v>
      </c>
      <c r="P2531" s="40" t="s">
        <v>3116</v>
      </c>
      <c r="Q2531" s="40" t="s">
        <v>766</v>
      </c>
      <c r="R2531" s="84">
        <v>353630100</v>
      </c>
      <c r="S2531" s="40">
        <v>100</v>
      </c>
    </row>
    <row r="2532" spans="1:19" s="92" customFormat="1" ht="76.5">
      <c r="A2532" s="5">
        <v>2517</v>
      </c>
      <c r="B2532" s="15" t="s">
        <v>710</v>
      </c>
      <c r="C2532" s="40" t="s">
        <v>711</v>
      </c>
      <c r="D2532" s="40" t="s">
        <v>723</v>
      </c>
      <c r="E2532" s="31" t="s">
        <v>874</v>
      </c>
      <c r="F2532" s="31" t="s">
        <v>874</v>
      </c>
      <c r="G2532" s="31" t="s">
        <v>875</v>
      </c>
      <c r="H2532" s="40" t="s">
        <v>876</v>
      </c>
      <c r="I2532" s="40" t="s">
        <v>3210</v>
      </c>
      <c r="J2532" s="40" t="s">
        <v>3211</v>
      </c>
      <c r="K2532" s="40" t="s">
        <v>591</v>
      </c>
      <c r="L2532" s="40" t="s">
        <v>644</v>
      </c>
      <c r="M2532" s="93">
        <v>1</v>
      </c>
      <c r="N2532" s="94">
        <v>30000</v>
      </c>
      <c r="O2532" s="94">
        <f>N2532*M2532</f>
        <v>30000</v>
      </c>
      <c r="P2532" s="40" t="s">
        <v>3116</v>
      </c>
      <c r="Q2532" s="40" t="s">
        <v>1051</v>
      </c>
      <c r="R2532" s="84">
        <v>353630100</v>
      </c>
      <c r="S2532" s="40">
        <v>100</v>
      </c>
    </row>
    <row r="2533" spans="1:19" s="92" customFormat="1" ht="89.25">
      <c r="A2533" s="5">
        <v>2518</v>
      </c>
      <c r="B2533" s="15" t="s">
        <v>710</v>
      </c>
      <c r="C2533" s="40" t="s">
        <v>597</v>
      </c>
      <c r="D2533" s="40" t="s">
        <v>598</v>
      </c>
      <c r="E2533" s="31" t="s">
        <v>599</v>
      </c>
      <c r="F2533" s="31" t="s">
        <v>782</v>
      </c>
      <c r="G2533" s="31" t="s">
        <v>3195</v>
      </c>
      <c r="H2533" s="40" t="s">
        <v>602</v>
      </c>
      <c r="I2533" s="40" t="s">
        <v>3196</v>
      </c>
      <c r="J2533" s="40" t="s">
        <v>3197</v>
      </c>
      <c r="K2533" s="40" t="s">
        <v>591</v>
      </c>
      <c r="L2533" s="11" t="s">
        <v>914</v>
      </c>
      <c r="M2533" s="93">
        <v>1</v>
      </c>
      <c r="N2533" s="94">
        <v>624400</v>
      </c>
      <c r="O2533" s="94">
        <v>624400</v>
      </c>
      <c r="P2533" s="40" t="s">
        <v>502</v>
      </c>
      <c r="Q2533" s="40" t="s">
        <v>766</v>
      </c>
      <c r="R2533" s="84">
        <v>356430100</v>
      </c>
      <c r="S2533" s="40">
        <v>0</v>
      </c>
    </row>
    <row r="2534" spans="1:19" s="92" customFormat="1" ht="89.25">
      <c r="A2534" s="5">
        <v>2519</v>
      </c>
      <c r="B2534" s="15" t="s">
        <v>710</v>
      </c>
      <c r="C2534" s="40" t="s">
        <v>597</v>
      </c>
      <c r="D2534" s="40" t="s">
        <v>598</v>
      </c>
      <c r="E2534" s="31" t="s">
        <v>599</v>
      </c>
      <c r="F2534" s="31" t="s">
        <v>782</v>
      </c>
      <c r="G2534" s="31" t="s">
        <v>3195</v>
      </c>
      <c r="H2534" s="40" t="s">
        <v>602</v>
      </c>
      <c r="I2534" s="40" t="s">
        <v>3196</v>
      </c>
      <c r="J2534" s="40" t="s">
        <v>3197</v>
      </c>
      <c r="K2534" s="40" t="s">
        <v>591</v>
      </c>
      <c r="L2534" s="11" t="s">
        <v>914</v>
      </c>
      <c r="M2534" s="93">
        <v>1</v>
      </c>
      <c r="N2534" s="94">
        <v>624400</v>
      </c>
      <c r="O2534" s="94">
        <v>624400</v>
      </c>
      <c r="P2534" s="40" t="s">
        <v>502</v>
      </c>
      <c r="Q2534" s="40" t="s">
        <v>766</v>
      </c>
      <c r="R2534" s="84">
        <v>356430100</v>
      </c>
      <c r="S2534" s="40">
        <v>0</v>
      </c>
    </row>
    <row r="2535" spans="1:19" s="92" customFormat="1" ht="51">
      <c r="A2535" s="5">
        <v>2520</v>
      </c>
      <c r="B2535" s="15" t="s">
        <v>710</v>
      </c>
      <c r="C2535" s="40" t="s">
        <v>597</v>
      </c>
      <c r="D2535" s="11" t="s">
        <v>850</v>
      </c>
      <c r="E2535" s="76" t="s">
        <v>1736</v>
      </c>
      <c r="F2535" s="76" t="s">
        <v>851</v>
      </c>
      <c r="G2535" s="76" t="s">
        <v>1737</v>
      </c>
      <c r="H2535" s="76" t="s">
        <v>852</v>
      </c>
      <c r="I2535" s="76" t="s">
        <v>3199</v>
      </c>
      <c r="J2535" s="76" t="s">
        <v>3200</v>
      </c>
      <c r="K2535" s="40" t="s">
        <v>591</v>
      </c>
      <c r="L2535" s="11" t="s">
        <v>914</v>
      </c>
      <c r="M2535" s="97">
        <v>1</v>
      </c>
      <c r="N2535" s="94">
        <f>10000*5</f>
        <v>50000</v>
      </c>
      <c r="O2535" s="94">
        <f>N2535</f>
        <v>50000</v>
      </c>
      <c r="P2535" s="40" t="s">
        <v>698</v>
      </c>
      <c r="Q2535" s="40" t="s">
        <v>766</v>
      </c>
      <c r="R2535" s="84">
        <v>356430100</v>
      </c>
      <c r="S2535" s="40">
        <v>0</v>
      </c>
    </row>
    <row r="2536" spans="1:19" s="92" customFormat="1" ht="51">
      <c r="A2536" s="5">
        <v>2521</v>
      </c>
      <c r="B2536" s="15" t="s">
        <v>710</v>
      </c>
      <c r="C2536" s="40" t="s">
        <v>597</v>
      </c>
      <c r="D2536" s="40" t="s">
        <v>2594</v>
      </c>
      <c r="E2536" s="31" t="s">
        <v>2618</v>
      </c>
      <c r="F2536" s="31" t="s">
        <v>2595</v>
      </c>
      <c r="G2536" s="31" t="s">
        <v>2618</v>
      </c>
      <c r="H2536" s="40" t="s">
        <v>2595</v>
      </c>
      <c r="I2536" s="40" t="s">
        <v>3201</v>
      </c>
      <c r="J2536" s="40" t="s">
        <v>3202</v>
      </c>
      <c r="K2536" s="40" t="s">
        <v>591</v>
      </c>
      <c r="L2536" s="11" t="s">
        <v>914</v>
      </c>
      <c r="M2536" s="93">
        <v>1</v>
      </c>
      <c r="N2536" s="94">
        <f>10500*3</f>
        <v>31500</v>
      </c>
      <c r="O2536" s="94">
        <f>N2536</f>
        <v>31500</v>
      </c>
      <c r="P2536" s="40" t="s">
        <v>3116</v>
      </c>
      <c r="Q2536" s="40" t="s">
        <v>766</v>
      </c>
      <c r="R2536" s="84">
        <v>356430100</v>
      </c>
      <c r="S2536" s="40">
        <v>30</v>
      </c>
    </row>
    <row r="2537" spans="1:19" s="92" customFormat="1" ht="89.25">
      <c r="A2537" s="5">
        <v>2522</v>
      </c>
      <c r="B2537" s="15" t="s">
        <v>710</v>
      </c>
      <c r="C2537" s="40" t="s">
        <v>711</v>
      </c>
      <c r="D2537" s="40" t="s">
        <v>976</v>
      </c>
      <c r="E2537" s="31" t="s">
        <v>730</v>
      </c>
      <c r="F2537" s="31" t="s">
        <v>731</v>
      </c>
      <c r="G2537" s="31" t="s">
        <v>977</v>
      </c>
      <c r="H2537" s="40" t="s">
        <v>978</v>
      </c>
      <c r="I2537" s="40" t="s">
        <v>3203</v>
      </c>
      <c r="J2537" s="40" t="s">
        <v>3204</v>
      </c>
      <c r="K2537" s="40" t="s">
        <v>591</v>
      </c>
      <c r="L2537" s="40" t="s">
        <v>644</v>
      </c>
      <c r="M2537" s="93">
        <v>2</v>
      </c>
      <c r="N2537" s="94">
        <v>26800</v>
      </c>
      <c r="O2537" s="94">
        <f>N2537*M2537</f>
        <v>53600</v>
      </c>
      <c r="P2537" s="40" t="s">
        <v>3116</v>
      </c>
      <c r="Q2537" s="40" t="s">
        <v>1051</v>
      </c>
      <c r="R2537" s="84">
        <v>356430100</v>
      </c>
      <c r="S2537" s="40">
        <v>100</v>
      </c>
    </row>
    <row r="2538" spans="1:19" s="92" customFormat="1" ht="63.75">
      <c r="A2538" s="5">
        <v>2523</v>
      </c>
      <c r="B2538" s="15" t="s">
        <v>710</v>
      </c>
      <c r="C2538" s="40" t="s">
        <v>711</v>
      </c>
      <c r="D2538" s="40" t="s">
        <v>744</v>
      </c>
      <c r="E2538" s="31" t="s">
        <v>745</v>
      </c>
      <c r="F2538" s="31" t="s">
        <v>109</v>
      </c>
      <c r="G2538" s="31" t="s">
        <v>746</v>
      </c>
      <c r="H2538" s="40" t="s">
        <v>3205</v>
      </c>
      <c r="I2538" s="40" t="s">
        <v>3206</v>
      </c>
      <c r="J2538" s="40" t="s">
        <v>3207</v>
      </c>
      <c r="K2538" s="40" t="s">
        <v>591</v>
      </c>
      <c r="L2538" s="40" t="s">
        <v>644</v>
      </c>
      <c r="M2538" s="93">
        <v>6</v>
      </c>
      <c r="N2538" s="94">
        <v>4000</v>
      </c>
      <c r="O2538" s="94">
        <f>M2538*N2538</f>
        <v>24000</v>
      </c>
      <c r="P2538" s="40" t="s">
        <v>3116</v>
      </c>
      <c r="Q2538" s="40" t="s">
        <v>1051</v>
      </c>
      <c r="R2538" s="84">
        <v>356430100</v>
      </c>
      <c r="S2538" s="40">
        <v>100</v>
      </c>
    </row>
    <row r="2539" spans="1:19" s="92" customFormat="1" ht="51">
      <c r="A2539" s="5">
        <v>2524</v>
      </c>
      <c r="B2539" s="15" t="s">
        <v>710</v>
      </c>
      <c r="C2539" s="40" t="s">
        <v>711</v>
      </c>
      <c r="D2539" s="98" t="s">
        <v>422</v>
      </c>
      <c r="E2539" s="76" t="s">
        <v>423</v>
      </c>
      <c r="F2539" s="76" t="s">
        <v>427</v>
      </c>
      <c r="G2539" s="76" t="s">
        <v>837</v>
      </c>
      <c r="H2539" s="76" t="s">
        <v>425</v>
      </c>
      <c r="I2539" s="76" t="s">
        <v>3208</v>
      </c>
      <c r="J2539" s="76" t="s">
        <v>3209</v>
      </c>
      <c r="K2539" s="76" t="s">
        <v>591</v>
      </c>
      <c r="L2539" s="11" t="s">
        <v>909</v>
      </c>
      <c r="M2539" s="53">
        <v>18</v>
      </c>
      <c r="N2539" s="94">
        <v>640</v>
      </c>
      <c r="O2539" s="94">
        <f>N2539*M2539</f>
        <v>11520</v>
      </c>
      <c r="P2539" s="40" t="s">
        <v>3116</v>
      </c>
      <c r="Q2539" s="40" t="s">
        <v>766</v>
      </c>
      <c r="R2539" s="84">
        <v>356430100</v>
      </c>
      <c r="S2539" s="40">
        <v>100</v>
      </c>
    </row>
    <row r="2540" spans="1:19" s="92" customFormat="1" ht="76.5">
      <c r="A2540" s="5">
        <v>2525</v>
      </c>
      <c r="B2540" s="15" t="s">
        <v>710</v>
      </c>
      <c r="C2540" s="40" t="s">
        <v>711</v>
      </c>
      <c r="D2540" s="40" t="s">
        <v>723</v>
      </c>
      <c r="E2540" s="31" t="s">
        <v>874</v>
      </c>
      <c r="F2540" s="31" t="s">
        <v>874</v>
      </c>
      <c r="G2540" s="31" t="s">
        <v>875</v>
      </c>
      <c r="H2540" s="40" t="s">
        <v>876</v>
      </c>
      <c r="I2540" s="40" t="s">
        <v>3210</v>
      </c>
      <c r="J2540" s="40" t="s">
        <v>3211</v>
      </c>
      <c r="K2540" s="40" t="s">
        <v>591</v>
      </c>
      <c r="L2540" s="40" t="s">
        <v>644</v>
      </c>
      <c r="M2540" s="93">
        <v>1</v>
      </c>
      <c r="N2540" s="94">
        <v>30000</v>
      </c>
      <c r="O2540" s="94">
        <f>N2540*M2540</f>
        <v>30000</v>
      </c>
      <c r="P2540" s="40" t="s">
        <v>3116</v>
      </c>
      <c r="Q2540" s="40" t="s">
        <v>1051</v>
      </c>
      <c r="R2540" s="84">
        <v>356430100</v>
      </c>
      <c r="S2540" s="40">
        <v>100</v>
      </c>
    </row>
    <row r="2541" spans="1:19" s="92" customFormat="1" ht="89.25">
      <c r="A2541" s="5">
        <v>2526</v>
      </c>
      <c r="B2541" s="15" t="s">
        <v>710</v>
      </c>
      <c r="C2541" s="40" t="s">
        <v>597</v>
      </c>
      <c r="D2541" s="40" t="s">
        <v>598</v>
      </c>
      <c r="E2541" s="31" t="s">
        <v>599</v>
      </c>
      <c r="F2541" s="31" t="s">
        <v>782</v>
      </c>
      <c r="G2541" s="31" t="s">
        <v>3195</v>
      </c>
      <c r="H2541" s="40" t="s">
        <v>602</v>
      </c>
      <c r="I2541" s="40" t="s">
        <v>3196</v>
      </c>
      <c r="J2541" s="40" t="s">
        <v>3197</v>
      </c>
      <c r="K2541" s="40" t="s">
        <v>591</v>
      </c>
      <c r="L2541" s="11" t="s">
        <v>914</v>
      </c>
      <c r="M2541" s="93">
        <v>1</v>
      </c>
      <c r="N2541" s="94">
        <v>624400</v>
      </c>
      <c r="O2541" s="94">
        <v>624400</v>
      </c>
      <c r="P2541" s="40" t="s">
        <v>502</v>
      </c>
      <c r="Q2541" s="40" t="s">
        <v>766</v>
      </c>
      <c r="R2541" s="84">
        <v>355230100</v>
      </c>
      <c r="S2541" s="40">
        <v>0</v>
      </c>
    </row>
    <row r="2542" spans="1:19" s="92" customFormat="1" ht="89.25">
      <c r="A2542" s="5">
        <v>2527</v>
      </c>
      <c r="B2542" s="15" t="s">
        <v>710</v>
      </c>
      <c r="C2542" s="40" t="s">
        <v>597</v>
      </c>
      <c r="D2542" s="40" t="s">
        <v>598</v>
      </c>
      <c r="E2542" s="31" t="s">
        <v>599</v>
      </c>
      <c r="F2542" s="31" t="s">
        <v>782</v>
      </c>
      <c r="G2542" s="31" t="s">
        <v>3195</v>
      </c>
      <c r="H2542" s="40" t="s">
        <v>602</v>
      </c>
      <c r="I2542" s="40" t="s">
        <v>3196</v>
      </c>
      <c r="J2542" s="40" t="s">
        <v>3197</v>
      </c>
      <c r="K2542" s="40" t="s">
        <v>591</v>
      </c>
      <c r="L2542" s="11" t="s">
        <v>914</v>
      </c>
      <c r="M2542" s="93">
        <v>1</v>
      </c>
      <c r="N2542" s="94">
        <v>624400</v>
      </c>
      <c r="O2542" s="94">
        <v>624400</v>
      </c>
      <c r="P2542" s="40" t="s">
        <v>502</v>
      </c>
      <c r="Q2542" s="40" t="s">
        <v>766</v>
      </c>
      <c r="R2542" s="84">
        <v>355230100</v>
      </c>
      <c r="S2542" s="40">
        <v>0</v>
      </c>
    </row>
    <row r="2543" spans="1:19" s="92" customFormat="1" ht="51">
      <c r="A2543" s="5">
        <v>2528</v>
      </c>
      <c r="B2543" s="15" t="s">
        <v>710</v>
      </c>
      <c r="C2543" s="40" t="s">
        <v>597</v>
      </c>
      <c r="D2543" s="11" t="s">
        <v>850</v>
      </c>
      <c r="E2543" s="76" t="s">
        <v>1736</v>
      </c>
      <c r="F2543" s="76" t="s">
        <v>851</v>
      </c>
      <c r="G2543" s="76" t="s">
        <v>1737</v>
      </c>
      <c r="H2543" s="76" t="s">
        <v>852</v>
      </c>
      <c r="I2543" s="76" t="s">
        <v>3199</v>
      </c>
      <c r="J2543" s="76" t="s">
        <v>3200</v>
      </c>
      <c r="K2543" s="40" t="s">
        <v>591</v>
      </c>
      <c r="L2543" s="11" t="s">
        <v>914</v>
      </c>
      <c r="M2543" s="97">
        <v>1</v>
      </c>
      <c r="N2543" s="94">
        <f>10000*5</f>
        <v>50000</v>
      </c>
      <c r="O2543" s="94">
        <f>N2543</f>
        <v>50000</v>
      </c>
      <c r="P2543" s="40" t="s">
        <v>698</v>
      </c>
      <c r="Q2543" s="40" t="s">
        <v>766</v>
      </c>
      <c r="R2543" s="84">
        <v>355230100</v>
      </c>
      <c r="S2543" s="40">
        <v>0</v>
      </c>
    </row>
    <row r="2544" spans="1:19" s="92" customFormat="1" ht="51">
      <c r="A2544" s="5">
        <v>2529</v>
      </c>
      <c r="B2544" s="15" t="s">
        <v>710</v>
      </c>
      <c r="C2544" s="40" t="s">
        <v>597</v>
      </c>
      <c r="D2544" s="40" t="s">
        <v>2594</v>
      </c>
      <c r="E2544" s="31" t="s">
        <v>2618</v>
      </c>
      <c r="F2544" s="31" t="s">
        <v>2595</v>
      </c>
      <c r="G2544" s="31" t="s">
        <v>2618</v>
      </c>
      <c r="H2544" s="40" t="s">
        <v>2595</v>
      </c>
      <c r="I2544" s="40" t="s">
        <v>3201</v>
      </c>
      <c r="J2544" s="40" t="s">
        <v>3202</v>
      </c>
      <c r="K2544" s="40" t="s">
        <v>591</v>
      </c>
      <c r="L2544" s="11" t="s">
        <v>914</v>
      </c>
      <c r="M2544" s="93">
        <v>1</v>
      </c>
      <c r="N2544" s="94">
        <f>10500*3</f>
        <v>31500</v>
      </c>
      <c r="O2544" s="94">
        <f>N2544</f>
        <v>31500</v>
      </c>
      <c r="P2544" s="40" t="s">
        <v>3116</v>
      </c>
      <c r="Q2544" s="40" t="s">
        <v>766</v>
      </c>
      <c r="R2544" s="84">
        <v>355230100</v>
      </c>
      <c r="S2544" s="40">
        <v>30</v>
      </c>
    </row>
    <row r="2545" spans="1:19" s="92" customFormat="1" ht="89.25">
      <c r="A2545" s="5">
        <v>2530</v>
      </c>
      <c r="B2545" s="15" t="s">
        <v>710</v>
      </c>
      <c r="C2545" s="40" t="s">
        <v>711</v>
      </c>
      <c r="D2545" s="40" t="s">
        <v>976</v>
      </c>
      <c r="E2545" s="31" t="s">
        <v>730</v>
      </c>
      <c r="F2545" s="31" t="s">
        <v>731</v>
      </c>
      <c r="G2545" s="31" t="s">
        <v>977</v>
      </c>
      <c r="H2545" s="40" t="s">
        <v>978</v>
      </c>
      <c r="I2545" s="40" t="s">
        <v>3203</v>
      </c>
      <c r="J2545" s="40" t="s">
        <v>3204</v>
      </c>
      <c r="K2545" s="40" t="s">
        <v>591</v>
      </c>
      <c r="L2545" s="40" t="s">
        <v>644</v>
      </c>
      <c r="M2545" s="93">
        <v>2</v>
      </c>
      <c r="N2545" s="94">
        <v>26800</v>
      </c>
      <c r="O2545" s="94">
        <f>N2545*M2545</f>
        <v>53600</v>
      </c>
      <c r="P2545" s="40" t="s">
        <v>3116</v>
      </c>
      <c r="Q2545" s="40" t="s">
        <v>1051</v>
      </c>
      <c r="R2545" s="84">
        <v>355230100</v>
      </c>
      <c r="S2545" s="40">
        <v>100</v>
      </c>
    </row>
    <row r="2546" spans="1:19" s="92" customFormat="1" ht="63.75">
      <c r="A2546" s="5">
        <v>2531</v>
      </c>
      <c r="B2546" s="15" t="s">
        <v>710</v>
      </c>
      <c r="C2546" s="40" t="s">
        <v>711</v>
      </c>
      <c r="D2546" s="40" t="s">
        <v>744</v>
      </c>
      <c r="E2546" s="31" t="s">
        <v>745</v>
      </c>
      <c r="F2546" s="31" t="s">
        <v>109</v>
      </c>
      <c r="G2546" s="31" t="s">
        <v>746</v>
      </c>
      <c r="H2546" s="40" t="s">
        <v>3205</v>
      </c>
      <c r="I2546" s="40" t="s">
        <v>3206</v>
      </c>
      <c r="J2546" s="40" t="s">
        <v>3207</v>
      </c>
      <c r="K2546" s="40" t="s">
        <v>591</v>
      </c>
      <c r="L2546" s="40" t="s">
        <v>644</v>
      </c>
      <c r="M2546" s="93">
        <v>6</v>
      </c>
      <c r="N2546" s="94">
        <v>4000</v>
      </c>
      <c r="O2546" s="94">
        <f>M2546*N2546</f>
        <v>24000</v>
      </c>
      <c r="P2546" s="40" t="s">
        <v>3116</v>
      </c>
      <c r="Q2546" s="40" t="s">
        <v>1051</v>
      </c>
      <c r="R2546" s="84">
        <v>355230100</v>
      </c>
      <c r="S2546" s="40">
        <v>100</v>
      </c>
    </row>
    <row r="2547" spans="1:19" s="92" customFormat="1" ht="51">
      <c r="A2547" s="5">
        <v>2532</v>
      </c>
      <c r="B2547" s="15" t="s">
        <v>710</v>
      </c>
      <c r="C2547" s="40" t="s">
        <v>711</v>
      </c>
      <c r="D2547" s="98" t="s">
        <v>422</v>
      </c>
      <c r="E2547" s="76" t="s">
        <v>423</v>
      </c>
      <c r="F2547" s="76" t="s">
        <v>427</v>
      </c>
      <c r="G2547" s="76" t="s">
        <v>837</v>
      </c>
      <c r="H2547" s="76" t="s">
        <v>425</v>
      </c>
      <c r="I2547" s="76" t="s">
        <v>3208</v>
      </c>
      <c r="J2547" s="76" t="s">
        <v>3209</v>
      </c>
      <c r="K2547" s="76" t="s">
        <v>591</v>
      </c>
      <c r="L2547" s="11" t="s">
        <v>909</v>
      </c>
      <c r="M2547" s="53">
        <v>18</v>
      </c>
      <c r="N2547" s="94">
        <v>640</v>
      </c>
      <c r="O2547" s="94">
        <f>N2547*M2547</f>
        <v>11520</v>
      </c>
      <c r="P2547" s="40" t="s">
        <v>3116</v>
      </c>
      <c r="Q2547" s="40" t="s">
        <v>766</v>
      </c>
      <c r="R2547" s="84">
        <v>355230100</v>
      </c>
      <c r="S2547" s="40">
        <v>100</v>
      </c>
    </row>
    <row r="2548" spans="1:19" s="92" customFormat="1" ht="76.5">
      <c r="A2548" s="5">
        <v>2533</v>
      </c>
      <c r="B2548" s="15" t="s">
        <v>710</v>
      </c>
      <c r="C2548" s="40" t="s">
        <v>711</v>
      </c>
      <c r="D2548" s="40" t="s">
        <v>723</v>
      </c>
      <c r="E2548" s="31" t="s">
        <v>874</v>
      </c>
      <c r="F2548" s="31" t="s">
        <v>874</v>
      </c>
      <c r="G2548" s="31" t="s">
        <v>875</v>
      </c>
      <c r="H2548" s="40" t="s">
        <v>876</v>
      </c>
      <c r="I2548" s="40" t="s">
        <v>3210</v>
      </c>
      <c r="J2548" s="40" t="s">
        <v>3211</v>
      </c>
      <c r="K2548" s="40" t="s">
        <v>591</v>
      </c>
      <c r="L2548" s="40" t="s">
        <v>644</v>
      </c>
      <c r="M2548" s="93">
        <v>1</v>
      </c>
      <c r="N2548" s="94">
        <v>30000</v>
      </c>
      <c r="O2548" s="94">
        <f>N2548*M2548</f>
        <v>30000</v>
      </c>
      <c r="P2548" s="40" t="s">
        <v>3116</v>
      </c>
      <c r="Q2548" s="40" t="s">
        <v>1051</v>
      </c>
      <c r="R2548" s="84">
        <v>355230100</v>
      </c>
      <c r="S2548" s="40">
        <v>100</v>
      </c>
    </row>
    <row r="2549" spans="1:19" s="92" customFormat="1" ht="89.25">
      <c r="A2549" s="5">
        <v>2534</v>
      </c>
      <c r="B2549" s="15" t="s">
        <v>710</v>
      </c>
      <c r="C2549" s="40" t="s">
        <v>597</v>
      </c>
      <c r="D2549" s="40" t="s">
        <v>598</v>
      </c>
      <c r="E2549" s="31" t="s">
        <v>599</v>
      </c>
      <c r="F2549" s="31" t="s">
        <v>782</v>
      </c>
      <c r="G2549" s="31" t="s">
        <v>3195</v>
      </c>
      <c r="H2549" s="40" t="s">
        <v>602</v>
      </c>
      <c r="I2549" s="40" t="s">
        <v>3196</v>
      </c>
      <c r="J2549" s="40" t="s">
        <v>3197</v>
      </c>
      <c r="K2549" s="40" t="s">
        <v>591</v>
      </c>
      <c r="L2549" s="11" t="s">
        <v>914</v>
      </c>
      <c r="M2549" s="93">
        <v>1</v>
      </c>
      <c r="N2549" s="94">
        <v>624400</v>
      </c>
      <c r="O2549" s="94">
        <v>624400</v>
      </c>
      <c r="P2549" s="40" t="s">
        <v>502</v>
      </c>
      <c r="Q2549" s="40" t="s">
        <v>766</v>
      </c>
      <c r="R2549" s="84">
        <v>355630100</v>
      </c>
      <c r="S2549" s="40">
        <v>0</v>
      </c>
    </row>
    <row r="2550" spans="1:19" s="92" customFormat="1" ht="89.25">
      <c r="A2550" s="5">
        <v>2535</v>
      </c>
      <c r="B2550" s="15" t="s">
        <v>710</v>
      </c>
      <c r="C2550" s="40" t="s">
        <v>597</v>
      </c>
      <c r="D2550" s="40" t="s">
        <v>598</v>
      </c>
      <c r="E2550" s="31" t="s">
        <v>599</v>
      </c>
      <c r="F2550" s="31" t="s">
        <v>782</v>
      </c>
      <c r="G2550" s="31" t="s">
        <v>3195</v>
      </c>
      <c r="H2550" s="40" t="s">
        <v>602</v>
      </c>
      <c r="I2550" s="40" t="s">
        <v>3196</v>
      </c>
      <c r="J2550" s="40" t="s">
        <v>3197</v>
      </c>
      <c r="K2550" s="40" t="s">
        <v>591</v>
      </c>
      <c r="L2550" s="11" t="s">
        <v>914</v>
      </c>
      <c r="M2550" s="93">
        <v>1</v>
      </c>
      <c r="N2550" s="94">
        <v>624400</v>
      </c>
      <c r="O2550" s="94">
        <v>624400</v>
      </c>
      <c r="P2550" s="40" t="s">
        <v>502</v>
      </c>
      <c r="Q2550" s="40" t="s">
        <v>766</v>
      </c>
      <c r="R2550" s="84">
        <v>355630100</v>
      </c>
      <c r="S2550" s="40">
        <v>0</v>
      </c>
    </row>
    <row r="2551" spans="1:19" s="92" customFormat="1" ht="51">
      <c r="A2551" s="5">
        <v>2536</v>
      </c>
      <c r="B2551" s="15" t="s">
        <v>710</v>
      </c>
      <c r="C2551" s="40" t="s">
        <v>597</v>
      </c>
      <c r="D2551" s="11" t="s">
        <v>850</v>
      </c>
      <c r="E2551" s="76" t="s">
        <v>1736</v>
      </c>
      <c r="F2551" s="76" t="s">
        <v>851</v>
      </c>
      <c r="G2551" s="76" t="s">
        <v>1737</v>
      </c>
      <c r="H2551" s="76" t="s">
        <v>852</v>
      </c>
      <c r="I2551" s="76" t="s">
        <v>3199</v>
      </c>
      <c r="J2551" s="76" t="s">
        <v>3200</v>
      </c>
      <c r="K2551" s="40" t="s">
        <v>591</v>
      </c>
      <c r="L2551" s="11" t="s">
        <v>914</v>
      </c>
      <c r="M2551" s="97">
        <v>1</v>
      </c>
      <c r="N2551" s="94">
        <f>10000*5</f>
        <v>50000</v>
      </c>
      <c r="O2551" s="94">
        <f>N2551</f>
        <v>50000</v>
      </c>
      <c r="P2551" s="40" t="s">
        <v>698</v>
      </c>
      <c r="Q2551" s="40" t="s">
        <v>766</v>
      </c>
      <c r="R2551" s="84">
        <v>355630100</v>
      </c>
      <c r="S2551" s="40">
        <v>0</v>
      </c>
    </row>
    <row r="2552" spans="1:19" s="92" customFormat="1" ht="51">
      <c r="A2552" s="5">
        <v>2537</v>
      </c>
      <c r="B2552" s="15" t="s">
        <v>710</v>
      </c>
      <c r="C2552" s="40" t="s">
        <v>597</v>
      </c>
      <c r="D2552" s="40" t="s">
        <v>2594</v>
      </c>
      <c r="E2552" s="31" t="s">
        <v>2618</v>
      </c>
      <c r="F2552" s="31" t="s">
        <v>2595</v>
      </c>
      <c r="G2552" s="31" t="s">
        <v>2618</v>
      </c>
      <c r="H2552" s="40" t="s">
        <v>2595</v>
      </c>
      <c r="I2552" s="40" t="s">
        <v>3201</v>
      </c>
      <c r="J2552" s="40" t="s">
        <v>3202</v>
      </c>
      <c r="K2552" s="40" t="s">
        <v>591</v>
      </c>
      <c r="L2552" s="11" t="s">
        <v>914</v>
      </c>
      <c r="M2552" s="93">
        <v>1</v>
      </c>
      <c r="N2552" s="94">
        <f>10500*3</f>
        <v>31500</v>
      </c>
      <c r="O2552" s="94">
        <f>N2552</f>
        <v>31500</v>
      </c>
      <c r="P2552" s="40" t="s">
        <v>3116</v>
      </c>
      <c r="Q2552" s="40" t="s">
        <v>766</v>
      </c>
      <c r="R2552" s="84">
        <v>355630100</v>
      </c>
      <c r="S2552" s="40">
        <v>30</v>
      </c>
    </row>
    <row r="2553" spans="1:19" s="92" customFormat="1" ht="89.25">
      <c r="A2553" s="5">
        <v>2538</v>
      </c>
      <c r="B2553" s="15" t="s">
        <v>710</v>
      </c>
      <c r="C2553" s="40" t="s">
        <v>711</v>
      </c>
      <c r="D2553" s="40" t="s">
        <v>976</v>
      </c>
      <c r="E2553" s="31" t="s">
        <v>730</v>
      </c>
      <c r="F2553" s="31" t="s">
        <v>731</v>
      </c>
      <c r="G2553" s="31" t="s">
        <v>977</v>
      </c>
      <c r="H2553" s="40" t="s">
        <v>978</v>
      </c>
      <c r="I2553" s="40" t="s">
        <v>3203</v>
      </c>
      <c r="J2553" s="40" t="s">
        <v>3204</v>
      </c>
      <c r="K2553" s="40" t="s">
        <v>591</v>
      </c>
      <c r="L2553" s="40" t="s">
        <v>644</v>
      </c>
      <c r="M2553" s="93">
        <v>2</v>
      </c>
      <c r="N2553" s="94">
        <v>26800</v>
      </c>
      <c r="O2553" s="94">
        <f>N2553*M2553</f>
        <v>53600</v>
      </c>
      <c r="P2553" s="40" t="s">
        <v>3116</v>
      </c>
      <c r="Q2553" s="40" t="s">
        <v>1051</v>
      </c>
      <c r="R2553" s="84">
        <v>355630100</v>
      </c>
      <c r="S2553" s="40">
        <v>100</v>
      </c>
    </row>
    <row r="2554" spans="1:19" s="92" customFormat="1" ht="63.75">
      <c r="A2554" s="5">
        <v>2539</v>
      </c>
      <c r="B2554" s="15" t="s">
        <v>710</v>
      </c>
      <c r="C2554" s="40" t="s">
        <v>711</v>
      </c>
      <c r="D2554" s="40" t="s">
        <v>744</v>
      </c>
      <c r="E2554" s="31" t="s">
        <v>745</v>
      </c>
      <c r="F2554" s="31" t="s">
        <v>109</v>
      </c>
      <c r="G2554" s="31" t="s">
        <v>746</v>
      </c>
      <c r="H2554" s="40" t="s">
        <v>3205</v>
      </c>
      <c r="I2554" s="40" t="s">
        <v>3206</v>
      </c>
      <c r="J2554" s="40" t="s">
        <v>3207</v>
      </c>
      <c r="K2554" s="40" t="s">
        <v>591</v>
      </c>
      <c r="L2554" s="40" t="s">
        <v>644</v>
      </c>
      <c r="M2554" s="93">
        <v>6</v>
      </c>
      <c r="N2554" s="94">
        <v>4000</v>
      </c>
      <c r="O2554" s="94">
        <f>M2554*N2554</f>
        <v>24000</v>
      </c>
      <c r="P2554" s="40" t="s">
        <v>3116</v>
      </c>
      <c r="Q2554" s="40" t="s">
        <v>1051</v>
      </c>
      <c r="R2554" s="84">
        <v>355630100</v>
      </c>
      <c r="S2554" s="40">
        <v>100</v>
      </c>
    </row>
    <row r="2555" spans="1:19" s="92" customFormat="1" ht="51">
      <c r="A2555" s="5">
        <v>2540</v>
      </c>
      <c r="B2555" s="15" t="s">
        <v>710</v>
      </c>
      <c r="C2555" s="40" t="s">
        <v>711</v>
      </c>
      <c r="D2555" s="98" t="s">
        <v>422</v>
      </c>
      <c r="E2555" s="76" t="s">
        <v>423</v>
      </c>
      <c r="F2555" s="76" t="s">
        <v>427</v>
      </c>
      <c r="G2555" s="76" t="s">
        <v>837</v>
      </c>
      <c r="H2555" s="76" t="s">
        <v>425</v>
      </c>
      <c r="I2555" s="76" t="s">
        <v>3208</v>
      </c>
      <c r="J2555" s="76" t="s">
        <v>3209</v>
      </c>
      <c r="K2555" s="76" t="s">
        <v>591</v>
      </c>
      <c r="L2555" s="11" t="s">
        <v>909</v>
      </c>
      <c r="M2555" s="53">
        <v>18</v>
      </c>
      <c r="N2555" s="94">
        <v>640</v>
      </c>
      <c r="O2555" s="94">
        <f>N2555*M2555</f>
        <v>11520</v>
      </c>
      <c r="P2555" s="40" t="s">
        <v>3116</v>
      </c>
      <c r="Q2555" s="40" t="s">
        <v>766</v>
      </c>
      <c r="R2555" s="84">
        <v>355630100</v>
      </c>
      <c r="S2555" s="40">
        <v>100</v>
      </c>
    </row>
    <row r="2556" spans="1:19" s="92" customFormat="1" ht="76.5">
      <c r="A2556" s="5">
        <v>2541</v>
      </c>
      <c r="B2556" s="15" t="s">
        <v>710</v>
      </c>
      <c r="C2556" s="40" t="s">
        <v>711</v>
      </c>
      <c r="D2556" s="40" t="s">
        <v>723</v>
      </c>
      <c r="E2556" s="31" t="s">
        <v>874</v>
      </c>
      <c r="F2556" s="31" t="s">
        <v>874</v>
      </c>
      <c r="G2556" s="31" t="s">
        <v>875</v>
      </c>
      <c r="H2556" s="40" t="s">
        <v>876</v>
      </c>
      <c r="I2556" s="40" t="s">
        <v>3210</v>
      </c>
      <c r="J2556" s="40" t="s">
        <v>3211</v>
      </c>
      <c r="K2556" s="40" t="s">
        <v>591</v>
      </c>
      <c r="L2556" s="40" t="s">
        <v>644</v>
      </c>
      <c r="M2556" s="93">
        <v>1</v>
      </c>
      <c r="N2556" s="94">
        <v>30000</v>
      </c>
      <c r="O2556" s="94">
        <f>N2556*M2556</f>
        <v>30000</v>
      </c>
      <c r="P2556" s="40" t="s">
        <v>3116</v>
      </c>
      <c r="Q2556" s="40" t="s">
        <v>1051</v>
      </c>
      <c r="R2556" s="84">
        <v>355630100</v>
      </c>
      <c r="S2556" s="40">
        <v>100</v>
      </c>
    </row>
    <row r="2557" spans="1:19" s="92" customFormat="1" ht="89.25">
      <c r="A2557" s="5">
        <v>2542</v>
      </c>
      <c r="B2557" s="15" t="s">
        <v>710</v>
      </c>
      <c r="C2557" s="40" t="s">
        <v>597</v>
      </c>
      <c r="D2557" s="40" t="s">
        <v>598</v>
      </c>
      <c r="E2557" s="31" t="s">
        <v>599</v>
      </c>
      <c r="F2557" s="31" t="s">
        <v>782</v>
      </c>
      <c r="G2557" s="31" t="s">
        <v>3195</v>
      </c>
      <c r="H2557" s="40" t="s">
        <v>602</v>
      </c>
      <c r="I2557" s="40" t="s">
        <v>3196</v>
      </c>
      <c r="J2557" s="40" t="s">
        <v>3197</v>
      </c>
      <c r="K2557" s="40" t="s">
        <v>591</v>
      </c>
      <c r="L2557" s="11" t="s">
        <v>914</v>
      </c>
      <c r="M2557" s="93">
        <v>1</v>
      </c>
      <c r="N2557" s="94">
        <v>624400</v>
      </c>
      <c r="O2557" s="94">
        <v>624400</v>
      </c>
      <c r="P2557" s="40" t="s">
        <v>502</v>
      </c>
      <c r="Q2557" s="40" t="s">
        <v>766</v>
      </c>
      <c r="R2557" s="84">
        <v>354820100</v>
      </c>
      <c r="S2557" s="40">
        <v>0</v>
      </c>
    </row>
    <row r="2558" spans="1:19" s="92" customFormat="1" ht="89.25">
      <c r="A2558" s="5">
        <v>2543</v>
      </c>
      <c r="B2558" s="15" t="s">
        <v>710</v>
      </c>
      <c r="C2558" s="40" t="s">
        <v>597</v>
      </c>
      <c r="D2558" s="40" t="s">
        <v>598</v>
      </c>
      <c r="E2558" s="31" t="s">
        <v>599</v>
      </c>
      <c r="F2558" s="31" t="s">
        <v>782</v>
      </c>
      <c r="G2558" s="31" t="s">
        <v>3195</v>
      </c>
      <c r="H2558" s="40" t="s">
        <v>602</v>
      </c>
      <c r="I2558" s="40" t="s">
        <v>3196</v>
      </c>
      <c r="J2558" s="40" t="s">
        <v>3197</v>
      </c>
      <c r="K2558" s="40" t="s">
        <v>591</v>
      </c>
      <c r="L2558" s="11" t="s">
        <v>914</v>
      </c>
      <c r="M2558" s="93">
        <v>1</v>
      </c>
      <c r="N2558" s="94">
        <v>624400</v>
      </c>
      <c r="O2558" s="94">
        <v>624400</v>
      </c>
      <c r="P2558" s="40" t="s">
        <v>502</v>
      </c>
      <c r="Q2558" s="40" t="s">
        <v>766</v>
      </c>
      <c r="R2558" s="84">
        <v>354820100</v>
      </c>
      <c r="S2558" s="40">
        <v>0</v>
      </c>
    </row>
    <row r="2559" spans="1:19" s="92" customFormat="1" ht="51">
      <c r="A2559" s="5">
        <v>2544</v>
      </c>
      <c r="B2559" s="15" t="s">
        <v>710</v>
      </c>
      <c r="C2559" s="40" t="s">
        <v>597</v>
      </c>
      <c r="D2559" s="11" t="s">
        <v>850</v>
      </c>
      <c r="E2559" s="76" t="s">
        <v>1736</v>
      </c>
      <c r="F2559" s="76" t="s">
        <v>851</v>
      </c>
      <c r="G2559" s="76" t="s">
        <v>1737</v>
      </c>
      <c r="H2559" s="76" t="s">
        <v>852</v>
      </c>
      <c r="I2559" s="76" t="s">
        <v>3199</v>
      </c>
      <c r="J2559" s="76" t="s">
        <v>3200</v>
      </c>
      <c r="K2559" s="40" t="s">
        <v>591</v>
      </c>
      <c r="L2559" s="11" t="s">
        <v>914</v>
      </c>
      <c r="M2559" s="97">
        <v>1</v>
      </c>
      <c r="N2559" s="94">
        <f>10000*5</f>
        <v>50000</v>
      </c>
      <c r="O2559" s="94">
        <f>N2559</f>
        <v>50000</v>
      </c>
      <c r="P2559" s="40" t="s">
        <v>698</v>
      </c>
      <c r="Q2559" s="40" t="s">
        <v>766</v>
      </c>
      <c r="R2559" s="84">
        <v>354820100</v>
      </c>
      <c r="S2559" s="40">
        <v>0</v>
      </c>
    </row>
    <row r="2560" spans="1:19" s="92" customFormat="1" ht="51">
      <c r="A2560" s="5">
        <v>2545</v>
      </c>
      <c r="B2560" s="15" t="s">
        <v>710</v>
      </c>
      <c r="C2560" s="40" t="s">
        <v>597</v>
      </c>
      <c r="D2560" s="40" t="s">
        <v>2594</v>
      </c>
      <c r="E2560" s="31" t="s">
        <v>2618</v>
      </c>
      <c r="F2560" s="31" t="s">
        <v>2595</v>
      </c>
      <c r="G2560" s="31" t="s">
        <v>2618</v>
      </c>
      <c r="H2560" s="40" t="s">
        <v>2595</v>
      </c>
      <c r="I2560" s="40" t="s">
        <v>3201</v>
      </c>
      <c r="J2560" s="40" t="s">
        <v>3202</v>
      </c>
      <c r="K2560" s="40" t="s">
        <v>591</v>
      </c>
      <c r="L2560" s="11" t="s">
        <v>914</v>
      </c>
      <c r="M2560" s="93">
        <v>1</v>
      </c>
      <c r="N2560" s="94">
        <f>10500*3</f>
        <v>31500</v>
      </c>
      <c r="O2560" s="94">
        <f>N2560</f>
        <v>31500</v>
      </c>
      <c r="P2560" s="40" t="s">
        <v>3116</v>
      </c>
      <c r="Q2560" s="40" t="s">
        <v>766</v>
      </c>
      <c r="R2560" s="84">
        <v>354820100</v>
      </c>
      <c r="S2560" s="40">
        <v>30</v>
      </c>
    </row>
    <row r="2561" spans="1:19" s="92" customFormat="1" ht="89.25">
      <c r="A2561" s="5">
        <v>2546</v>
      </c>
      <c r="B2561" s="15" t="s">
        <v>710</v>
      </c>
      <c r="C2561" s="40" t="s">
        <v>711</v>
      </c>
      <c r="D2561" s="40" t="s">
        <v>976</v>
      </c>
      <c r="E2561" s="31" t="s">
        <v>730</v>
      </c>
      <c r="F2561" s="31" t="s">
        <v>731</v>
      </c>
      <c r="G2561" s="31" t="s">
        <v>977</v>
      </c>
      <c r="H2561" s="40" t="s">
        <v>978</v>
      </c>
      <c r="I2561" s="40" t="s">
        <v>3203</v>
      </c>
      <c r="J2561" s="40" t="s">
        <v>3204</v>
      </c>
      <c r="K2561" s="40" t="s">
        <v>591</v>
      </c>
      <c r="L2561" s="40" t="s">
        <v>644</v>
      </c>
      <c r="M2561" s="93">
        <v>2</v>
      </c>
      <c r="N2561" s="94">
        <v>26800</v>
      </c>
      <c r="O2561" s="94">
        <f>N2561*M2561</f>
        <v>53600</v>
      </c>
      <c r="P2561" s="40" t="s">
        <v>3116</v>
      </c>
      <c r="Q2561" s="40" t="s">
        <v>1051</v>
      </c>
      <c r="R2561" s="84">
        <v>354820100</v>
      </c>
      <c r="S2561" s="40">
        <v>100</v>
      </c>
    </row>
    <row r="2562" spans="1:19" s="92" customFormat="1" ht="63.75">
      <c r="A2562" s="5">
        <v>2547</v>
      </c>
      <c r="B2562" s="15" t="s">
        <v>710</v>
      </c>
      <c r="C2562" s="40" t="s">
        <v>711</v>
      </c>
      <c r="D2562" s="40" t="s">
        <v>744</v>
      </c>
      <c r="E2562" s="31" t="s">
        <v>745</v>
      </c>
      <c r="F2562" s="31" t="s">
        <v>109</v>
      </c>
      <c r="G2562" s="31" t="s">
        <v>746</v>
      </c>
      <c r="H2562" s="40" t="s">
        <v>3205</v>
      </c>
      <c r="I2562" s="40" t="s">
        <v>3206</v>
      </c>
      <c r="J2562" s="40" t="s">
        <v>3207</v>
      </c>
      <c r="K2562" s="40" t="s">
        <v>591</v>
      </c>
      <c r="L2562" s="40" t="s">
        <v>644</v>
      </c>
      <c r="M2562" s="93">
        <v>6</v>
      </c>
      <c r="N2562" s="94">
        <v>4000</v>
      </c>
      <c r="O2562" s="94">
        <f>M2562*N2562</f>
        <v>24000</v>
      </c>
      <c r="P2562" s="40" t="s">
        <v>3116</v>
      </c>
      <c r="Q2562" s="40" t="s">
        <v>1051</v>
      </c>
      <c r="R2562" s="84">
        <v>354820100</v>
      </c>
      <c r="S2562" s="40">
        <v>100</v>
      </c>
    </row>
    <row r="2563" spans="1:19" s="92" customFormat="1" ht="51">
      <c r="A2563" s="5">
        <v>2548</v>
      </c>
      <c r="B2563" s="15" t="s">
        <v>710</v>
      </c>
      <c r="C2563" s="40" t="s">
        <v>711</v>
      </c>
      <c r="D2563" s="98" t="s">
        <v>422</v>
      </c>
      <c r="E2563" s="76" t="s">
        <v>423</v>
      </c>
      <c r="F2563" s="76" t="s">
        <v>427</v>
      </c>
      <c r="G2563" s="76" t="s">
        <v>837</v>
      </c>
      <c r="H2563" s="76" t="s">
        <v>425</v>
      </c>
      <c r="I2563" s="76" t="s">
        <v>3208</v>
      </c>
      <c r="J2563" s="76" t="s">
        <v>3209</v>
      </c>
      <c r="K2563" s="76" t="s">
        <v>591</v>
      </c>
      <c r="L2563" s="11" t="s">
        <v>909</v>
      </c>
      <c r="M2563" s="53">
        <v>18</v>
      </c>
      <c r="N2563" s="94">
        <v>640</v>
      </c>
      <c r="O2563" s="94">
        <f>N2563*M2563</f>
        <v>11520</v>
      </c>
      <c r="P2563" s="40" t="s">
        <v>3116</v>
      </c>
      <c r="Q2563" s="40" t="s">
        <v>766</v>
      </c>
      <c r="R2563" s="84">
        <v>354820100</v>
      </c>
      <c r="S2563" s="40">
        <v>100</v>
      </c>
    </row>
    <row r="2564" spans="1:19" s="92" customFormat="1" ht="76.5">
      <c r="A2564" s="5">
        <v>2549</v>
      </c>
      <c r="B2564" s="15" t="s">
        <v>710</v>
      </c>
      <c r="C2564" s="40" t="s">
        <v>711</v>
      </c>
      <c r="D2564" s="40" t="s">
        <v>723</v>
      </c>
      <c r="E2564" s="31" t="s">
        <v>874</v>
      </c>
      <c r="F2564" s="31" t="s">
        <v>874</v>
      </c>
      <c r="G2564" s="31" t="s">
        <v>875</v>
      </c>
      <c r="H2564" s="40" t="s">
        <v>876</v>
      </c>
      <c r="I2564" s="40" t="s">
        <v>3210</v>
      </c>
      <c r="J2564" s="40" t="s">
        <v>3211</v>
      </c>
      <c r="K2564" s="40" t="s">
        <v>591</v>
      </c>
      <c r="L2564" s="40" t="s">
        <v>644</v>
      </c>
      <c r="M2564" s="93">
        <v>1</v>
      </c>
      <c r="N2564" s="94">
        <v>30000</v>
      </c>
      <c r="O2564" s="94">
        <f>N2564*M2564</f>
        <v>30000</v>
      </c>
      <c r="P2564" s="40" t="s">
        <v>3116</v>
      </c>
      <c r="Q2564" s="40" t="s">
        <v>1051</v>
      </c>
      <c r="R2564" s="84">
        <v>354820100</v>
      </c>
      <c r="S2564" s="40">
        <v>100</v>
      </c>
    </row>
    <row r="2565" spans="1:19" s="92" customFormat="1" ht="89.25">
      <c r="A2565" s="5">
        <v>2550</v>
      </c>
      <c r="B2565" s="15" t="s">
        <v>710</v>
      </c>
      <c r="C2565" s="40" t="s">
        <v>597</v>
      </c>
      <c r="D2565" s="40" t="s">
        <v>598</v>
      </c>
      <c r="E2565" s="31" t="s">
        <v>599</v>
      </c>
      <c r="F2565" s="31" t="s">
        <v>782</v>
      </c>
      <c r="G2565" s="31" t="s">
        <v>3195</v>
      </c>
      <c r="H2565" s="40" t="s">
        <v>602</v>
      </c>
      <c r="I2565" s="40" t="s">
        <v>3196</v>
      </c>
      <c r="J2565" s="40" t="s">
        <v>3197</v>
      </c>
      <c r="K2565" s="40" t="s">
        <v>591</v>
      </c>
      <c r="L2565" s="11" t="s">
        <v>914</v>
      </c>
      <c r="M2565" s="93">
        <v>1</v>
      </c>
      <c r="N2565" s="94">
        <v>624400</v>
      </c>
      <c r="O2565" s="94">
        <v>624400</v>
      </c>
      <c r="P2565" s="40" t="s">
        <v>502</v>
      </c>
      <c r="Q2565" s="40" t="s">
        <v>766</v>
      </c>
      <c r="R2565" s="84">
        <v>356030100</v>
      </c>
      <c r="S2565" s="40">
        <v>0</v>
      </c>
    </row>
    <row r="2566" spans="1:19" s="92" customFormat="1" ht="51">
      <c r="A2566" s="5">
        <v>2551</v>
      </c>
      <c r="B2566" s="15" t="s">
        <v>710</v>
      </c>
      <c r="C2566" s="40" t="s">
        <v>597</v>
      </c>
      <c r="D2566" s="11" t="s">
        <v>850</v>
      </c>
      <c r="E2566" s="76" t="s">
        <v>1736</v>
      </c>
      <c r="F2566" s="76" t="s">
        <v>851</v>
      </c>
      <c r="G2566" s="76" t="s">
        <v>1737</v>
      </c>
      <c r="H2566" s="76" t="s">
        <v>852</v>
      </c>
      <c r="I2566" s="76" t="s">
        <v>3199</v>
      </c>
      <c r="J2566" s="76" t="s">
        <v>3200</v>
      </c>
      <c r="K2566" s="40" t="s">
        <v>591</v>
      </c>
      <c r="L2566" s="11" t="s">
        <v>914</v>
      </c>
      <c r="M2566" s="97">
        <v>1</v>
      </c>
      <c r="N2566" s="94">
        <f>10000*5</f>
        <v>50000</v>
      </c>
      <c r="O2566" s="94">
        <f>N2566</f>
        <v>50000</v>
      </c>
      <c r="P2566" s="40" t="s">
        <v>698</v>
      </c>
      <c r="Q2566" s="40" t="s">
        <v>766</v>
      </c>
      <c r="R2566" s="84">
        <v>356030100</v>
      </c>
      <c r="S2566" s="40">
        <v>0</v>
      </c>
    </row>
    <row r="2567" spans="1:19" s="92" customFormat="1" ht="51">
      <c r="A2567" s="5">
        <v>2552</v>
      </c>
      <c r="B2567" s="15" t="s">
        <v>710</v>
      </c>
      <c r="C2567" s="40" t="s">
        <v>597</v>
      </c>
      <c r="D2567" s="40" t="s">
        <v>2594</v>
      </c>
      <c r="E2567" s="31" t="s">
        <v>2618</v>
      </c>
      <c r="F2567" s="31" t="s">
        <v>2595</v>
      </c>
      <c r="G2567" s="31" t="s">
        <v>2618</v>
      </c>
      <c r="H2567" s="40" t="s">
        <v>2595</v>
      </c>
      <c r="I2567" s="40" t="s">
        <v>3201</v>
      </c>
      <c r="J2567" s="40" t="s">
        <v>3202</v>
      </c>
      <c r="K2567" s="40" t="s">
        <v>591</v>
      </c>
      <c r="L2567" s="11" t="s">
        <v>914</v>
      </c>
      <c r="M2567" s="93">
        <v>1</v>
      </c>
      <c r="N2567" s="94">
        <f>10500*3</f>
        <v>31500</v>
      </c>
      <c r="O2567" s="94">
        <f>N2567</f>
        <v>31500</v>
      </c>
      <c r="P2567" s="40" t="s">
        <v>3116</v>
      </c>
      <c r="Q2567" s="40" t="s">
        <v>766</v>
      </c>
      <c r="R2567" s="84">
        <v>356030100</v>
      </c>
      <c r="S2567" s="40">
        <v>30</v>
      </c>
    </row>
    <row r="2568" spans="1:19" s="92" customFormat="1" ht="89.25">
      <c r="A2568" s="5">
        <v>2553</v>
      </c>
      <c r="B2568" s="15" t="s">
        <v>710</v>
      </c>
      <c r="C2568" s="40" t="s">
        <v>711</v>
      </c>
      <c r="D2568" s="40" t="s">
        <v>976</v>
      </c>
      <c r="E2568" s="31" t="s">
        <v>730</v>
      </c>
      <c r="F2568" s="31" t="s">
        <v>731</v>
      </c>
      <c r="G2568" s="31" t="s">
        <v>977</v>
      </c>
      <c r="H2568" s="40" t="s">
        <v>978</v>
      </c>
      <c r="I2568" s="40" t="s">
        <v>3203</v>
      </c>
      <c r="J2568" s="40" t="s">
        <v>3204</v>
      </c>
      <c r="K2568" s="40" t="s">
        <v>591</v>
      </c>
      <c r="L2568" s="40" t="s">
        <v>644</v>
      </c>
      <c r="M2568" s="93">
        <v>1</v>
      </c>
      <c r="N2568" s="94">
        <v>26800</v>
      </c>
      <c r="O2568" s="94">
        <f>N2568*M2568</f>
        <v>26800</v>
      </c>
      <c r="P2568" s="40" t="s">
        <v>3116</v>
      </c>
      <c r="Q2568" s="40" t="s">
        <v>1051</v>
      </c>
      <c r="R2568" s="84">
        <v>356030100</v>
      </c>
      <c r="S2568" s="40">
        <v>100</v>
      </c>
    </row>
    <row r="2569" spans="1:19" s="92" customFormat="1" ht="63.75">
      <c r="A2569" s="5">
        <v>2554</v>
      </c>
      <c r="B2569" s="15" t="s">
        <v>710</v>
      </c>
      <c r="C2569" s="40" t="s">
        <v>711</v>
      </c>
      <c r="D2569" s="40" t="s">
        <v>744</v>
      </c>
      <c r="E2569" s="31" t="s">
        <v>745</v>
      </c>
      <c r="F2569" s="31" t="s">
        <v>109</v>
      </c>
      <c r="G2569" s="31" t="s">
        <v>746</v>
      </c>
      <c r="H2569" s="40" t="s">
        <v>3205</v>
      </c>
      <c r="I2569" s="40" t="s">
        <v>3206</v>
      </c>
      <c r="J2569" s="40" t="s">
        <v>3207</v>
      </c>
      <c r="K2569" s="40" t="s">
        <v>591</v>
      </c>
      <c r="L2569" s="40" t="s">
        <v>644</v>
      </c>
      <c r="M2569" s="93">
        <v>1</v>
      </c>
      <c r="N2569" s="94">
        <f>4000*3</f>
        <v>12000</v>
      </c>
      <c r="O2569" s="94">
        <f>M2569*N2569</f>
        <v>12000</v>
      </c>
      <c r="P2569" s="40" t="s">
        <v>3116</v>
      </c>
      <c r="Q2569" s="40" t="s">
        <v>1051</v>
      </c>
      <c r="R2569" s="84">
        <v>356030100</v>
      </c>
      <c r="S2569" s="40">
        <v>100</v>
      </c>
    </row>
    <row r="2570" spans="1:19" s="92" customFormat="1" ht="51">
      <c r="A2570" s="5">
        <v>2555</v>
      </c>
      <c r="B2570" s="15" t="s">
        <v>710</v>
      </c>
      <c r="C2570" s="40" t="s">
        <v>711</v>
      </c>
      <c r="D2570" s="98" t="s">
        <v>422</v>
      </c>
      <c r="E2570" s="76" t="s">
        <v>423</v>
      </c>
      <c r="F2570" s="76" t="s">
        <v>427</v>
      </c>
      <c r="G2570" s="76" t="s">
        <v>837</v>
      </c>
      <c r="H2570" s="76" t="s">
        <v>425</v>
      </c>
      <c r="I2570" s="76" t="s">
        <v>3208</v>
      </c>
      <c r="J2570" s="76" t="s">
        <v>3209</v>
      </c>
      <c r="K2570" s="76" t="s">
        <v>591</v>
      </c>
      <c r="L2570" s="11" t="s">
        <v>909</v>
      </c>
      <c r="M2570" s="53">
        <v>18</v>
      </c>
      <c r="N2570" s="94">
        <v>640</v>
      </c>
      <c r="O2570" s="94">
        <f>N2570*M2570</f>
        <v>11520</v>
      </c>
      <c r="P2570" s="40" t="s">
        <v>3116</v>
      </c>
      <c r="Q2570" s="40" t="s">
        <v>766</v>
      </c>
      <c r="R2570" s="84">
        <v>356030100</v>
      </c>
      <c r="S2570" s="40">
        <v>100</v>
      </c>
    </row>
    <row r="2571" spans="1:19" s="92" customFormat="1" ht="76.5">
      <c r="A2571" s="5">
        <v>2556</v>
      </c>
      <c r="B2571" s="15" t="s">
        <v>710</v>
      </c>
      <c r="C2571" s="40" t="s">
        <v>711</v>
      </c>
      <c r="D2571" s="40" t="s">
        <v>723</v>
      </c>
      <c r="E2571" s="31" t="s">
        <v>874</v>
      </c>
      <c r="F2571" s="31" t="s">
        <v>874</v>
      </c>
      <c r="G2571" s="31" t="s">
        <v>875</v>
      </c>
      <c r="H2571" s="40" t="s">
        <v>876</v>
      </c>
      <c r="I2571" s="40" t="s">
        <v>3210</v>
      </c>
      <c r="J2571" s="40" t="s">
        <v>3211</v>
      </c>
      <c r="K2571" s="40" t="s">
        <v>591</v>
      </c>
      <c r="L2571" s="40" t="s">
        <v>644</v>
      </c>
      <c r="M2571" s="93">
        <v>1</v>
      </c>
      <c r="N2571" s="94">
        <v>30000</v>
      </c>
      <c r="O2571" s="94">
        <f>N2571*M2571</f>
        <v>30000</v>
      </c>
      <c r="P2571" s="40" t="s">
        <v>3116</v>
      </c>
      <c r="Q2571" s="40" t="s">
        <v>1051</v>
      </c>
      <c r="R2571" s="84">
        <v>356030100</v>
      </c>
      <c r="S2571" s="40">
        <v>100</v>
      </c>
    </row>
    <row r="2572" spans="1:19" s="92" customFormat="1" ht="89.25">
      <c r="A2572" s="5">
        <v>2557</v>
      </c>
      <c r="B2572" s="15" t="s">
        <v>710</v>
      </c>
      <c r="C2572" s="40" t="s">
        <v>597</v>
      </c>
      <c r="D2572" s="40" t="s">
        <v>598</v>
      </c>
      <c r="E2572" s="31" t="s">
        <v>599</v>
      </c>
      <c r="F2572" s="31" t="s">
        <v>782</v>
      </c>
      <c r="G2572" s="31" t="s">
        <v>3195</v>
      </c>
      <c r="H2572" s="40" t="s">
        <v>602</v>
      </c>
      <c r="I2572" s="40" t="s">
        <v>3196</v>
      </c>
      <c r="J2572" s="40" t="s">
        <v>3197</v>
      </c>
      <c r="K2572" s="40" t="s">
        <v>591</v>
      </c>
      <c r="L2572" s="11" t="s">
        <v>914</v>
      </c>
      <c r="M2572" s="93">
        <v>1</v>
      </c>
      <c r="N2572" s="94">
        <v>624400</v>
      </c>
      <c r="O2572" s="94">
        <v>624400</v>
      </c>
      <c r="P2572" s="40" t="s">
        <v>502</v>
      </c>
      <c r="Q2572" s="40" t="s">
        <v>766</v>
      </c>
      <c r="R2572" s="84">
        <v>354430100</v>
      </c>
      <c r="S2572" s="40">
        <v>0</v>
      </c>
    </row>
    <row r="2573" spans="1:19" s="92" customFormat="1" ht="89.25">
      <c r="A2573" s="5">
        <v>2558</v>
      </c>
      <c r="B2573" s="15" t="s">
        <v>710</v>
      </c>
      <c r="C2573" s="40" t="s">
        <v>597</v>
      </c>
      <c r="D2573" s="40" t="s">
        <v>598</v>
      </c>
      <c r="E2573" s="31" t="s">
        <v>599</v>
      </c>
      <c r="F2573" s="31" t="s">
        <v>782</v>
      </c>
      <c r="G2573" s="31" t="s">
        <v>3195</v>
      </c>
      <c r="H2573" s="40" t="s">
        <v>602</v>
      </c>
      <c r="I2573" s="40" t="s">
        <v>3196</v>
      </c>
      <c r="J2573" s="40" t="s">
        <v>3197</v>
      </c>
      <c r="K2573" s="40" t="s">
        <v>591</v>
      </c>
      <c r="L2573" s="11" t="s">
        <v>914</v>
      </c>
      <c r="M2573" s="93">
        <v>1</v>
      </c>
      <c r="N2573" s="94">
        <v>624400</v>
      </c>
      <c r="O2573" s="94">
        <v>624400</v>
      </c>
      <c r="P2573" s="40" t="s">
        <v>502</v>
      </c>
      <c r="Q2573" s="40" t="s">
        <v>766</v>
      </c>
      <c r="R2573" s="84">
        <v>354430100</v>
      </c>
      <c r="S2573" s="40">
        <v>0</v>
      </c>
    </row>
    <row r="2574" spans="1:19" s="92" customFormat="1" ht="51">
      <c r="A2574" s="5">
        <v>2559</v>
      </c>
      <c r="B2574" s="15" t="s">
        <v>710</v>
      </c>
      <c r="C2574" s="40" t="s">
        <v>597</v>
      </c>
      <c r="D2574" s="11" t="s">
        <v>850</v>
      </c>
      <c r="E2574" s="76" t="s">
        <v>1736</v>
      </c>
      <c r="F2574" s="76" t="s">
        <v>851</v>
      </c>
      <c r="G2574" s="76" t="s">
        <v>1737</v>
      </c>
      <c r="H2574" s="76" t="s">
        <v>852</v>
      </c>
      <c r="I2574" s="76" t="s">
        <v>3199</v>
      </c>
      <c r="J2574" s="76" t="s">
        <v>3200</v>
      </c>
      <c r="K2574" s="40" t="s">
        <v>591</v>
      </c>
      <c r="L2574" s="11" t="s">
        <v>914</v>
      </c>
      <c r="M2574" s="97">
        <v>1</v>
      </c>
      <c r="N2574" s="94">
        <f>10000*5</f>
        <v>50000</v>
      </c>
      <c r="O2574" s="94">
        <f>N2574</f>
        <v>50000</v>
      </c>
      <c r="P2574" s="40" t="s">
        <v>698</v>
      </c>
      <c r="Q2574" s="40" t="s">
        <v>766</v>
      </c>
      <c r="R2574" s="84">
        <v>354430100</v>
      </c>
      <c r="S2574" s="40">
        <v>0</v>
      </c>
    </row>
    <row r="2575" spans="1:19" s="92" customFormat="1" ht="51">
      <c r="A2575" s="5">
        <v>2560</v>
      </c>
      <c r="B2575" s="15" t="s">
        <v>710</v>
      </c>
      <c r="C2575" s="40" t="s">
        <v>597</v>
      </c>
      <c r="D2575" s="40" t="s">
        <v>2594</v>
      </c>
      <c r="E2575" s="31" t="s">
        <v>2618</v>
      </c>
      <c r="F2575" s="31" t="s">
        <v>2595</v>
      </c>
      <c r="G2575" s="31" t="s">
        <v>2618</v>
      </c>
      <c r="H2575" s="40" t="s">
        <v>2595</v>
      </c>
      <c r="I2575" s="40" t="s">
        <v>3201</v>
      </c>
      <c r="J2575" s="40" t="s">
        <v>3202</v>
      </c>
      <c r="K2575" s="40" t="s">
        <v>591</v>
      </c>
      <c r="L2575" s="11" t="s">
        <v>914</v>
      </c>
      <c r="M2575" s="93">
        <v>1</v>
      </c>
      <c r="N2575" s="94">
        <f>10500*3</f>
        <v>31500</v>
      </c>
      <c r="O2575" s="94">
        <f>N2575</f>
        <v>31500</v>
      </c>
      <c r="P2575" s="40" t="s">
        <v>3116</v>
      </c>
      <c r="Q2575" s="40" t="s">
        <v>766</v>
      </c>
      <c r="R2575" s="84">
        <v>354430100</v>
      </c>
      <c r="S2575" s="40">
        <v>30</v>
      </c>
    </row>
    <row r="2576" spans="1:19" s="92" customFormat="1" ht="89.25">
      <c r="A2576" s="5">
        <v>2561</v>
      </c>
      <c r="B2576" s="15" t="s">
        <v>710</v>
      </c>
      <c r="C2576" s="40" t="s">
        <v>711</v>
      </c>
      <c r="D2576" s="40" t="s">
        <v>976</v>
      </c>
      <c r="E2576" s="31" t="s">
        <v>730</v>
      </c>
      <c r="F2576" s="31" t="s">
        <v>731</v>
      </c>
      <c r="G2576" s="31" t="s">
        <v>977</v>
      </c>
      <c r="H2576" s="40" t="s">
        <v>978</v>
      </c>
      <c r="I2576" s="40" t="s">
        <v>3203</v>
      </c>
      <c r="J2576" s="40" t="s">
        <v>3204</v>
      </c>
      <c r="K2576" s="40" t="s">
        <v>591</v>
      </c>
      <c r="L2576" s="40" t="s">
        <v>644</v>
      </c>
      <c r="M2576" s="93">
        <v>2</v>
      </c>
      <c r="N2576" s="94">
        <v>26800</v>
      </c>
      <c r="O2576" s="94">
        <f>N2576*M2576</f>
        <v>53600</v>
      </c>
      <c r="P2576" s="40" t="s">
        <v>3116</v>
      </c>
      <c r="Q2576" s="40" t="s">
        <v>1051</v>
      </c>
      <c r="R2576" s="84">
        <v>354430100</v>
      </c>
      <c r="S2576" s="40">
        <v>100</v>
      </c>
    </row>
    <row r="2577" spans="1:19" s="92" customFormat="1" ht="63.75">
      <c r="A2577" s="5">
        <v>2562</v>
      </c>
      <c r="B2577" s="15" t="s">
        <v>710</v>
      </c>
      <c r="C2577" s="40" t="s">
        <v>711</v>
      </c>
      <c r="D2577" s="40" t="s">
        <v>744</v>
      </c>
      <c r="E2577" s="31" t="s">
        <v>745</v>
      </c>
      <c r="F2577" s="31" t="s">
        <v>109</v>
      </c>
      <c r="G2577" s="31" t="s">
        <v>746</v>
      </c>
      <c r="H2577" s="40" t="s">
        <v>3205</v>
      </c>
      <c r="I2577" s="40" t="s">
        <v>3206</v>
      </c>
      <c r="J2577" s="40" t="s">
        <v>3207</v>
      </c>
      <c r="K2577" s="40" t="s">
        <v>591</v>
      </c>
      <c r="L2577" s="40" t="s">
        <v>644</v>
      </c>
      <c r="M2577" s="93">
        <v>6</v>
      </c>
      <c r="N2577" s="94">
        <v>4000</v>
      </c>
      <c r="O2577" s="94">
        <f>M2577*N2577</f>
        <v>24000</v>
      </c>
      <c r="P2577" s="40" t="s">
        <v>3116</v>
      </c>
      <c r="Q2577" s="40" t="s">
        <v>1051</v>
      </c>
      <c r="R2577" s="84">
        <v>354430100</v>
      </c>
      <c r="S2577" s="40">
        <v>100</v>
      </c>
    </row>
    <row r="2578" spans="1:19" s="92" customFormat="1" ht="51">
      <c r="A2578" s="5">
        <v>2563</v>
      </c>
      <c r="B2578" s="15" t="s">
        <v>710</v>
      </c>
      <c r="C2578" s="40" t="s">
        <v>711</v>
      </c>
      <c r="D2578" s="98" t="s">
        <v>422</v>
      </c>
      <c r="E2578" s="76" t="s">
        <v>423</v>
      </c>
      <c r="F2578" s="76" t="s">
        <v>427</v>
      </c>
      <c r="G2578" s="76" t="s">
        <v>837</v>
      </c>
      <c r="H2578" s="76" t="s">
        <v>425</v>
      </c>
      <c r="I2578" s="76" t="s">
        <v>3208</v>
      </c>
      <c r="J2578" s="76" t="s">
        <v>3209</v>
      </c>
      <c r="K2578" s="76" t="s">
        <v>591</v>
      </c>
      <c r="L2578" s="11" t="s">
        <v>909</v>
      </c>
      <c r="M2578" s="53">
        <v>18</v>
      </c>
      <c r="N2578" s="94">
        <v>640</v>
      </c>
      <c r="O2578" s="94">
        <f>N2578*M2578</f>
        <v>11520</v>
      </c>
      <c r="P2578" s="40" t="s">
        <v>3116</v>
      </c>
      <c r="Q2578" s="40" t="s">
        <v>766</v>
      </c>
      <c r="R2578" s="84">
        <v>354430100</v>
      </c>
      <c r="S2578" s="40">
        <v>100</v>
      </c>
    </row>
    <row r="2579" spans="1:19" s="92" customFormat="1" ht="76.5">
      <c r="A2579" s="5">
        <v>2564</v>
      </c>
      <c r="B2579" s="15" t="s">
        <v>710</v>
      </c>
      <c r="C2579" s="40" t="s">
        <v>711</v>
      </c>
      <c r="D2579" s="40" t="s">
        <v>723</v>
      </c>
      <c r="E2579" s="31" t="s">
        <v>874</v>
      </c>
      <c r="F2579" s="31" t="s">
        <v>874</v>
      </c>
      <c r="G2579" s="31" t="s">
        <v>875</v>
      </c>
      <c r="H2579" s="40" t="s">
        <v>876</v>
      </c>
      <c r="I2579" s="40" t="s">
        <v>3210</v>
      </c>
      <c r="J2579" s="40" t="s">
        <v>3211</v>
      </c>
      <c r="K2579" s="40" t="s">
        <v>591</v>
      </c>
      <c r="L2579" s="40" t="s">
        <v>644</v>
      </c>
      <c r="M2579" s="93">
        <v>1</v>
      </c>
      <c r="N2579" s="94">
        <v>30000</v>
      </c>
      <c r="O2579" s="94">
        <f>N2579*M2579</f>
        <v>30000</v>
      </c>
      <c r="P2579" s="40" t="s">
        <v>3116</v>
      </c>
      <c r="Q2579" s="40" t="s">
        <v>1051</v>
      </c>
      <c r="R2579" s="84">
        <v>354430100</v>
      </c>
      <c r="S2579" s="40">
        <v>100</v>
      </c>
    </row>
    <row r="2580" spans="1:19" s="92" customFormat="1" ht="89.25">
      <c r="A2580" s="5">
        <v>2565</v>
      </c>
      <c r="B2580" s="15" t="s">
        <v>710</v>
      </c>
      <c r="C2580" s="40" t="s">
        <v>597</v>
      </c>
      <c r="D2580" s="40" t="s">
        <v>598</v>
      </c>
      <c r="E2580" s="31" t="s">
        <v>599</v>
      </c>
      <c r="F2580" s="31" t="s">
        <v>782</v>
      </c>
      <c r="G2580" s="31" t="s">
        <v>3195</v>
      </c>
      <c r="H2580" s="40" t="s">
        <v>602</v>
      </c>
      <c r="I2580" s="40" t="s">
        <v>3196</v>
      </c>
      <c r="J2580" s="40" t="s">
        <v>3197</v>
      </c>
      <c r="K2580" s="40" t="s">
        <v>591</v>
      </c>
      <c r="L2580" s="11" t="s">
        <v>914</v>
      </c>
      <c r="M2580" s="93">
        <v>1</v>
      </c>
      <c r="N2580" s="94">
        <v>624400</v>
      </c>
      <c r="O2580" s="94">
        <v>624400</v>
      </c>
      <c r="P2580" s="40" t="s">
        <v>502</v>
      </c>
      <c r="Q2580" s="40" t="s">
        <v>766</v>
      </c>
      <c r="R2580" s="84">
        <v>352110000</v>
      </c>
      <c r="S2580" s="40">
        <v>0</v>
      </c>
    </row>
    <row r="2581" spans="1:19" s="92" customFormat="1" ht="89.25">
      <c r="A2581" s="5">
        <v>2566</v>
      </c>
      <c r="B2581" s="15" t="s">
        <v>710</v>
      </c>
      <c r="C2581" s="40" t="s">
        <v>597</v>
      </c>
      <c r="D2581" s="40" t="s">
        <v>598</v>
      </c>
      <c r="E2581" s="31" t="s">
        <v>599</v>
      </c>
      <c r="F2581" s="31" t="s">
        <v>782</v>
      </c>
      <c r="G2581" s="31" t="s">
        <v>3195</v>
      </c>
      <c r="H2581" s="40" t="s">
        <v>602</v>
      </c>
      <c r="I2581" s="40" t="s">
        <v>3196</v>
      </c>
      <c r="J2581" s="40" t="s">
        <v>3197</v>
      </c>
      <c r="K2581" s="40" t="s">
        <v>591</v>
      </c>
      <c r="L2581" s="11" t="s">
        <v>914</v>
      </c>
      <c r="M2581" s="93">
        <v>1</v>
      </c>
      <c r="N2581" s="94">
        <v>624400</v>
      </c>
      <c r="O2581" s="94">
        <v>624400</v>
      </c>
      <c r="P2581" s="40" t="s">
        <v>502</v>
      </c>
      <c r="Q2581" s="40" t="s">
        <v>766</v>
      </c>
      <c r="R2581" s="84">
        <v>352110000</v>
      </c>
      <c r="S2581" s="40">
        <v>0</v>
      </c>
    </row>
    <row r="2582" spans="1:19" s="92" customFormat="1" ht="51">
      <c r="A2582" s="5">
        <v>2567</v>
      </c>
      <c r="B2582" s="15" t="s">
        <v>710</v>
      </c>
      <c r="C2582" s="40" t="s">
        <v>597</v>
      </c>
      <c r="D2582" s="11" t="s">
        <v>850</v>
      </c>
      <c r="E2582" s="76" t="s">
        <v>1736</v>
      </c>
      <c r="F2582" s="76" t="s">
        <v>851</v>
      </c>
      <c r="G2582" s="76" t="s">
        <v>1737</v>
      </c>
      <c r="H2582" s="76" t="s">
        <v>852</v>
      </c>
      <c r="I2582" s="76" t="s">
        <v>3199</v>
      </c>
      <c r="J2582" s="76" t="s">
        <v>3200</v>
      </c>
      <c r="K2582" s="40" t="s">
        <v>591</v>
      </c>
      <c r="L2582" s="11" t="s">
        <v>914</v>
      </c>
      <c r="M2582" s="97">
        <v>1</v>
      </c>
      <c r="N2582" s="94">
        <f>10000*5</f>
        <v>50000</v>
      </c>
      <c r="O2582" s="94">
        <f>N2582</f>
        <v>50000</v>
      </c>
      <c r="P2582" s="40" t="s">
        <v>698</v>
      </c>
      <c r="Q2582" s="40" t="s">
        <v>766</v>
      </c>
      <c r="R2582" s="84">
        <v>352110000</v>
      </c>
      <c r="S2582" s="40">
        <v>0</v>
      </c>
    </row>
    <row r="2583" spans="1:19" s="92" customFormat="1" ht="51">
      <c r="A2583" s="5">
        <v>2568</v>
      </c>
      <c r="B2583" s="15" t="s">
        <v>710</v>
      </c>
      <c r="C2583" s="40" t="s">
        <v>597</v>
      </c>
      <c r="D2583" s="40" t="s">
        <v>2594</v>
      </c>
      <c r="E2583" s="31" t="s">
        <v>2618</v>
      </c>
      <c r="F2583" s="31" t="s">
        <v>2595</v>
      </c>
      <c r="G2583" s="31" t="s">
        <v>2618</v>
      </c>
      <c r="H2583" s="40" t="s">
        <v>2595</v>
      </c>
      <c r="I2583" s="40" t="s">
        <v>3201</v>
      </c>
      <c r="J2583" s="40" t="s">
        <v>3202</v>
      </c>
      <c r="K2583" s="40" t="s">
        <v>591</v>
      </c>
      <c r="L2583" s="11" t="s">
        <v>914</v>
      </c>
      <c r="M2583" s="93">
        <v>1</v>
      </c>
      <c r="N2583" s="94">
        <f>10500*3</f>
        <v>31500</v>
      </c>
      <c r="O2583" s="94">
        <f>N2583</f>
        <v>31500</v>
      </c>
      <c r="P2583" s="40" t="s">
        <v>3116</v>
      </c>
      <c r="Q2583" s="40" t="s">
        <v>766</v>
      </c>
      <c r="R2583" s="84">
        <v>352110000</v>
      </c>
      <c r="S2583" s="40">
        <v>30</v>
      </c>
    </row>
    <row r="2584" spans="1:19" s="92" customFormat="1" ht="89.25">
      <c r="A2584" s="5">
        <v>2569</v>
      </c>
      <c r="B2584" s="15" t="s">
        <v>710</v>
      </c>
      <c r="C2584" s="40" t="s">
        <v>711</v>
      </c>
      <c r="D2584" s="40" t="s">
        <v>976</v>
      </c>
      <c r="E2584" s="31" t="s">
        <v>730</v>
      </c>
      <c r="F2584" s="31" t="s">
        <v>731</v>
      </c>
      <c r="G2584" s="31" t="s">
        <v>977</v>
      </c>
      <c r="H2584" s="40" t="s">
        <v>978</v>
      </c>
      <c r="I2584" s="40" t="s">
        <v>3203</v>
      </c>
      <c r="J2584" s="40" t="s">
        <v>3204</v>
      </c>
      <c r="K2584" s="40" t="s">
        <v>591</v>
      </c>
      <c r="L2584" s="40" t="s">
        <v>644</v>
      </c>
      <c r="M2584" s="93">
        <v>2</v>
      </c>
      <c r="N2584" s="94">
        <v>26800</v>
      </c>
      <c r="O2584" s="94">
        <f>N2584*M2584</f>
        <v>53600</v>
      </c>
      <c r="P2584" s="40" t="s">
        <v>3116</v>
      </c>
      <c r="Q2584" s="40" t="s">
        <v>1051</v>
      </c>
      <c r="R2584" s="84">
        <v>352110000</v>
      </c>
      <c r="S2584" s="40">
        <v>100</v>
      </c>
    </row>
    <row r="2585" spans="1:19" s="92" customFormat="1" ht="63.75">
      <c r="A2585" s="5">
        <v>2570</v>
      </c>
      <c r="B2585" s="15" t="s">
        <v>710</v>
      </c>
      <c r="C2585" s="40" t="s">
        <v>711</v>
      </c>
      <c r="D2585" s="40" t="s">
        <v>744</v>
      </c>
      <c r="E2585" s="31" t="s">
        <v>745</v>
      </c>
      <c r="F2585" s="31" t="s">
        <v>109</v>
      </c>
      <c r="G2585" s="31" t="s">
        <v>746</v>
      </c>
      <c r="H2585" s="40" t="s">
        <v>3205</v>
      </c>
      <c r="I2585" s="40" t="s">
        <v>3206</v>
      </c>
      <c r="J2585" s="40" t="s">
        <v>3207</v>
      </c>
      <c r="K2585" s="40" t="s">
        <v>591</v>
      </c>
      <c r="L2585" s="40" t="s">
        <v>644</v>
      </c>
      <c r="M2585" s="93">
        <v>6</v>
      </c>
      <c r="N2585" s="94">
        <v>4000</v>
      </c>
      <c r="O2585" s="94">
        <f>M2585*N2585</f>
        <v>24000</v>
      </c>
      <c r="P2585" s="40" t="s">
        <v>3116</v>
      </c>
      <c r="Q2585" s="40" t="s">
        <v>1051</v>
      </c>
      <c r="R2585" s="84">
        <v>352110000</v>
      </c>
      <c r="S2585" s="40">
        <v>100</v>
      </c>
    </row>
    <row r="2586" spans="1:19" s="92" customFormat="1" ht="51">
      <c r="A2586" s="5">
        <v>2571</v>
      </c>
      <c r="B2586" s="15" t="s">
        <v>710</v>
      </c>
      <c r="C2586" s="40" t="s">
        <v>711</v>
      </c>
      <c r="D2586" s="98" t="s">
        <v>422</v>
      </c>
      <c r="E2586" s="76" t="s">
        <v>423</v>
      </c>
      <c r="F2586" s="76" t="s">
        <v>427</v>
      </c>
      <c r="G2586" s="76" t="s">
        <v>837</v>
      </c>
      <c r="H2586" s="76" t="s">
        <v>425</v>
      </c>
      <c r="I2586" s="76" t="s">
        <v>3208</v>
      </c>
      <c r="J2586" s="76" t="s">
        <v>3209</v>
      </c>
      <c r="K2586" s="76" t="s">
        <v>591</v>
      </c>
      <c r="L2586" s="11" t="s">
        <v>909</v>
      </c>
      <c r="M2586" s="53">
        <v>18</v>
      </c>
      <c r="N2586" s="94">
        <v>640</v>
      </c>
      <c r="O2586" s="94">
        <f>N2586*M2586</f>
        <v>11520</v>
      </c>
      <c r="P2586" s="40" t="s">
        <v>3116</v>
      </c>
      <c r="Q2586" s="40" t="s">
        <v>766</v>
      </c>
      <c r="R2586" s="84">
        <v>352110000</v>
      </c>
      <c r="S2586" s="40">
        <v>100</v>
      </c>
    </row>
    <row r="2587" spans="1:19" s="92" customFormat="1" ht="76.5">
      <c r="A2587" s="5">
        <v>2572</v>
      </c>
      <c r="B2587" s="15" t="s">
        <v>710</v>
      </c>
      <c r="C2587" s="40" t="s">
        <v>711</v>
      </c>
      <c r="D2587" s="40" t="s">
        <v>723</v>
      </c>
      <c r="E2587" s="31" t="s">
        <v>874</v>
      </c>
      <c r="F2587" s="31" t="s">
        <v>874</v>
      </c>
      <c r="G2587" s="31" t="s">
        <v>875</v>
      </c>
      <c r="H2587" s="40" t="s">
        <v>876</v>
      </c>
      <c r="I2587" s="40" t="s">
        <v>3210</v>
      </c>
      <c r="J2587" s="40" t="s">
        <v>3211</v>
      </c>
      <c r="K2587" s="40" t="s">
        <v>591</v>
      </c>
      <c r="L2587" s="40" t="s">
        <v>644</v>
      </c>
      <c r="M2587" s="93">
        <v>1</v>
      </c>
      <c r="N2587" s="94">
        <v>30000</v>
      </c>
      <c r="O2587" s="94">
        <f>N2587*M2587</f>
        <v>30000</v>
      </c>
      <c r="P2587" s="40" t="s">
        <v>3116</v>
      </c>
      <c r="Q2587" s="40" t="s">
        <v>1051</v>
      </c>
      <c r="R2587" s="84">
        <v>352110000</v>
      </c>
      <c r="S2587" s="40">
        <v>100</v>
      </c>
    </row>
    <row r="2588" spans="1:19" s="92" customFormat="1" ht="51">
      <c r="A2588" s="5">
        <v>2573</v>
      </c>
      <c r="B2588" s="15" t="s">
        <v>710</v>
      </c>
      <c r="C2588" s="40" t="s">
        <v>597</v>
      </c>
      <c r="D2588" s="40" t="s">
        <v>3128</v>
      </c>
      <c r="E2588" s="31" t="s">
        <v>2620</v>
      </c>
      <c r="F2588" s="31" t="s">
        <v>1304</v>
      </c>
      <c r="G2588" s="31" t="s">
        <v>3129</v>
      </c>
      <c r="H2588" s="40" t="s">
        <v>3130</v>
      </c>
      <c r="I2588" s="40" t="s">
        <v>3131</v>
      </c>
      <c r="J2588" s="40" t="s">
        <v>3132</v>
      </c>
      <c r="K2588" s="40" t="s">
        <v>591</v>
      </c>
      <c r="L2588" s="11" t="s">
        <v>914</v>
      </c>
      <c r="M2588" s="93">
        <v>1</v>
      </c>
      <c r="N2588" s="94">
        <f>59000*8</f>
        <v>472000</v>
      </c>
      <c r="O2588" s="94">
        <f>N2588*M2588</f>
        <v>472000</v>
      </c>
      <c r="P2588" s="40" t="s">
        <v>3116</v>
      </c>
      <c r="Q2588" s="40" t="s">
        <v>766</v>
      </c>
      <c r="R2588" s="84">
        <v>431010000</v>
      </c>
      <c r="S2588" s="40">
        <v>50</v>
      </c>
    </row>
    <row r="2589" spans="1:19" s="92" customFormat="1" ht="76.5">
      <c r="A2589" s="5">
        <v>2574</v>
      </c>
      <c r="B2589" s="15" t="s">
        <v>710</v>
      </c>
      <c r="C2589" s="40" t="s">
        <v>3117</v>
      </c>
      <c r="D2589" s="40" t="s">
        <v>532</v>
      </c>
      <c r="E2589" s="31" t="s">
        <v>3133</v>
      </c>
      <c r="F2589" s="31" t="s">
        <v>534</v>
      </c>
      <c r="G2589" s="31" t="s">
        <v>3133</v>
      </c>
      <c r="H2589" s="31" t="s">
        <v>534</v>
      </c>
      <c r="I2589" s="40" t="s">
        <v>3134</v>
      </c>
      <c r="J2589" s="40" t="s">
        <v>3135</v>
      </c>
      <c r="K2589" s="40" t="s">
        <v>591</v>
      </c>
      <c r="L2589" s="11" t="s">
        <v>914</v>
      </c>
      <c r="M2589" s="93">
        <v>1</v>
      </c>
      <c r="N2589" s="94">
        <v>300000</v>
      </c>
      <c r="O2589" s="94">
        <f>N2589*M2589</f>
        <v>300000</v>
      </c>
      <c r="P2589" s="40" t="s">
        <v>3116</v>
      </c>
      <c r="Q2589" s="40" t="s">
        <v>1051</v>
      </c>
      <c r="R2589" s="84">
        <v>431010000</v>
      </c>
      <c r="S2589" s="40">
        <v>50</v>
      </c>
    </row>
    <row r="2590" spans="1:19" s="92" customFormat="1" ht="51">
      <c r="A2590" s="5">
        <v>2575</v>
      </c>
      <c r="B2590" s="15" t="s">
        <v>710</v>
      </c>
      <c r="C2590" s="40" t="s">
        <v>2433</v>
      </c>
      <c r="D2590" s="40" t="s">
        <v>3136</v>
      </c>
      <c r="E2590" s="40" t="s">
        <v>466</v>
      </c>
      <c r="F2590" s="40" t="s">
        <v>25</v>
      </c>
      <c r="G2590" s="40" t="s">
        <v>3212</v>
      </c>
      <c r="H2590" s="40" t="s">
        <v>467</v>
      </c>
      <c r="I2590" s="40" t="s">
        <v>3137</v>
      </c>
      <c r="J2590" s="40" t="s">
        <v>3138</v>
      </c>
      <c r="K2590" s="40" t="s">
        <v>591</v>
      </c>
      <c r="L2590" s="95" t="s">
        <v>644</v>
      </c>
      <c r="M2590" s="93">
        <f>16*5</f>
        <v>80</v>
      </c>
      <c r="N2590" s="94">
        <v>40</v>
      </c>
      <c r="O2590" s="94">
        <f>N2590*M2590</f>
        <v>3200</v>
      </c>
      <c r="P2590" s="40" t="s">
        <v>3139</v>
      </c>
      <c r="Q2590" s="40" t="s">
        <v>766</v>
      </c>
      <c r="R2590" s="84">
        <v>431010000</v>
      </c>
      <c r="S2590" s="40">
        <v>0</v>
      </c>
    </row>
    <row r="2591" spans="1:19" s="92" customFormat="1" ht="51">
      <c r="A2591" s="5">
        <v>2576</v>
      </c>
      <c r="B2591" s="15" t="s">
        <v>710</v>
      </c>
      <c r="C2591" s="40" t="s">
        <v>2433</v>
      </c>
      <c r="D2591" s="40" t="s">
        <v>3140</v>
      </c>
      <c r="E2591" s="40" t="s">
        <v>3141</v>
      </c>
      <c r="F2591" s="40" t="s">
        <v>3142</v>
      </c>
      <c r="G2591" s="40" t="s">
        <v>3213</v>
      </c>
      <c r="H2591" s="40" t="s">
        <v>3214</v>
      </c>
      <c r="I2591" s="40" t="s">
        <v>3143</v>
      </c>
      <c r="J2591" s="40" t="s">
        <v>3144</v>
      </c>
      <c r="K2591" s="40" t="s">
        <v>591</v>
      </c>
      <c r="L2591" s="95" t="s">
        <v>644</v>
      </c>
      <c r="M2591" s="93">
        <f>16*2</f>
        <v>32</v>
      </c>
      <c r="N2591" s="94">
        <v>170</v>
      </c>
      <c r="O2591" s="94">
        <f t="shared" ref="O2591:O2608" si="66">N2591*M2591</f>
        <v>5440</v>
      </c>
      <c r="P2591" s="40" t="s">
        <v>3139</v>
      </c>
      <c r="Q2591" s="40" t="s">
        <v>766</v>
      </c>
      <c r="R2591" s="84">
        <v>431010000</v>
      </c>
      <c r="S2591" s="40">
        <v>0</v>
      </c>
    </row>
    <row r="2592" spans="1:19" s="92" customFormat="1" ht="51">
      <c r="A2592" s="5">
        <v>2577</v>
      </c>
      <c r="B2592" s="15" t="s">
        <v>710</v>
      </c>
      <c r="C2592" s="40" t="s">
        <v>2433</v>
      </c>
      <c r="D2592" s="40" t="s">
        <v>452</v>
      </c>
      <c r="E2592" s="40" t="s">
        <v>453</v>
      </c>
      <c r="F2592" s="40" t="s">
        <v>454</v>
      </c>
      <c r="G2592" s="40" t="s">
        <v>455</v>
      </c>
      <c r="H2592" s="40" t="s">
        <v>456</v>
      </c>
      <c r="I2592" s="40" t="s">
        <v>3145</v>
      </c>
      <c r="J2592" s="40" t="s">
        <v>3146</v>
      </c>
      <c r="K2592" s="40" t="s">
        <v>591</v>
      </c>
      <c r="L2592" s="95" t="s">
        <v>480</v>
      </c>
      <c r="M2592" s="93">
        <f>16*5</f>
        <v>80</v>
      </c>
      <c r="N2592" s="94">
        <v>155</v>
      </c>
      <c r="O2592" s="94">
        <f t="shared" si="66"/>
        <v>12400</v>
      </c>
      <c r="P2592" s="40" t="s">
        <v>3139</v>
      </c>
      <c r="Q2592" s="40" t="s">
        <v>766</v>
      </c>
      <c r="R2592" s="84">
        <v>431010000</v>
      </c>
      <c r="S2592" s="40">
        <v>0</v>
      </c>
    </row>
    <row r="2593" spans="1:19" s="92" customFormat="1" ht="51">
      <c r="A2593" s="5">
        <v>2578</v>
      </c>
      <c r="B2593" s="15" t="s">
        <v>710</v>
      </c>
      <c r="C2593" s="40" t="s">
        <v>2433</v>
      </c>
      <c r="D2593" s="40" t="s">
        <v>452</v>
      </c>
      <c r="E2593" s="40" t="s">
        <v>453</v>
      </c>
      <c r="F2593" s="40" t="s">
        <v>454</v>
      </c>
      <c r="G2593" s="40" t="s">
        <v>455</v>
      </c>
      <c r="H2593" s="40" t="s">
        <v>456</v>
      </c>
      <c r="I2593" s="40" t="s">
        <v>3147</v>
      </c>
      <c r="J2593" s="40" t="s">
        <v>3148</v>
      </c>
      <c r="K2593" s="40" t="s">
        <v>591</v>
      </c>
      <c r="L2593" s="95" t="s">
        <v>480</v>
      </c>
      <c r="M2593" s="93">
        <f>16*5</f>
        <v>80</v>
      </c>
      <c r="N2593" s="94">
        <v>200</v>
      </c>
      <c r="O2593" s="94">
        <f t="shared" si="66"/>
        <v>16000</v>
      </c>
      <c r="P2593" s="40" t="s">
        <v>3139</v>
      </c>
      <c r="Q2593" s="40" t="s">
        <v>766</v>
      </c>
      <c r="R2593" s="84">
        <v>431010000</v>
      </c>
      <c r="S2593" s="40">
        <v>0</v>
      </c>
    </row>
    <row r="2594" spans="1:19" s="92" customFormat="1" ht="51">
      <c r="A2594" s="5">
        <v>2579</v>
      </c>
      <c r="B2594" s="15" t="s">
        <v>710</v>
      </c>
      <c r="C2594" s="40" t="s">
        <v>2433</v>
      </c>
      <c r="D2594" s="40" t="s">
        <v>432</v>
      </c>
      <c r="E2594" s="40" t="s">
        <v>433</v>
      </c>
      <c r="F2594" s="40" t="s">
        <v>434</v>
      </c>
      <c r="G2594" s="40" t="s">
        <v>435</v>
      </c>
      <c r="H2594" s="40" t="s">
        <v>436</v>
      </c>
      <c r="I2594" s="40" t="s">
        <v>3149</v>
      </c>
      <c r="J2594" s="40" t="s">
        <v>3150</v>
      </c>
      <c r="K2594" s="40" t="s">
        <v>591</v>
      </c>
      <c r="L2594" s="95" t="s">
        <v>644</v>
      </c>
      <c r="M2594" s="93">
        <f>16*5</f>
        <v>80</v>
      </c>
      <c r="N2594" s="94">
        <v>250</v>
      </c>
      <c r="O2594" s="94">
        <f t="shared" si="66"/>
        <v>20000</v>
      </c>
      <c r="P2594" s="40" t="s">
        <v>3139</v>
      </c>
      <c r="Q2594" s="40" t="s">
        <v>766</v>
      </c>
      <c r="R2594" s="84">
        <v>431010000</v>
      </c>
      <c r="S2594" s="40">
        <v>0</v>
      </c>
    </row>
    <row r="2595" spans="1:19" s="92" customFormat="1" ht="51">
      <c r="A2595" s="5">
        <v>2580</v>
      </c>
      <c r="B2595" s="15" t="s">
        <v>710</v>
      </c>
      <c r="C2595" s="40" t="s">
        <v>2433</v>
      </c>
      <c r="D2595" s="40" t="s">
        <v>447</v>
      </c>
      <c r="E2595" s="40" t="s">
        <v>24</v>
      </c>
      <c r="F2595" s="40" t="s">
        <v>24</v>
      </c>
      <c r="G2595" s="40" t="s">
        <v>3215</v>
      </c>
      <c r="H2595" s="40" t="s">
        <v>448</v>
      </c>
      <c r="I2595" s="40" t="s">
        <v>3151</v>
      </c>
      <c r="J2595" s="40" t="s">
        <v>3152</v>
      </c>
      <c r="K2595" s="40" t="s">
        <v>591</v>
      </c>
      <c r="L2595" s="95" t="s">
        <v>644</v>
      </c>
      <c r="M2595" s="93">
        <f>16*3</f>
        <v>48</v>
      </c>
      <c r="N2595" s="94">
        <v>250</v>
      </c>
      <c r="O2595" s="94">
        <f t="shared" si="66"/>
        <v>12000</v>
      </c>
      <c r="P2595" s="40" t="s">
        <v>3139</v>
      </c>
      <c r="Q2595" s="40" t="s">
        <v>766</v>
      </c>
      <c r="R2595" s="84">
        <v>431010000</v>
      </c>
      <c r="S2595" s="40">
        <v>0</v>
      </c>
    </row>
    <row r="2596" spans="1:19" s="92" customFormat="1" ht="51">
      <c r="A2596" s="5">
        <v>2581</v>
      </c>
      <c r="B2596" s="15" t="s">
        <v>710</v>
      </c>
      <c r="C2596" s="40" t="s">
        <v>2433</v>
      </c>
      <c r="D2596" s="40" t="s">
        <v>449</v>
      </c>
      <c r="E2596" s="40" t="s">
        <v>450</v>
      </c>
      <c r="F2596" s="40" t="s">
        <v>450</v>
      </c>
      <c r="G2596" s="40" t="s">
        <v>3216</v>
      </c>
      <c r="H2596" s="40" t="s">
        <v>451</v>
      </c>
      <c r="I2596" s="40" t="s">
        <v>3153</v>
      </c>
      <c r="J2596" s="40" t="s">
        <v>3154</v>
      </c>
      <c r="K2596" s="40" t="s">
        <v>591</v>
      </c>
      <c r="L2596" s="95" t="s">
        <v>480</v>
      </c>
      <c r="M2596" s="93">
        <f>16*3</f>
        <v>48</v>
      </c>
      <c r="N2596" s="94">
        <v>250</v>
      </c>
      <c r="O2596" s="94">
        <f t="shared" si="66"/>
        <v>12000</v>
      </c>
      <c r="P2596" s="40" t="s">
        <v>3139</v>
      </c>
      <c r="Q2596" s="40" t="s">
        <v>766</v>
      </c>
      <c r="R2596" s="84">
        <v>431010000</v>
      </c>
      <c r="S2596" s="40">
        <v>0</v>
      </c>
    </row>
    <row r="2597" spans="1:19" s="92" customFormat="1" ht="51">
      <c r="A2597" s="5">
        <v>2582</v>
      </c>
      <c r="B2597" s="15" t="s">
        <v>710</v>
      </c>
      <c r="C2597" s="40" t="s">
        <v>2433</v>
      </c>
      <c r="D2597" s="40" t="s">
        <v>3155</v>
      </c>
      <c r="E2597" s="40" t="s">
        <v>3156</v>
      </c>
      <c r="F2597" s="40" t="s">
        <v>3157</v>
      </c>
      <c r="G2597" s="40" t="s">
        <v>3217</v>
      </c>
      <c r="H2597" s="40" t="s">
        <v>3218</v>
      </c>
      <c r="I2597" s="40" t="s">
        <v>3158</v>
      </c>
      <c r="J2597" s="40" t="s">
        <v>3159</v>
      </c>
      <c r="K2597" s="40" t="s">
        <v>591</v>
      </c>
      <c r="L2597" s="95" t="s">
        <v>644</v>
      </c>
      <c r="M2597" s="93">
        <f>16*2</f>
        <v>32</v>
      </c>
      <c r="N2597" s="94">
        <v>150</v>
      </c>
      <c r="O2597" s="94">
        <f t="shared" si="66"/>
        <v>4800</v>
      </c>
      <c r="P2597" s="40" t="s">
        <v>3139</v>
      </c>
      <c r="Q2597" s="40" t="s">
        <v>766</v>
      </c>
      <c r="R2597" s="84">
        <v>431010000</v>
      </c>
      <c r="S2597" s="40">
        <v>0</v>
      </c>
    </row>
    <row r="2598" spans="1:19" s="92" customFormat="1" ht="51">
      <c r="A2598" s="5">
        <v>2583</v>
      </c>
      <c r="B2598" s="15" t="s">
        <v>710</v>
      </c>
      <c r="C2598" s="40" t="s">
        <v>2433</v>
      </c>
      <c r="D2598" s="40" t="s">
        <v>437</v>
      </c>
      <c r="E2598" s="40" t="s">
        <v>20</v>
      </c>
      <c r="F2598" s="40" t="s">
        <v>20</v>
      </c>
      <c r="G2598" s="40" t="s">
        <v>438</v>
      </c>
      <c r="H2598" s="40" t="s">
        <v>439</v>
      </c>
      <c r="I2598" s="40" t="s">
        <v>3160</v>
      </c>
      <c r="J2598" s="40" t="s">
        <v>3161</v>
      </c>
      <c r="K2598" s="40" t="s">
        <v>591</v>
      </c>
      <c r="L2598" s="95" t="s">
        <v>644</v>
      </c>
      <c r="M2598" s="93">
        <f>16*5</f>
        <v>80</v>
      </c>
      <c r="N2598" s="94">
        <v>100</v>
      </c>
      <c r="O2598" s="94">
        <f t="shared" si="66"/>
        <v>8000</v>
      </c>
      <c r="P2598" s="40" t="s">
        <v>3139</v>
      </c>
      <c r="Q2598" s="40" t="s">
        <v>766</v>
      </c>
      <c r="R2598" s="84">
        <v>431010000</v>
      </c>
      <c r="S2598" s="40">
        <v>0</v>
      </c>
    </row>
    <row r="2599" spans="1:19" s="92" customFormat="1" ht="51">
      <c r="A2599" s="5">
        <v>2584</v>
      </c>
      <c r="B2599" s="15" t="s">
        <v>710</v>
      </c>
      <c r="C2599" s="40" t="s">
        <v>2433</v>
      </c>
      <c r="D2599" s="40" t="s">
        <v>3162</v>
      </c>
      <c r="E2599" s="40" t="s">
        <v>3163</v>
      </c>
      <c r="F2599" s="40" t="s">
        <v>3164</v>
      </c>
      <c r="G2599" s="31" t="s">
        <v>3219</v>
      </c>
      <c r="H2599" s="40" t="s">
        <v>3220</v>
      </c>
      <c r="I2599" s="40" t="s">
        <v>3165</v>
      </c>
      <c r="J2599" s="40" t="s">
        <v>3166</v>
      </c>
      <c r="K2599" s="40" t="s">
        <v>591</v>
      </c>
      <c r="L2599" s="95" t="s">
        <v>480</v>
      </c>
      <c r="M2599" s="93">
        <f>16*5</f>
        <v>80</v>
      </c>
      <c r="N2599" s="94">
        <v>500</v>
      </c>
      <c r="O2599" s="94">
        <f t="shared" si="66"/>
        <v>40000</v>
      </c>
      <c r="P2599" s="40" t="s">
        <v>3139</v>
      </c>
      <c r="Q2599" s="40" t="s">
        <v>766</v>
      </c>
      <c r="R2599" s="84">
        <v>431010000</v>
      </c>
      <c r="S2599" s="40">
        <v>0</v>
      </c>
    </row>
    <row r="2600" spans="1:19" s="92" customFormat="1" ht="51">
      <c r="A2600" s="5">
        <v>2585</v>
      </c>
      <c r="B2600" s="15" t="s">
        <v>710</v>
      </c>
      <c r="C2600" s="40" t="s">
        <v>2433</v>
      </c>
      <c r="D2600" s="40" t="s">
        <v>440</v>
      </c>
      <c r="E2600" s="40" t="s">
        <v>21</v>
      </c>
      <c r="F2600" s="40" t="s">
        <v>21</v>
      </c>
      <c r="G2600" s="31" t="s">
        <v>441</v>
      </c>
      <c r="H2600" s="40" t="s">
        <v>442</v>
      </c>
      <c r="I2600" s="40" t="s">
        <v>3167</v>
      </c>
      <c r="J2600" s="40" t="s">
        <v>3168</v>
      </c>
      <c r="K2600" s="40" t="s">
        <v>591</v>
      </c>
      <c r="L2600" s="95" t="s">
        <v>644</v>
      </c>
      <c r="M2600" s="93">
        <f t="shared" ref="M2600:M2605" si="67">16*1</f>
        <v>16</v>
      </c>
      <c r="N2600" s="94">
        <v>1500</v>
      </c>
      <c r="O2600" s="94">
        <f t="shared" si="66"/>
        <v>24000</v>
      </c>
      <c r="P2600" s="40" t="s">
        <v>3139</v>
      </c>
      <c r="Q2600" s="40" t="s">
        <v>766</v>
      </c>
      <c r="R2600" s="84">
        <v>431010000</v>
      </c>
      <c r="S2600" s="40">
        <v>0</v>
      </c>
    </row>
    <row r="2601" spans="1:19" s="92" customFormat="1" ht="127.5">
      <c r="A2601" s="5">
        <v>2586</v>
      </c>
      <c r="B2601" s="15" t="s">
        <v>710</v>
      </c>
      <c r="C2601" s="40" t="s">
        <v>2433</v>
      </c>
      <c r="D2601" s="40" t="s">
        <v>470</v>
      </c>
      <c r="E2601" s="40" t="s">
        <v>27</v>
      </c>
      <c r="F2601" s="40" t="s">
        <v>27</v>
      </c>
      <c r="G2601" s="31" t="s">
        <v>471</v>
      </c>
      <c r="H2601" s="40" t="s">
        <v>472</v>
      </c>
      <c r="I2601" s="40" t="s">
        <v>3169</v>
      </c>
      <c r="J2601" s="40" t="s">
        <v>3170</v>
      </c>
      <c r="K2601" s="40" t="s">
        <v>591</v>
      </c>
      <c r="L2601" s="95" t="s">
        <v>644</v>
      </c>
      <c r="M2601" s="93">
        <f t="shared" si="67"/>
        <v>16</v>
      </c>
      <c r="N2601" s="94">
        <v>3500</v>
      </c>
      <c r="O2601" s="94">
        <f t="shared" si="66"/>
        <v>56000</v>
      </c>
      <c r="P2601" s="40" t="s">
        <v>3139</v>
      </c>
      <c r="Q2601" s="40" t="s">
        <v>766</v>
      </c>
      <c r="R2601" s="84">
        <v>431010000</v>
      </c>
      <c r="S2601" s="40">
        <v>0</v>
      </c>
    </row>
    <row r="2602" spans="1:19" s="92" customFormat="1" ht="76.5">
      <c r="A2602" s="5">
        <v>2587</v>
      </c>
      <c r="B2602" s="15" t="s">
        <v>710</v>
      </c>
      <c r="C2602" s="40" t="s">
        <v>2433</v>
      </c>
      <c r="D2602" s="40" t="s">
        <v>3171</v>
      </c>
      <c r="E2602" s="40" t="s">
        <v>3172</v>
      </c>
      <c r="F2602" s="40" t="s">
        <v>3172</v>
      </c>
      <c r="G2602" s="40" t="s">
        <v>3173</v>
      </c>
      <c r="H2602" s="40" t="s">
        <v>3174</v>
      </c>
      <c r="I2602" s="40" t="s">
        <v>3175</v>
      </c>
      <c r="J2602" s="40" t="s">
        <v>3176</v>
      </c>
      <c r="K2602" s="40" t="s">
        <v>591</v>
      </c>
      <c r="L2602" s="95" t="s">
        <v>644</v>
      </c>
      <c r="M2602" s="93">
        <f t="shared" si="67"/>
        <v>16</v>
      </c>
      <c r="N2602" s="94">
        <v>150</v>
      </c>
      <c r="O2602" s="94">
        <f t="shared" si="66"/>
        <v>2400</v>
      </c>
      <c r="P2602" s="40" t="s">
        <v>3139</v>
      </c>
      <c r="Q2602" s="40" t="s">
        <v>766</v>
      </c>
      <c r="R2602" s="84">
        <v>431010000</v>
      </c>
      <c r="S2602" s="40">
        <v>0</v>
      </c>
    </row>
    <row r="2603" spans="1:19" s="92" customFormat="1" ht="51">
      <c r="A2603" s="5">
        <v>2588</v>
      </c>
      <c r="B2603" s="15" t="s">
        <v>710</v>
      </c>
      <c r="C2603" s="40" t="s">
        <v>2433</v>
      </c>
      <c r="D2603" s="40" t="s">
        <v>457</v>
      </c>
      <c r="E2603" s="40" t="s">
        <v>17</v>
      </c>
      <c r="F2603" s="40" t="s">
        <v>17</v>
      </c>
      <c r="G2603" s="40" t="s">
        <v>3177</v>
      </c>
      <c r="H2603" s="40" t="s">
        <v>458</v>
      </c>
      <c r="I2603" s="40" t="s">
        <v>3178</v>
      </c>
      <c r="J2603" s="40" t="s">
        <v>3179</v>
      </c>
      <c r="K2603" s="40" t="s">
        <v>591</v>
      </c>
      <c r="L2603" s="95" t="s">
        <v>644</v>
      </c>
      <c r="M2603" s="93">
        <f t="shared" si="67"/>
        <v>16</v>
      </c>
      <c r="N2603" s="94">
        <v>600</v>
      </c>
      <c r="O2603" s="94">
        <f t="shared" si="66"/>
        <v>9600</v>
      </c>
      <c r="P2603" s="40" t="s">
        <v>3139</v>
      </c>
      <c r="Q2603" s="40" t="s">
        <v>766</v>
      </c>
      <c r="R2603" s="84">
        <v>431010000</v>
      </c>
      <c r="S2603" s="40">
        <v>0</v>
      </c>
    </row>
    <row r="2604" spans="1:19" s="92" customFormat="1" ht="51">
      <c r="A2604" s="5">
        <v>2589</v>
      </c>
      <c r="B2604" s="15" t="s">
        <v>710</v>
      </c>
      <c r="C2604" s="40" t="s">
        <v>2433</v>
      </c>
      <c r="D2604" s="40" t="s">
        <v>457</v>
      </c>
      <c r="E2604" s="40" t="s">
        <v>17</v>
      </c>
      <c r="F2604" s="40" t="s">
        <v>17</v>
      </c>
      <c r="G2604" s="40" t="s">
        <v>3177</v>
      </c>
      <c r="H2604" s="40" t="s">
        <v>458</v>
      </c>
      <c r="I2604" s="40" t="s">
        <v>3180</v>
      </c>
      <c r="J2604" s="40" t="s">
        <v>3181</v>
      </c>
      <c r="K2604" s="40" t="s">
        <v>591</v>
      </c>
      <c r="L2604" s="95" t="s">
        <v>644</v>
      </c>
      <c r="M2604" s="93">
        <f t="shared" si="67"/>
        <v>16</v>
      </c>
      <c r="N2604" s="94">
        <v>800</v>
      </c>
      <c r="O2604" s="94">
        <f t="shared" si="66"/>
        <v>12800</v>
      </c>
      <c r="P2604" s="40" t="s">
        <v>3139</v>
      </c>
      <c r="Q2604" s="40" t="s">
        <v>766</v>
      </c>
      <c r="R2604" s="84">
        <v>431010000</v>
      </c>
      <c r="S2604" s="40">
        <v>0</v>
      </c>
    </row>
    <row r="2605" spans="1:19" s="92" customFormat="1" ht="51">
      <c r="A2605" s="5">
        <v>2590</v>
      </c>
      <c r="B2605" s="15" t="s">
        <v>710</v>
      </c>
      <c r="C2605" s="40" t="s">
        <v>2433</v>
      </c>
      <c r="D2605" s="40" t="s">
        <v>476</v>
      </c>
      <c r="E2605" s="40" t="s">
        <v>477</v>
      </c>
      <c r="F2605" s="40" t="s">
        <v>28</v>
      </c>
      <c r="G2605" s="40" t="s">
        <v>478</v>
      </c>
      <c r="H2605" s="40" t="s">
        <v>479</v>
      </c>
      <c r="I2605" s="40" t="s">
        <v>3182</v>
      </c>
      <c r="J2605" s="40" t="s">
        <v>3183</v>
      </c>
      <c r="K2605" s="40" t="s">
        <v>591</v>
      </c>
      <c r="L2605" s="95" t="s">
        <v>644</v>
      </c>
      <c r="M2605" s="93">
        <f t="shared" si="67"/>
        <v>16</v>
      </c>
      <c r="N2605" s="94">
        <v>1500</v>
      </c>
      <c r="O2605" s="94">
        <f t="shared" si="66"/>
        <v>24000</v>
      </c>
      <c r="P2605" s="40" t="s">
        <v>3139</v>
      </c>
      <c r="Q2605" s="40" t="s">
        <v>766</v>
      </c>
      <c r="R2605" s="84">
        <v>431010000</v>
      </c>
      <c r="S2605" s="40">
        <v>0</v>
      </c>
    </row>
    <row r="2606" spans="1:19" s="92" customFormat="1" ht="51">
      <c r="A2606" s="5">
        <v>2591</v>
      </c>
      <c r="B2606" s="15" t="s">
        <v>710</v>
      </c>
      <c r="C2606" s="40" t="s">
        <v>2433</v>
      </c>
      <c r="D2606" s="40" t="s">
        <v>468</v>
      </c>
      <c r="E2606" s="40" t="s">
        <v>3184</v>
      </c>
      <c r="F2606" s="40" t="s">
        <v>26</v>
      </c>
      <c r="G2606" s="40" t="s">
        <v>3185</v>
      </c>
      <c r="H2606" s="40" t="s">
        <v>469</v>
      </c>
      <c r="I2606" s="40" t="s">
        <v>3186</v>
      </c>
      <c r="J2606" s="40" t="s">
        <v>3187</v>
      </c>
      <c r="K2606" s="40" t="s">
        <v>591</v>
      </c>
      <c r="L2606" s="95" t="s">
        <v>644</v>
      </c>
      <c r="M2606" s="93">
        <f>16*5</f>
        <v>80</v>
      </c>
      <c r="N2606" s="94">
        <v>250</v>
      </c>
      <c r="O2606" s="94">
        <f t="shared" si="66"/>
        <v>20000</v>
      </c>
      <c r="P2606" s="40" t="s">
        <v>3139</v>
      </c>
      <c r="Q2606" s="40" t="s">
        <v>766</v>
      </c>
      <c r="R2606" s="84">
        <v>431010000</v>
      </c>
      <c r="S2606" s="40">
        <v>0</v>
      </c>
    </row>
    <row r="2607" spans="1:19" s="92" customFormat="1" ht="51">
      <c r="A2607" s="5">
        <v>2592</v>
      </c>
      <c r="B2607" s="15" t="s">
        <v>710</v>
      </c>
      <c r="C2607" s="40" t="s">
        <v>2433</v>
      </c>
      <c r="D2607" s="40" t="s">
        <v>443</v>
      </c>
      <c r="E2607" s="40" t="s">
        <v>444</v>
      </c>
      <c r="F2607" s="40" t="s">
        <v>444</v>
      </c>
      <c r="G2607" s="40" t="s">
        <v>445</v>
      </c>
      <c r="H2607" s="40" t="s">
        <v>446</v>
      </c>
      <c r="I2607" s="40" t="s">
        <v>3188</v>
      </c>
      <c r="J2607" s="40" t="s">
        <v>3189</v>
      </c>
      <c r="K2607" s="40" t="s">
        <v>591</v>
      </c>
      <c r="L2607" s="95" t="s">
        <v>644</v>
      </c>
      <c r="M2607" s="93">
        <f>16*5</f>
        <v>80</v>
      </c>
      <c r="N2607" s="94">
        <v>500</v>
      </c>
      <c r="O2607" s="94">
        <f t="shared" si="66"/>
        <v>40000</v>
      </c>
      <c r="P2607" s="40" t="s">
        <v>3139</v>
      </c>
      <c r="Q2607" s="40" t="s">
        <v>766</v>
      </c>
      <c r="R2607" s="84">
        <v>431010000</v>
      </c>
      <c r="S2607" s="40">
        <v>0</v>
      </c>
    </row>
    <row r="2608" spans="1:19" s="92" customFormat="1" ht="51">
      <c r="A2608" s="5">
        <v>2593</v>
      </c>
      <c r="B2608" s="15" t="s">
        <v>710</v>
      </c>
      <c r="C2608" s="40" t="s">
        <v>711</v>
      </c>
      <c r="D2608" s="40" t="s">
        <v>3190</v>
      </c>
      <c r="E2608" s="31" t="s">
        <v>3191</v>
      </c>
      <c r="F2608" s="31" t="s">
        <v>3192</v>
      </c>
      <c r="G2608" s="40" t="s">
        <v>3264</v>
      </c>
      <c r="H2608" s="40" t="s">
        <v>3264</v>
      </c>
      <c r="I2608" s="31" t="s">
        <v>3193</v>
      </c>
      <c r="J2608" s="31" t="s">
        <v>3194</v>
      </c>
      <c r="K2608" s="40" t="s">
        <v>591</v>
      </c>
      <c r="L2608" s="95" t="s">
        <v>644</v>
      </c>
      <c r="M2608" s="93">
        <f>16*1</f>
        <v>16</v>
      </c>
      <c r="N2608" s="94">
        <v>1200</v>
      </c>
      <c r="O2608" s="94">
        <f t="shared" si="66"/>
        <v>19200</v>
      </c>
      <c r="P2608" s="40" t="s">
        <v>3139</v>
      </c>
      <c r="Q2608" s="40" t="s">
        <v>766</v>
      </c>
      <c r="R2608" s="84">
        <v>431010000</v>
      </c>
      <c r="S2608" s="40">
        <v>0</v>
      </c>
    </row>
    <row r="2609" spans="1:19" s="92" customFormat="1" ht="89.25">
      <c r="A2609" s="5">
        <v>2594</v>
      </c>
      <c r="B2609" s="15" t="s">
        <v>710</v>
      </c>
      <c r="C2609" s="40" t="s">
        <v>597</v>
      </c>
      <c r="D2609" s="40" t="s">
        <v>598</v>
      </c>
      <c r="E2609" s="31" t="s">
        <v>599</v>
      </c>
      <c r="F2609" s="31" t="s">
        <v>782</v>
      </c>
      <c r="G2609" s="31" t="s">
        <v>3195</v>
      </c>
      <c r="H2609" s="40" t="s">
        <v>602</v>
      </c>
      <c r="I2609" s="40" t="s">
        <v>3196</v>
      </c>
      <c r="J2609" s="40" t="s">
        <v>3197</v>
      </c>
      <c r="K2609" s="40" t="s">
        <v>591</v>
      </c>
      <c r="L2609" s="11" t="s">
        <v>914</v>
      </c>
      <c r="M2609" s="93">
        <v>1</v>
      </c>
      <c r="N2609" s="94">
        <v>624400</v>
      </c>
      <c r="O2609" s="94">
        <v>624400</v>
      </c>
      <c r="P2609" s="40" t="s">
        <v>502</v>
      </c>
      <c r="Q2609" s="40" t="s">
        <v>766</v>
      </c>
      <c r="R2609" s="84">
        <v>433220100</v>
      </c>
      <c r="S2609" s="40">
        <v>0</v>
      </c>
    </row>
    <row r="2610" spans="1:19" s="92" customFormat="1" ht="89.25">
      <c r="A2610" s="5">
        <v>2595</v>
      </c>
      <c r="B2610" s="15" t="s">
        <v>710</v>
      </c>
      <c r="C2610" s="40" t="s">
        <v>597</v>
      </c>
      <c r="D2610" s="40" t="s">
        <v>598</v>
      </c>
      <c r="E2610" s="31" t="s">
        <v>599</v>
      </c>
      <c r="F2610" s="31" t="s">
        <v>782</v>
      </c>
      <c r="G2610" s="31" t="s">
        <v>3195</v>
      </c>
      <c r="H2610" s="40" t="s">
        <v>602</v>
      </c>
      <c r="I2610" s="40" t="s">
        <v>3196</v>
      </c>
      <c r="J2610" s="40" t="s">
        <v>3197</v>
      </c>
      <c r="K2610" s="40" t="s">
        <v>591</v>
      </c>
      <c r="L2610" s="11" t="s">
        <v>914</v>
      </c>
      <c r="M2610" s="93">
        <v>1</v>
      </c>
      <c r="N2610" s="94">
        <v>624400</v>
      </c>
      <c r="O2610" s="94">
        <v>624400</v>
      </c>
      <c r="P2610" s="40" t="s">
        <v>502</v>
      </c>
      <c r="Q2610" s="40" t="s">
        <v>766</v>
      </c>
      <c r="R2610" s="84">
        <v>433220100</v>
      </c>
      <c r="S2610" s="40">
        <v>0</v>
      </c>
    </row>
    <row r="2611" spans="1:19" s="92" customFormat="1" ht="51">
      <c r="A2611" s="5">
        <v>2596</v>
      </c>
      <c r="B2611" s="15" t="s">
        <v>710</v>
      </c>
      <c r="C2611" s="40" t="s">
        <v>597</v>
      </c>
      <c r="D2611" s="11" t="s">
        <v>850</v>
      </c>
      <c r="E2611" s="76" t="s">
        <v>1736</v>
      </c>
      <c r="F2611" s="76" t="s">
        <v>851</v>
      </c>
      <c r="G2611" s="76" t="s">
        <v>1737</v>
      </c>
      <c r="H2611" s="76" t="s">
        <v>852</v>
      </c>
      <c r="I2611" s="76" t="s">
        <v>3199</v>
      </c>
      <c r="J2611" s="76" t="s">
        <v>3200</v>
      </c>
      <c r="K2611" s="40" t="s">
        <v>591</v>
      </c>
      <c r="L2611" s="11" t="s">
        <v>914</v>
      </c>
      <c r="M2611" s="97">
        <v>1</v>
      </c>
      <c r="N2611" s="94">
        <f>10000*5</f>
        <v>50000</v>
      </c>
      <c r="O2611" s="94">
        <f>N2611</f>
        <v>50000</v>
      </c>
      <c r="P2611" s="40" t="s">
        <v>698</v>
      </c>
      <c r="Q2611" s="40" t="s">
        <v>766</v>
      </c>
      <c r="R2611" s="84">
        <v>433220100</v>
      </c>
      <c r="S2611" s="40">
        <v>0</v>
      </c>
    </row>
    <row r="2612" spans="1:19" s="92" customFormat="1" ht="51">
      <c r="A2612" s="5">
        <v>2597</v>
      </c>
      <c r="B2612" s="15" t="s">
        <v>710</v>
      </c>
      <c r="C2612" s="40" t="s">
        <v>597</v>
      </c>
      <c r="D2612" s="40" t="s">
        <v>2594</v>
      </c>
      <c r="E2612" s="31" t="s">
        <v>2618</v>
      </c>
      <c r="F2612" s="31" t="s">
        <v>2595</v>
      </c>
      <c r="G2612" s="31" t="s">
        <v>2618</v>
      </c>
      <c r="H2612" s="40" t="s">
        <v>2595</v>
      </c>
      <c r="I2612" s="40" t="s">
        <v>3201</v>
      </c>
      <c r="J2612" s="40" t="s">
        <v>3202</v>
      </c>
      <c r="K2612" s="40" t="s">
        <v>591</v>
      </c>
      <c r="L2612" s="11" t="s">
        <v>914</v>
      </c>
      <c r="M2612" s="93">
        <v>1</v>
      </c>
      <c r="N2612" s="94">
        <f>10500*3</f>
        <v>31500</v>
      </c>
      <c r="O2612" s="94">
        <f>N2612</f>
        <v>31500</v>
      </c>
      <c r="P2612" s="40" t="s">
        <v>3116</v>
      </c>
      <c r="Q2612" s="40" t="s">
        <v>766</v>
      </c>
      <c r="R2612" s="84">
        <v>433220100</v>
      </c>
      <c r="S2612" s="40">
        <v>30</v>
      </c>
    </row>
    <row r="2613" spans="1:19" s="92" customFormat="1" ht="89.25">
      <c r="A2613" s="5">
        <v>2598</v>
      </c>
      <c r="B2613" s="15" t="s">
        <v>710</v>
      </c>
      <c r="C2613" s="40" t="s">
        <v>711</v>
      </c>
      <c r="D2613" s="40" t="s">
        <v>976</v>
      </c>
      <c r="E2613" s="31" t="s">
        <v>730</v>
      </c>
      <c r="F2613" s="31" t="s">
        <v>731</v>
      </c>
      <c r="G2613" s="31" t="s">
        <v>977</v>
      </c>
      <c r="H2613" s="40" t="s">
        <v>978</v>
      </c>
      <c r="I2613" s="40" t="s">
        <v>3203</v>
      </c>
      <c r="J2613" s="40" t="s">
        <v>3204</v>
      </c>
      <c r="K2613" s="40" t="s">
        <v>591</v>
      </c>
      <c r="L2613" s="40" t="s">
        <v>644</v>
      </c>
      <c r="M2613" s="93">
        <v>2</v>
      </c>
      <c r="N2613" s="94">
        <v>26800</v>
      </c>
      <c r="O2613" s="94">
        <f>N2613*M2613</f>
        <v>53600</v>
      </c>
      <c r="P2613" s="40" t="s">
        <v>3116</v>
      </c>
      <c r="Q2613" s="40" t="s">
        <v>1051</v>
      </c>
      <c r="R2613" s="84">
        <v>433220100</v>
      </c>
      <c r="S2613" s="40">
        <v>100</v>
      </c>
    </row>
    <row r="2614" spans="1:19" s="92" customFormat="1" ht="63.75">
      <c r="A2614" s="5">
        <v>2599</v>
      </c>
      <c r="B2614" s="15" t="s">
        <v>710</v>
      </c>
      <c r="C2614" s="40" t="s">
        <v>711</v>
      </c>
      <c r="D2614" s="40" t="s">
        <v>744</v>
      </c>
      <c r="E2614" s="31" t="s">
        <v>745</v>
      </c>
      <c r="F2614" s="31" t="s">
        <v>109</v>
      </c>
      <c r="G2614" s="31" t="s">
        <v>746</v>
      </c>
      <c r="H2614" s="40" t="s">
        <v>3205</v>
      </c>
      <c r="I2614" s="40" t="s">
        <v>3206</v>
      </c>
      <c r="J2614" s="40" t="s">
        <v>3207</v>
      </c>
      <c r="K2614" s="40" t="s">
        <v>591</v>
      </c>
      <c r="L2614" s="40" t="s">
        <v>644</v>
      </c>
      <c r="M2614" s="93">
        <v>6</v>
      </c>
      <c r="N2614" s="94">
        <v>4000</v>
      </c>
      <c r="O2614" s="94">
        <f>M2614*N2614</f>
        <v>24000</v>
      </c>
      <c r="P2614" s="40" t="s">
        <v>3116</v>
      </c>
      <c r="Q2614" s="40" t="s">
        <v>1051</v>
      </c>
      <c r="R2614" s="84">
        <v>433220100</v>
      </c>
      <c r="S2614" s="40">
        <v>100</v>
      </c>
    </row>
    <row r="2615" spans="1:19" s="92" customFormat="1" ht="51">
      <c r="A2615" s="5">
        <v>2600</v>
      </c>
      <c r="B2615" s="15" t="s">
        <v>710</v>
      </c>
      <c r="C2615" s="40" t="s">
        <v>711</v>
      </c>
      <c r="D2615" s="98" t="s">
        <v>422</v>
      </c>
      <c r="E2615" s="76" t="s">
        <v>423</v>
      </c>
      <c r="F2615" s="76" t="s">
        <v>427</v>
      </c>
      <c r="G2615" s="76" t="s">
        <v>837</v>
      </c>
      <c r="H2615" s="76" t="s">
        <v>425</v>
      </c>
      <c r="I2615" s="76" t="s">
        <v>3208</v>
      </c>
      <c r="J2615" s="76" t="s">
        <v>3209</v>
      </c>
      <c r="K2615" s="76" t="s">
        <v>591</v>
      </c>
      <c r="L2615" s="11" t="s">
        <v>909</v>
      </c>
      <c r="M2615" s="53">
        <v>18</v>
      </c>
      <c r="N2615" s="94">
        <v>640</v>
      </c>
      <c r="O2615" s="94">
        <f>N2615*M2615</f>
        <v>11520</v>
      </c>
      <c r="P2615" s="40" t="s">
        <v>3116</v>
      </c>
      <c r="Q2615" s="40" t="s">
        <v>766</v>
      </c>
      <c r="R2615" s="84">
        <v>433220100</v>
      </c>
      <c r="S2615" s="40">
        <v>100</v>
      </c>
    </row>
    <row r="2616" spans="1:19" s="92" customFormat="1" ht="76.5">
      <c r="A2616" s="5">
        <v>2601</v>
      </c>
      <c r="B2616" s="15" t="s">
        <v>710</v>
      </c>
      <c r="C2616" s="40" t="s">
        <v>711</v>
      </c>
      <c r="D2616" s="40" t="s">
        <v>723</v>
      </c>
      <c r="E2616" s="31" t="s">
        <v>874</v>
      </c>
      <c r="F2616" s="31" t="s">
        <v>874</v>
      </c>
      <c r="G2616" s="31" t="s">
        <v>875</v>
      </c>
      <c r="H2616" s="40" t="s">
        <v>876</v>
      </c>
      <c r="I2616" s="40" t="s">
        <v>3210</v>
      </c>
      <c r="J2616" s="40" t="s">
        <v>3211</v>
      </c>
      <c r="K2616" s="40" t="s">
        <v>591</v>
      </c>
      <c r="L2616" s="40" t="s">
        <v>644</v>
      </c>
      <c r="M2616" s="93">
        <v>2</v>
      </c>
      <c r="N2616" s="94">
        <v>30000</v>
      </c>
      <c r="O2616" s="94">
        <f>N2616*M2616</f>
        <v>60000</v>
      </c>
      <c r="P2616" s="40" t="s">
        <v>3116</v>
      </c>
      <c r="Q2616" s="40" t="s">
        <v>1051</v>
      </c>
      <c r="R2616" s="84">
        <v>433220100</v>
      </c>
      <c r="S2616" s="40">
        <v>100</v>
      </c>
    </row>
    <row r="2617" spans="1:19" s="92" customFormat="1" ht="89.25">
      <c r="A2617" s="5">
        <v>2602</v>
      </c>
      <c r="B2617" s="15" t="s">
        <v>710</v>
      </c>
      <c r="C2617" s="40" t="s">
        <v>597</v>
      </c>
      <c r="D2617" s="40" t="s">
        <v>598</v>
      </c>
      <c r="E2617" s="31" t="s">
        <v>599</v>
      </c>
      <c r="F2617" s="31" t="s">
        <v>782</v>
      </c>
      <c r="G2617" s="31" t="s">
        <v>3195</v>
      </c>
      <c r="H2617" s="40" t="s">
        <v>602</v>
      </c>
      <c r="I2617" s="40" t="s">
        <v>3196</v>
      </c>
      <c r="J2617" s="40" t="s">
        <v>3197</v>
      </c>
      <c r="K2617" s="40" t="s">
        <v>591</v>
      </c>
      <c r="L2617" s="11" t="s">
        <v>914</v>
      </c>
      <c r="M2617" s="93">
        <v>1</v>
      </c>
      <c r="N2617" s="94">
        <v>624400</v>
      </c>
      <c r="O2617" s="94">
        <v>624400</v>
      </c>
      <c r="P2617" s="40" t="s">
        <v>502</v>
      </c>
      <c r="Q2617" s="40" t="s">
        <v>766</v>
      </c>
      <c r="R2617" s="84">
        <v>434430100</v>
      </c>
      <c r="S2617" s="40">
        <v>0</v>
      </c>
    </row>
    <row r="2618" spans="1:19" s="92" customFormat="1" ht="89.25">
      <c r="A2618" s="5">
        <v>2603</v>
      </c>
      <c r="B2618" s="15" t="s">
        <v>710</v>
      </c>
      <c r="C2618" s="40" t="s">
        <v>597</v>
      </c>
      <c r="D2618" s="40" t="s">
        <v>598</v>
      </c>
      <c r="E2618" s="31" t="s">
        <v>599</v>
      </c>
      <c r="F2618" s="31" t="s">
        <v>782</v>
      </c>
      <c r="G2618" s="31" t="s">
        <v>3195</v>
      </c>
      <c r="H2618" s="40" t="s">
        <v>602</v>
      </c>
      <c r="I2618" s="40" t="s">
        <v>3196</v>
      </c>
      <c r="J2618" s="40" t="s">
        <v>3197</v>
      </c>
      <c r="K2618" s="40" t="s">
        <v>591</v>
      </c>
      <c r="L2618" s="11" t="s">
        <v>914</v>
      </c>
      <c r="M2618" s="93">
        <v>1</v>
      </c>
      <c r="N2618" s="94">
        <v>624400</v>
      </c>
      <c r="O2618" s="94">
        <v>624400</v>
      </c>
      <c r="P2618" s="40" t="s">
        <v>502</v>
      </c>
      <c r="Q2618" s="40" t="s">
        <v>766</v>
      </c>
      <c r="R2618" s="84">
        <v>434430100</v>
      </c>
      <c r="S2618" s="40">
        <v>0</v>
      </c>
    </row>
    <row r="2619" spans="1:19" s="92" customFormat="1" ht="51">
      <c r="A2619" s="5">
        <v>2604</v>
      </c>
      <c r="B2619" s="15" t="s">
        <v>710</v>
      </c>
      <c r="C2619" s="40" t="s">
        <v>597</v>
      </c>
      <c r="D2619" s="11" t="s">
        <v>850</v>
      </c>
      <c r="E2619" s="76" t="s">
        <v>1736</v>
      </c>
      <c r="F2619" s="76" t="s">
        <v>851</v>
      </c>
      <c r="G2619" s="76" t="s">
        <v>1737</v>
      </c>
      <c r="H2619" s="76" t="s">
        <v>852</v>
      </c>
      <c r="I2619" s="76" t="s">
        <v>3199</v>
      </c>
      <c r="J2619" s="76" t="s">
        <v>3200</v>
      </c>
      <c r="K2619" s="40" t="s">
        <v>591</v>
      </c>
      <c r="L2619" s="11" t="s">
        <v>914</v>
      </c>
      <c r="M2619" s="97">
        <v>1</v>
      </c>
      <c r="N2619" s="94">
        <f>10000*5</f>
        <v>50000</v>
      </c>
      <c r="O2619" s="94">
        <f>N2619</f>
        <v>50000</v>
      </c>
      <c r="P2619" s="40" t="s">
        <v>698</v>
      </c>
      <c r="Q2619" s="40" t="s">
        <v>766</v>
      </c>
      <c r="R2619" s="84">
        <v>434430100</v>
      </c>
      <c r="S2619" s="40">
        <v>0</v>
      </c>
    </row>
    <row r="2620" spans="1:19" s="92" customFormat="1" ht="51">
      <c r="A2620" s="5">
        <v>2605</v>
      </c>
      <c r="B2620" s="15" t="s">
        <v>710</v>
      </c>
      <c r="C2620" s="40" t="s">
        <v>597</v>
      </c>
      <c r="D2620" s="40" t="s">
        <v>2594</v>
      </c>
      <c r="E2620" s="31" t="s">
        <v>2618</v>
      </c>
      <c r="F2620" s="31" t="s">
        <v>2595</v>
      </c>
      <c r="G2620" s="31" t="s">
        <v>2618</v>
      </c>
      <c r="H2620" s="40" t="s">
        <v>2595</v>
      </c>
      <c r="I2620" s="40" t="s">
        <v>3201</v>
      </c>
      <c r="J2620" s="40" t="s">
        <v>3202</v>
      </c>
      <c r="K2620" s="40" t="s">
        <v>591</v>
      </c>
      <c r="L2620" s="11" t="s">
        <v>914</v>
      </c>
      <c r="M2620" s="93">
        <v>1</v>
      </c>
      <c r="N2620" s="94">
        <f>10500*3</f>
        <v>31500</v>
      </c>
      <c r="O2620" s="94">
        <f>N2620</f>
        <v>31500</v>
      </c>
      <c r="P2620" s="40" t="s">
        <v>3116</v>
      </c>
      <c r="Q2620" s="40" t="s">
        <v>766</v>
      </c>
      <c r="R2620" s="84">
        <v>434430100</v>
      </c>
      <c r="S2620" s="40">
        <v>30</v>
      </c>
    </row>
    <row r="2621" spans="1:19" s="92" customFormat="1" ht="89.25">
      <c r="A2621" s="5">
        <v>2606</v>
      </c>
      <c r="B2621" s="15" t="s">
        <v>710</v>
      </c>
      <c r="C2621" s="40" t="s">
        <v>711</v>
      </c>
      <c r="D2621" s="40" t="s">
        <v>976</v>
      </c>
      <c r="E2621" s="31" t="s">
        <v>730</v>
      </c>
      <c r="F2621" s="31" t="s">
        <v>731</v>
      </c>
      <c r="G2621" s="31" t="s">
        <v>977</v>
      </c>
      <c r="H2621" s="40" t="s">
        <v>978</v>
      </c>
      <c r="I2621" s="40" t="s">
        <v>3203</v>
      </c>
      <c r="J2621" s="40" t="s">
        <v>3204</v>
      </c>
      <c r="K2621" s="40" t="s">
        <v>591</v>
      </c>
      <c r="L2621" s="40" t="s">
        <v>644</v>
      </c>
      <c r="M2621" s="93">
        <v>2</v>
      </c>
      <c r="N2621" s="94">
        <v>26800</v>
      </c>
      <c r="O2621" s="94">
        <f>N2621*M2621</f>
        <v>53600</v>
      </c>
      <c r="P2621" s="40" t="s">
        <v>3116</v>
      </c>
      <c r="Q2621" s="40" t="s">
        <v>1051</v>
      </c>
      <c r="R2621" s="84">
        <v>434430100</v>
      </c>
      <c r="S2621" s="40">
        <v>100</v>
      </c>
    </row>
    <row r="2622" spans="1:19" s="92" customFormat="1" ht="63.75">
      <c r="A2622" s="5">
        <v>2607</v>
      </c>
      <c r="B2622" s="15" t="s">
        <v>710</v>
      </c>
      <c r="C2622" s="40" t="s">
        <v>711</v>
      </c>
      <c r="D2622" s="40" t="s">
        <v>744</v>
      </c>
      <c r="E2622" s="31" t="s">
        <v>745</v>
      </c>
      <c r="F2622" s="31" t="s">
        <v>109</v>
      </c>
      <c r="G2622" s="31" t="s">
        <v>746</v>
      </c>
      <c r="H2622" s="40" t="s">
        <v>3205</v>
      </c>
      <c r="I2622" s="40" t="s">
        <v>3206</v>
      </c>
      <c r="J2622" s="40" t="s">
        <v>3207</v>
      </c>
      <c r="K2622" s="40" t="s">
        <v>591</v>
      </c>
      <c r="L2622" s="40" t="s">
        <v>644</v>
      </c>
      <c r="M2622" s="93">
        <v>6</v>
      </c>
      <c r="N2622" s="94">
        <v>4000</v>
      </c>
      <c r="O2622" s="94">
        <f>M2622*N2622</f>
        <v>24000</v>
      </c>
      <c r="P2622" s="40" t="s">
        <v>3116</v>
      </c>
      <c r="Q2622" s="40" t="s">
        <v>1051</v>
      </c>
      <c r="R2622" s="84">
        <v>434430100</v>
      </c>
      <c r="S2622" s="40">
        <v>100</v>
      </c>
    </row>
    <row r="2623" spans="1:19" s="92" customFormat="1" ht="51">
      <c r="A2623" s="5">
        <v>2608</v>
      </c>
      <c r="B2623" s="15" t="s">
        <v>710</v>
      </c>
      <c r="C2623" s="40" t="s">
        <v>711</v>
      </c>
      <c r="D2623" s="98" t="s">
        <v>422</v>
      </c>
      <c r="E2623" s="76" t="s">
        <v>423</v>
      </c>
      <c r="F2623" s="76" t="s">
        <v>427</v>
      </c>
      <c r="G2623" s="76" t="s">
        <v>837</v>
      </c>
      <c r="H2623" s="76" t="s">
        <v>425</v>
      </c>
      <c r="I2623" s="76" t="s">
        <v>3208</v>
      </c>
      <c r="J2623" s="76" t="s">
        <v>3209</v>
      </c>
      <c r="K2623" s="76" t="s">
        <v>591</v>
      </c>
      <c r="L2623" s="11" t="s">
        <v>909</v>
      </c>
      <c r="M2623" s="53">
        <v>18</v>
      </c>
      <c r="N2623" s="94">
        <v>640</v>
      </c>
      <c r="O2623" s="94">
        <f>N2623*M2623</f>
        <v>11520</v>
      </c>
      <c r="P2623" s="40" t="s">
        <v>3116</v>
      </c>
      <c r="Q2623" s="40" t="s">
        <v>766</v>
      </c>
      <c r="R2623" s="84">
        <v>434430100</v>
      </c>
      <c r="S2623" s="40">
        <v>100</v>
      </c>
    </row>
    <row r="2624" spans="1:19" s="92" customFormat="1" ht="76.5">
      <c r="A2624" s="5">
        <v>2609</v>
      </c>
      <c r="B2624" s="15" t="s">
        <v>710</v>
      </c>
      <c r="C2624" s="40" t="s">
        <v>711</v>
      </c>
      <c r="D2624" s="40" t="s">
        <v>723</v>
      </c>
      <c r="E2624" s="31" t="s">
        <v>874</v>
      </c>
      <c r="F2624" s="31" t="s">
        <v>874</v>
      </c>
      <c r="G2624" s="31" t="s">
        <v>875</v>
      </c>
      <c r="H2624" s="40" t="s">
        <v>876</v>
      </c>
      <c r="I2624" s="40" t="s">
        <v>3210</v>
      </c>
      <c r="J2624" s="40" t="s">
        <v>3211</v>
      </c>
      <c r="K2624" s="40" t="s">
        <v>591</v>
      </c>
      <c r="L2624" s="40" t="s">
        <v>644</v>
      </c>
      <c r="M2624" s="93">
        <v>2</v>
      </c>
      <c r="N2624" s="94">
        <v>30000</v>
      </c>
      <c r="O2624" s="94">
        <f>N2624*M2624</f>
        <v>60000</v>
      </c>
      <c r="P2624" s="40" t="s">
        <v>3116</v>
      </c>
      <c r="Q2624" s="40" t="s">
        <v>1051</v>
      </c>
      <c r="R2624" s="84">
        <v>434430100</v>
      </c>
      <c r="S2624" s="40">
        <v>100</v>
      </c>
    </row>
    <row r="2625" spans="1:19" s="92" customFormat="1" ht="89.25">
      <c r="A2625" s="5">
        <v>2610</v>
      </c>
      <c r="B2625" s="15" t="s">
        <v>710</v>
      </c>
      <c r="C2625" s="40" t="s">
        <v>597</v>
      </c>
      <c r="D2625" s="40" t="s">
        <v>598</v>
      </c>
      <c r="E2625" s="31" t="s">
        <v>599</v>
      </c>
      <c r="F2625" s="31" t="s">
        <v>782</v>
      </c>
      <c r="G2625" s="31" t="s">
        <v>3195</v>
      </c>
      <c r="H2625" s="40" t="s">
        <v>602</v>
      </c>
      <c r="I2625" s="40" t="s">
        <v>3196</v>
      </c>
      <c r="J2625" s="40" t="s">
        <v>3197</v>
      </c>
      <c r="K2625" s="40" t="s">
        <v>591</v>
      </c>
      <c r="L2625" s="11" t="s">
        <v>914</v>
      </c>
      <c r="M2625" s="93">
        <v>1</v>
      </c>
      <c r="N2625" s="94">
        <v>624400</v>
      </c>
      <c r="O2625" s="94">
        <v>624400</v>
      </c>
      <c r="P2625" s="40" t="s">
        <v>502</v>
      </c>
      <c r="Q2625" s="40" t="s">
        <v>766</v>
      </c>
      <c r="R2625" s="84">
        <v>434630100</v>
      </c>
      <c r="S2625" s="40">
        <v>0</v>
      </c>
    </row>
    <row r="2626" spans="1:19" s="92" customFormat="1" ht="89.25">
      <c r="A2626" s="5">
        <v>2611</v>
      </c>
      <c r="B2626" s="15" t="s">
        <v>710</v>
      </c>
      <c r="C2626" s="40" t="s">
        <v>597</v>
      </c>
      <c r="D2626" s="40" t="s">
        <v>598</v>
      </c>
      <c r="E2626" s="31" t="s">
        <v>599</v>
      </c>
      <c r="F2626" s="31" t="s">
        <v>782</v>
      </c>
      <c r="G2626" s="31" t="s">
        <v>3195</v>
      </c>
      <c r="H2626" s="40" t="s">
        <v>602</v>
      </c>
      <c r="I2626" s="40" t="s">
        <v>3196</v>
      </c>
      <c r="J2626" s="40" t="s">
        <v>3197</v>
      </c>
      <c r="K2626" s="40" t="s">
        <v>591</v>
      </c>
      <c r="L2626" s="11" t="s">
        <v>914</v>
      </c>
      <c r="M2626" s="93">
        <v>1</v>
      </c>
      <c r="N2626" s="94">
        <v>624400</v>
      </c>
      <c r="O2626" s="94">
        <v>624400</v>
      </c>
      <c r="P2626" s="40" t="s">
        <v>502</v>
      </c>
      <c r="Q2626" s="40" t="s">
        <v>766</v>
      </c>
      <c r="R2626" s="84">
        <v>434630100</v>
      </c>
      <c r="S2626" s="40">
        <v>0</v>
      </c>
    </row>
    <row r="2627" spans="1:19" s="92" customFormat="1" ht="51">
      <c r="A2627" s="5">
        <v>2612</v>
      </c>
      <c r="B2627" s="15" t="s">
        <v>710</v>
      </c>
      <c r="C2627" s="40" t="s">
        <v>597</v>
      </c>
      <c r="D2627" s="11" t="s">
        <v>850</v>
      </c>
      <c r="E2627" s="76" t="s">
        <v>1736</v>
      </c>
      <c r="F2627" s="76" t="s">
        <v>851</v>
      </c>
      <c r="G2627" s="76" t="s">
        <v>1737</v>
      </c>
      <c r="H2627" s="76" t="s">
        <v>852</v>
      </c>
      <c r="I2627" s="76" t="s">
        <v>3199</v>
      </c>
      <c r="J2627" s="76" t="s">
        <v>3200</v>
      </c>
      <c r="K2627" s="40" t="s">
        <v>591</v>
      </c>
      <c r="L2627" s="11" t="s">
        <v>914</v>
      </c>
      <c r="M2627" s="97">
        <v>1</v>
      </c>
      <c r="N2627" s="94">
        <f>10000*5</f>
        <v>50000</v>
      </c>
      <c r="O2627" s="94">
        <f>N2627</f>
        <v>50000</v>
      </c>
      <c r="P2627" s="40" t="s">
        <v>698</v>
      </c>
      <c r="Q2627" s="40" t="s">
        <v>766</v>
      </c>
      <c r="R2627" s="84">
        <v>434630100</v>
      </c>
      <c r="S2627" s="40">
        <v>0</v>
      </c>
    </row>
    <row r="2628" spans="1:19" s="92" customFormat="1" ht="51">
      <c r="A2628" s="5">
        <v>2613</v>
      </c>
      <c r="B2628" s="15" t="s">
        <v>710</v>
      </c>
      <c r="C2628" s="40" t="s">
        <v>597</v>
      </c>
      <c r="D2628" s="40" t="s">
        <v>2594</v>
      </c>
      <c r="E2628" s="31" t="s">
        <v>2618</v>
      </c>
      <c r="F2628" s="31" t="s">
        <v>2595</v>
      </c>
      <c r="G2628" s="31" t="s">
        <v>2618</v>
      </c>
      <c r="H2628" s="40" t="s">
        <v>2595</v>
      </c>
      <c r="I2628" s="40" t="s">
        <v>3201</v>
      </c>
      <c r="J2628" s="40" t="s">
        <v>3202</v>
      </c>
      <c r="K2628" s="40" t="s">
        <v>591</v>
      </c>
      <c r="L2628" s="11" t="s">
        <v>914</v>
      </c>
      <c r="M2628" s="93">
        <v>1</v>
      </c>
      <c r="N2628" s="94">
        <f>10500*3</f>
        <v>31500</v>
      </c>
      <c r="O2628" s="94">
        <f>N2628</f>
        <v>31500</v>
      </c>
      <c r="P2628" s="40" t="s">
        <v>3116</v>
      </c>
      <c r="Q2628" s="40" t="s">
        <v>766</v>
      </c>
      <c r="R2628" s="84">
        <v>434630100</v>
      </c>
      <c r="S2628" s="40">
        <v>30</v>
      </c>
    </row>
    <row r="2629" spans="1:19" s="92" customFormat="1" ht="89.25">
      <c r="A2629" s="5">
        <v>2614</v>
      </c>
      <c r="B2629" s="15" t="s">
        <v>710</v>
      </c>
      <c r="C2629" s="40" t="s">
        <v>711</v>
      </c>
      <c r="D2629" s="40" t="s">
        <v>976</v>
      </c>
      <c r="E2629" s="31" t="s">
        <v>730</v>
      </c>
      <c r="F2629" s="31" t="s">
        <v>731</v>
      </c>
      <c r="G2629" s="31" t="s">
        <v>977</v>
      </c>
      <c r="H2629" s="40" t="s">
        <v>978</v>
      </c>
      <c r="I2629" s="40" t="s">
        <v>3203</v>
      </c>
      <c r="J2629" s="40" t="s">
        <v>3204</v>
      </c>
      <c r="K2629" s="40" t="s">
        <v>591</v>
      </c>
      <c r="L2629" s="40" t="s">
        <v>644</v>
      </c>
      <c r="M2629" s="93">
        <v>2</v>
      </c>
      <c r="N2629" s="94">
        <v>26800</v>
      </c>
      <c r="O2629" s="94">
        <f>N2629*M2629</f>
        <v>53600</v>
      </c>
      <c r="P2629" s="40" t="s">
        <v>3116</v>
      </c>
      <c r="Q2629" s="40" t="s">
        <v>1051</v>
      </c>
      <c r="R2629" s="84">
        <v>434630100</v>
      </c>
      <c r="S2629" s="40">
        <v>100</v>
      </c>
    </row>
    <row r="2630" spans="1:19" s="92" customFormat="1" ht="63.75">
      <c r="A2630" s="5">
        <v>2615</v>
      </c>
      <c r="B2630" s="15" t="s">
        <v>710</v>
      </c>
      <c r="C2630" s="40" t="s">
        <v>711</v>
      </c>
      <c r="D2630" s="40" t="s">
        <v>744</v>
      </c>
      <c r="E2630" s="31" t="s">
        <v>745</v>
      </c>
      <c r="F2630" s="31" t="s">
        <v>109</v>
      </c>
      <c r="G2630" s="31" t="s">
        <v>746</v>
      </c>
      <c r="H2630" s="40" t="s">
        <v>3205</v>
      </c>
      <c r="I2630" s="40" t="s">
        <v>3206</v>
      </c>
      <c r="J2630" s="40" t="s">
        <v>3207</v>
      </c>
      <c r="K2630" s="40" t="s">
        <v>591</v>
      </c>
      <c r="L2630" s="40" t="s">
        <v>644</v>
      </c>
      <c r="M2630" s="93">
        <v>6</v>
      </c>
      <c r="N2630" s="94">
        <v>4000</v>
      </c>
      <c r="O2630" s="94">
        <f>M2630*N2630</f>
        <v>24000</v>
      </c>
      <c r="P2630" s="40" t="s">
        <v>3116</v>
      </c>
      <c r="Q2630" s="40" t="s">
        <v>1051</v>
      </c>
      <c r="R2630" s="84">
        <v>434630100</v>
      </c>
      <c r="S2630" s="40">
        <v>100</v>
      </c>
    </row>
    <row r="2631" spans="1:19" s="92" customFormat="1" ht="51">
      <c r="A2631" s="5">
        <v>2616</v>
      </c>
      <c r="B2631" s="15" t="s">
        <v>710</v>
      </c>
      <c r="C2631" s="40" t="s">
        <v>711</v>
      </c>
      <c r="D2631" s="98" t="s">
        <v>422</v>
      </c>
      <c r="E2631" s="76" t="s">
        <v>423</v>
      </c>
      <c r="F2631" s="76" t="s">
        <v>427</v>
      </c>
      <c r="G2631" s="76" t="s">
        <v>837</v>
      </c>
      <c r="H2631" s="76" t="s">
        <v>425</v>
      </c>
      <c r="I2631" s="76" t="s">
        <v>3208</v>
      </c>
      <c r="J2631" s="76" t="s">
        <v>3209</v>
      </c>
      <c r="K2631" s="76" t="s">
        <v>591</v>
      </c>
      <c r="L2631" s="11" t="s">
        <v>909</v>
      </c>
      <c r="M2631" s="53">
        <v>18</v>
      </c>
      <c r="N2631" s="94">
        <v>640</v>
      </c>
      <c r="O2631" s="94">
        <f>N2631*M2631</f>
        <v>11520</v>
      </c>
      <c r="P2631" s="40" t="s">
        <v>3116</v>
      </c>
      <c r="Q2631" s="40" t="s">
        <v>766</v>
      </c>
      <c r="R2631" s="84">
        <v>434630100</v>
      </c>
      <c r="S2631" s="40">
        <v>100</v>
      </c>
    </row>
    <row r="2632" spans="1:19" s="92" customFormat="1" ht="76.5">
      <c r="A2632" s="5">
        <v>2617</v>
      </c>
      <c r="B2632" s="15" t="s">
        <v>710</v>
      </c>
      <c r="C2632" s="40" t="s">
        <v>711</v>
      </c>
      <c r="D2632" s="40" t="s">
        <v>723</v>
      </c>
      <c r="E2632" s="31" t="s">
        <v>874</v>
      </c>
      <c r="F2632" s="31" t="s">
        <v>874</v>
      </c>
      <c r="G2632" s="31" t="s">
        <v>875</v>
      </c>
      <c r="H2632" s="40" t="s">
        <v>876</v>
      </c>
      <c r="I2632" s="40" t="s">
        <v>3210</v>
      </c>
      <c r="J2632" s="40" t="s">
        <v>3211</v>
      </c>
      <c r="K2632" s="40" t="s">
        <v>591</v>
      </c>
      <c r="L2632" s="40" t="s">
        <v>644</v>
      </c>
      <c r="M2632" s="93">
        <v>2</v>
      </c>
      <c r="N2632" s="94">
        <v>30000</v>
      </c>
      <c r="O2632" s="94">
        <f>N2632*M2632</f>
        <v>60000</v>
      </c>
      <c r="P2632" s="40" t="s">
        <v>3116</v>
      </c>
      <c r="Q2632" s="40" t="s">
        <v>1051</v>
      </c>
      <c r="R2632" s="84">
        <v>434630100</v>
      </c>
      <c r="S2632" s="40">
        <v>100</v>
      </c>
    </row>
    <row r="2633" spans="1:19" s="92" customFormat="1" ht="89.25">
      <c r="A2633" s="5">
        <v>2618</v>
      </c>
      <c r="B2633" s="15" t="s">
        <v>710</v>
      </c>
      <c r="C2633" s="40" t="s">
        <v>597</v>
      </c>
      <c r="D2633" s="40" t="s">
        <v>598</v>
      </c>
      <c r="E2633" s="31" t="s">
        <v>599</v>
      </c>
      <c r="F2633" s="31" t="s">
        <v>782</v>
      </c>
      <c r="G2633" s="31" t="s">
        <v>3195</v>
      </c>
      <c r="H2633" s="40" t="s">
        <v>602</v>
      </c>
      <c r="I2633" s="40" t="s">
        <v>3196</v>
      </c>
      <c r="J2633" s="40" t="s">
        <v>3197</v>
      </c>
      <c r="K2633" s="40" t="s">
        <v>591</v>
      </c>
      <c r="L2633" s="11" t="s">
        <v>914</v>
      </c>
      <c r="M2633" s="93">
        <v>1</v>
      </c>
      <c r="N2633" s="94">
        <v>624400</v>
      </c>
      <c r="O2633" s="94">
        <v>624400</v>
      </c>
      <c r="P2633" s="40" t="s">
        <v>502</v>
      </c>
      <c r="Q2633" s="40" t="s">
        <v>766</v>
      </c>
      <c r="R2633" s="84">
        <v>433630100</v>
      </c>
      <c r="S2633" s="40">
        <v>0</v>
      </c>
    </row>
    <row r="2634" spans="1:19" s="92" customFormat="1" ht="89.25">
      <c r="A2634" s="5">
        <v>2619</v>
      </c>
      <c r="B2634" s="15" t="s">
        <v>710</v>
      </c>
      <c r="C2634" s="40" t="s">
        <v>597</v>
      </c>
      <c r="D2634" s="40" t="s">
        <v>598</v>
      </c>
      <c r="E2634" s="31" t="s">
        <v>599</v>
      </c>
      <c r="F2634" s="31" t="s">
        <v>782</v>
      </c>
      <c r="G2634" s="31" t="s">
        <v>3195</v>
      </c>
      <c r="H2634" s="40" t="s">
        <v>602</v>
      </c>
      <c r="I2634" s="40" t="s">
        <v>3196</v>
      </c>
      <c r="J2634" s="40" t="s">
        <v>3197</v>
      </c>
      <c r="K2634" s="40" t="s">
        <v>591</v>
      </c>
      <c r="L2634" s="11" t="s">
        <v>914</v>
      </c>
      <c r="M2634" s="93">
        <v>1</v>
      </c>
      <c r="N2634" s="94">
        <v>624400</v>
      </c>
      <c r="O2634" s="94">
        <v>624400</v>
      </c>
      <c r="P2634" s="40" t="s">
        <v>502</v>
      </c>
      <c r="Q2634" s="40" t="s">
        <v>766</v>
      </c>
      <c r="R2634" s="84">
        <v>433630100</v>
      </c>
      <c r="S2634" s="40">
        <v>0</v>
      </c>
    </row>
    <row r="2635" spans="1:19" s="92" customFormat="1" ht="51">
      <c r="A2635" s="5">
        <v>2620</v>
      </c>
      <c r="B2635" s="15" t="s">
        <v>710</v>
      </c>
      <c r="C2635" s="40" t="s">
        <v>597</v>
      </c>
      <c r="D2635" s="11" t="s">
        <v>850</v>
      </c>
      <c r="E2635" s="76" t="s">
        <v>1736</v>
      </c>
      <c r="F2635" s="76" t="s">
        <v>851</v>
      </c>
      <c r="G2635" s="76" t="s">
        <v>1737</v>
      </c>
      <c r="H2635" s="76" t="s">
        <v>852</v>
      </c>
      <c r="I2635" s="76" t="s">
        <v>3199</v>
      </c>
      <c r="J2635" s="76" t="s">
        <v>3200</v>
      </c>
      <c r="K2635" s="40" t="s">
        <v>591</v>
      </c>
      <c r="L2635" s="11" t="s">
        <v>914</v>
      </c>
      <c r="M2635" s="97">
        <v>1</v>
      </c>
      <c r="N2635" s="94">
        <f>10000*5</f>
        <v>50000</v>
      </c>
      <c r="O2635" s="94">
        <f>N2635</f>
        <v>50000</v>
      </c>
      <c r="P2635" s="40" t="s">
        <v>698</v>
      </c>
      <c r="Q2635" s="40" t="s">
        <v>766</v>
      </c>
      <c r="R2635" s="84">
        <v>433630100</v>
      </c>
      <c r="S2635" s="40">
        <v>0</v>
      </c>
    </row>
    <row r="2636" spans="1:19" s="92" customFormat="1" ht="51">
      <c r="A2636" s="5">
        <v>2621</v>
      </c>
      <c r="B2636" s="15" t="s">
        <v>710</v>
      </c>
      <c r="C2636" s="40" t="s">
        <v>597</v>
      </c>
      <c r="D2636" s="40" t="s">
        <v>2594</v>
      </c>
      <c r="E2636" s="31" t="s">
        <v>2618</v>
      </c>
      <c r="F2636" s="31" t="s">
        <v>2595</v>
      </c>
      <c r="G2636" s="31" t="s">
        <v>2618</v>
      </c>
      <c r="H2636" s="40" t="s">
        <v>2595</v>
      </c>
      <c r="I2636" s="40" t="s">
        <v>3201</v>
      </c>
      <c r="J2636" s="40" t="s">
        <v>3202</v>
      </c>
      <c r="K2636" s="40" t="s">
        <v>591</v>
      </c>
      <c r="L2636" s="11" t="s">
        <v>914</v>
      </c>
      <c r="M2636" s="93">
        <v>1</v>
      </c>
      <c r="N2636" s="94">
        <f>10500*3</f>
        <v>31500</v>
      </c>
      <c r="O2636" s="94">
        <f>N2636</f>
        <v>31500</v>
      </c>
      <c r="P2636" s="40" t="s">
        <v>3116</v>
      </c>
      <c r="Q2636" s="40" t="s">
        <v>766</v>
      </c>
      <c r="R2636" s="84">
        <v>433630100</v>
      </c>
      <c r="S2636" s="40">
        <v>30</v>
      </c>
    </row>
    <row r="2637" spans="1:19" s="92" customFormat="1" ht="89.25">
      <c r="A2637" s="5">
        <v>2622</v>
      </c>
      <c r="B2637" s="15" t="s">
        <v>710</v>
      </c>
      <c r="C2637" s="40" t="s">
        <v>711</v>
      </c>
      <c r="D2637" s="40" t="s">
        <v>976</v>
      </c>
      <c r="E2637" s="31" t="s">
        <v>730</v>
      </c>
      <c r="F2637" s="31" t="s">
        <v>731</v>
      </c>
      <c r="G2637" s="31" t="s">
        <v>977</v>
      </c>
      <c r="H2637" s="40" t="s">
        <v>978</v>
      </c>
      <c r="I2637" s="40" t="s">
        <v>3203</v>
      </c>
      <c r="J2637" s="40" t="s">
        <v>3204</v>
      </c>
      <c r="K2637" s="40" t="s">
        <v>591</v>
      </c>
      <c r="L2637" s="40" t="s">
        <v>644</v>
      </c>
      <c r="M2637" s="93">
        <v>2</v>
      </c>
      <c r="N2637" s="94">
        <v>26800</v>
      </c>
      <c r="O2637" s="94">
        <f>N2637*M2637</f>
        <v>53600</v>
      </c>
      <c r="P2637" s="40" t="s">
        <v>3116</v>
      </c>
      <c r="Q2637" s="40" t="s">
        <v>1051</v>
      </c>
      <c r="R2637" s="84">
        <v>433630100</v>
      </c>
      <c r="S2637" s="40">
        <v>100</v>
      </c>
    </row>
    <row r="2638" spans="1:19" s="92" customFormat="1" ht="63.75">
      <c r="A2638" s="5">
        <v>2623</v>
      </c>
      <c r="B2638" s="15" t="s">
        <v>710</v>
      </c>
      <c r="C2638" s="40" t="s">
        <v>711</v>
      </c>
      <c r="D2638" s="40" t="s">
        <v>744</v>
      </c>
      <c r="E2638" s="31" t="s">
        <v>745</v>
      </c>
      <c r="F2638" s="31" t="s">
        <v>109</v>
      </c>
      <c r="G2638" s="31" t="s">
        <v>746</v>
      </c>
      <c r="H2638" s="40" t="s">
        <v>3205</v>
      </c>
      <c r="I2638" s="40" t="s">
        <v>3206</v>
      </c>
      <c r="J2638" s="40" t="s">
        <v>3207</v>
      </c>
      <c r="K2638" s="40" t="s">
        <v>591</v>
      </c>
      <c r="L2638" s="40" t="s">
        <v>644</v>
      </c>
      <c r="M2638" s="93">
        <v>6</v>
      </c>
      <c r="N2638" s="94">
        <v>4000</v>
      </c>
      <c r="O2638" s="94">
        <f>M2638*N2638</f>
        <v>24000</v>
      </c>
      <c r="P2638" s="40" t="s">
        <v>3116</v>
      </c>
      <c r="Q2638" s="40" t="s">
        <v>1051</v>
      </c>
      <c r="R2638" s="84">
        <v>433630100</v>
      </c>
      <c r="S2638" s="40">
        <v>100</v>
      </c>
    </row>
    <row r="2639" spans="1:19" s="92" customFormat="1" ht="51">
      <c r="A2639" s="5">
        <v>2624</v>
      </c>
      <c r="B2639" s="15" t="s">
        <v>710</v>
      </c>
      <c r="C2639" s="40" t="s">
        <v>711</v>
      </c>
      <c r="D2639" s="98" t="s">
        <v>422</v>
      </c>
      <c r="E2639" s="76" t="s">
        <v>423</v>
      </c>
      <c r="F2639" s="76" t="s">
        <v>427</v>
      </c>
      <c r="G2639" s="76" t="s">
        <v>837</v>
      </c>
      <c r="H2639" s="76" t="s">
        <v>425</v>
      </c>
      <c r="I2639" s="76" t="s">
        <v>3208</v>
      </c>
      <c r="J2639" s="76" t="s">
        <v>3209</v>
      </c>
      <c r="K2639" s="76" t="s">
        <v>591</v>
      </c>
      <c r="L2639" s="11" t="s">
        <v>909</v>
      </c>
      <c r="M2639" s="53">
        <v>18</v>
      </c>
      <c r="N2639" s="94">
        <v>640</v>
      </c>
      <c r="O2639" s="94">
        <f>N2639*M2639</f>
        <v>11520</v>
      </c>
      <c r="P2639" s="40" t="s">
        <v>3116</v>
      </c>
      <c r="Q2639" s="40" t="s">
        <v>766</v>
      </c>
      <c r="R2639" s="84">
        <v>433630100</v>
      </c>
      <c r="S2639" s="40">
        <v>100</v>
      </c>
    </row>
    <row r="2640" spans="1:19" s="92" customFormat="1" ht="76.5">
      <c r="A2640" s="5">
        <v>2625</v>
      </c>
      <c r="B2640" s="15" t="s">
        <v>710</v>
      </c>
      <c r="C2640" s="40" t="s">
        <v>711</v>
      </c>
      <c r="D2640" s="40" t="s">
        <v>723</v>
      </c>
      <c r="E2640" s="31" t="s">
        <v>874</v>
      </c>
      <c r="F2640" s="31" t="s">
        <v>874</v>
      </c>
      <c r="G2640" s="31" t="s">
        <v>875</v>
      </c>
      <c r="H2640" s="40" t="s">
        <v>876</v>
      </c>
      <c r="I2640" s="40" t="s">
        <v>3210</v>
      </c>
      <c r="J2640" s="40" t="s">
        <v>3211</v>
      </c>
      <c r="K2640" s="40" t="s">
        <v>591</v>
      </c>
      <c r="L2640" s="40" t="s">
        <v>644</v>
      </c>
      <c r="M2640" s="93">
        <v>2</v>
      </c>
      <c r="N2640" s="94">
        <v>30000</v>
      </c>
      <c r="O2640" s="94">
        <f>N2640*M2640</f>
        <v>60000</v>
      </c>
      <c r="P2640" s="40" t="s">
        <v>3116</v>
      </c>
      <c r="Q2640" s="40" t="s">
        <v>1051</v>
      </c>
      <c r="R2640" s="84">
        <v>433630100</v>
      </c>
      <c r="S2640" s="40">
        <v>100</v>
      </c>
    </row>
    <row r="2641" spans="1:19" s="92" customFormat="1" ht="89.25">
      <c r="A2641" s="5">
        <v>2626</v>
      </c>
      <c r="B2641" s="15" t="s">
        <v>710</v>
      </c>
      <c r="C2641" s="40" t="s">
        <v>597</v>
      </c>
      <c r="D2641" s="40" t="s">
        <v>598</v>
      </c>
      <c r="E2641" s="31" t="s">
        <v>599</v>
      </c>
      <c r="F2641" s="31" t="s">
        <v>782</v>
      </c>
      <c r="G2641" s="31" t="s">
        <v>3195</v>
      </c>
      <c r="H2641" s="40" t="s">
        <v>602</v>
      </c>
      <c r="I2641" s="40" t="s">
        <v>3196</v>
      </c>
      <c r="J2641" s="40" t="s">
        <v>3197</v>
      </c>
      <c r="K2641" s="40" t="s">
        <v>591</v>
      </c>
      <c r="L2641" s="11" t="s">
        <v>914</v>
      </c>
      <c r="M2641" s="93">
        <v>1</v>
      </c>
      <c r="N2641" s="94">
        <v>624400</v>
      </c>
      <c r="O2641" s="94">
        <v>624400</v>
      </c>
      <c r="P2641" s="40" t="s">
        <v>502</v>
      </c>
      <c r="Q2641" s="40" t="s">
        <v>766</v>
      </c>
      <c r="R2641" s="84">
        <v>434830100</v>
      </c>
      <c r="S2641" s="40">
        <v>0</v>
      </c>
    </row>
    <row r="2642" spans="1:19" s="92" customFormat="1" ht="89.25">
      <c r="A2642" s="5">
        <v>2627</v>
      </c>
      <c r="B2642" s="15" t="s">
        <v>710</v>
      </c>
      <c r="C2642" s="40" t="s">
        <v>597</v>
      </c>
      <c r="D2642" s="40" t="s">
        <v>598</v>
      </c>
      <c r="E2642" s="31" t="s">
        <v>599</v>
      </c>
      <c r="F2642" s="31" t="s">
        <v>782</v>
      </c>
      <c r="G2642" s="31" t="s">
        <v>3195</v>
      </c>
      <c r="H2642" s="40" t="s">
        <v>602</v>
      </c>
      <c r="I2642" s="40" t="s">
        <v>3196</v>
      </c>
      <c r="J2642" s="40" t="s">
        <v>3197</v>
      </c>
      <c r="K2642" s="40" t="s">
        <v>591</v>
      </c>
      <c r="L2642" s="11" t="s">
        <v>914</v>
      </c>
      <c r="M2642" s="93">
        <v>1</v>
      </c>
      <c r="N2642" s="94">
        <v>624400</v>
      </c>
      <c r="O2642" s="94">
        <v>624400</v>
      </c>
      <c r="P2642" s="40" t="s">
        <v>502</v>
      </c>
      <c r="Q2642" s="40" t="s">
        <v>766</v>
      </c>
      <c r="R2642" s="84">
        <v>434830100</v>
      </c>
      <c r="S2642" s="40">
        <v>0</v>
      </c>
    </row>
    <row r="2643" spans="1:19" s="92" customFormat="1" ht="51">
      <c r="A2643" s="5">
        <v>2628</v>
      </c>
      <c r="B2643" s="15" t="s">
        <v>710</v>
      </c>
      <c r="C2643" s="40" t="s">
        <v>597</v>
      </c>
      <c r="D2643" s="11" t="s">
        <v>850</v>
      </c>
      <c r="E2643" s="76" t="s">
        <v>1736</v>
      </c>
      <c r="F2643" s="76" t="s">
        <v>851</v>
      </c>
      <c r="G2643" s="76" t="s">
        <v>1737</v>
      </c>
      <c r="H2643" s="76" t="s">
        <v>852</v>
      </c>
      <c r="I2643" s="76" t="s">
        <v>3199</v>
      </c>
      <c r="J2643" s="76" t="s">
        <v>3200</v>
      </c>
      <c r="K2643" s="40" t="s">
        <v>591</v>
      </c>
      <c r="L2643" s="11" t="s">
        <v>914</v>
      </c>
      <c r="M2643" s="97">
        <v>1</v>
      </c>
      <c r="N2643" s="94">
        <f>10000*5</f>
        <v>50000</v>
      </c>
      <c r="O2643" s="94">
        <f>N2643</f>
        <v>50000</v>
      </c>
      <c r="P2643" s="40" t="s">
        <v>698</v>
      </c>
      <c r="Q2643" s="40" t="s">
        <v>766</v>
      </c>
      <c r="R2643" s="84">
        <v>434830100</v>
      </c>
      <c r="S2643" s="40">
        <v>0</v>
      </c>
    </row>
    <row r="2644" spans="1:19" s="92" customFormat="1" ht="51">
      <c r="A2644" s="5">
        <v>2629</v>
      </c>
      <c r="B2644" s="15" t="s">
        <v>710</v>
      </c>
      <c r="C2644" s="40" t="s">
        <v>597</v>
      </c>
      <c r="D2644" s="40" t="s">
        <v>2594</v>
      </c>
      <c r="E2644" s="31" t="s">
        <v>2618</v>
      </c>
      <c r="F2644" s="31" t="s">
        <v>2595</v>
      </c>
      <c r="G2644" s="31" t="s">
        <v>2618</v>
      </c>
      <c r="H2644" s="40" t="s">
        <v>2595</v>
      </c>
      <c r="I2644" s="40" t="s">
        <v>3201</v>
      </c>
      <c r="J2644" s="40" t="s">
        <v>3202</v>
      </c>
      <c r="K2644" s="40" t="s">
        <v>591</v>
      </c>
      <c r="L2644" s="11" t="s">
        <v>914</v>
      </c>
      <c r="M2644" s="93">
        <v>1</v>
      </c>
      <c r="N2644" s="94">
        <f>10500*3</f>
        <v>31500</v>
      </c>
      <c r="O2644" s="94">
        <f>N2644</f>
        <v>31500</v>
      </c>
      <c r="P2644" s="40" t="s">
        <v>3116</v>
      </c>
      <c r="Q2644" s="40" t="s">
        <v>766</v>
      </c>
      <c r="R2644" s="84">
        <v>434830100</v>
      </c>
      <c r="S2644" s="40">
        <v>30</v>
      </c>
    </row>
    <row r="2645" spans="1:19" s="92" customFormat="1" ht="89.25">
      <c r="A2645" s="5">
        <v>2630</v>
      </c>
      <c r="B2645" s="15" t="s">
        <v>710</v>
      </c>
      <c r="C2645" s="40" t="s">
        <v>711</v>
      </c>
      <c r="D2645" s="40" t="s">
        <v>976</v>
      </c>
      <c r="E2645" s="31" t="s">
        <v>730</v>
      </c>
      <c r="F2645" s="31" t="s">
        <v>731</v>
      </c>
      <c r="G2645" s="31" t="s">
        <v>977</v>
      </c>
      <c r="H2645" s="40" t="s">
        <v>978</v>
      </c>
      <c r="I2645" s="40" t="s">
        <v>3203</v>
      </c>
      <c r="J2645" s="40" t="s">
        <v>3204</v>
      </c>
      <c r="K2645" s="40" t="s">
        <v>591</v>
      </c>
      <c r="L2645" s="40" t="s">
        <v>644</v>
      </c>
      <c r="M2645" s="93">
        <v>2</v>
      </c>
      <c r="N2645" s="94">
        <v>26800</v>
      </c>
      <c r="O2645" s="94">
        <f>N2645*M2645</f>
        <v>53600</v>
      </c>
      <c r="P2645" s="40" t="s">
        <v>3116</v>
      </c>
      <c r="Q2645" s="40" t="s">
        <v>1051</v>
      </c>
      <c r="R2645" s="84">
        <v>434830100</v>
      </c>
      <c r="S2645" s="40">
        <v>100</v>
      </c>
    </row>
    <row r="2646" spans="1:19" s="92" customFormat="1" ht="63.75">
      <c r="A2646" s="5">
        <v>2631</v>
      </c>
      <c r="B2646" s="15" t="s">
        <v>710</v>
      </c>
      <c r="C2646" s="40" t="s">
        <v>711</v>
      </c>
      <c r="D2646" s="40" t="s">
        <v>744</v>
      </c>
      <c r="E2646" s="31" t="s">
        <v>745</v>
      </c>
      <c r="F2646" s="31" t="s">
        <v>109</v>
      </c>
      <c r="G2646" s="31" t="s">
        <v>746</v>
      </c>
      <c r="H2646" s="40" t="s">
        <v>3205</v>
      </c>
      <c r="I2646" s="40" t="s">
        <v>3206</v>
      </c>
      <c r="J2646" s="40" t="s">
        <v>3207</v>
      </c>
      <c r="K2646" s="40" t="s">
        <v>591</v>
      </c>
      <c r="L2646" s="40" t="s">
        <v>644</v>
      </c>
      <c r="M2646" s="93">
        <v>6</v>
      </c>
      <c r="N2646" s="94">
        <v>4000</v>
      </c>
      <c r="O2646" s="94">
        <f>M2646*N2646</f>
        <v>24000</v>
      </c>
      <c r="P2646" s="40" t="s">
        <v>3116</v>
      </c>
      <c r="Q2646" s="40" t="s">
        <v>1051</v>
      </c>
      <c r="R2646" s="84">
        <v>434830100</v>
      </c>
      <c r="S2646" s="40">
        <v>100</v>
      </c>
    </row>
    <row r="2647" spans="1:19" s="92" customFormat="1" ht="51">
      <c r="A2647" s="5">
        <v>2632</v>
      </c>
      <c r="B2647" s="15" t="s">
        <v>710</v>
      </c>
      <c r="C2647" s="40" t="s">
        <v>711</v>
      </c>
      <c r="D2647" s="98" t="s">
        <v>422</v>
      </c>
      <c r="E2647" s="76" t="s">
        <v>423</v>
      </c>
      <c r="F2647" s="76" t="s">
        <v>427</v>
      </c>
      <c r="G2647" s="76" t="s">
        <v>837</v>
      </c>
      <c r="H2647" s="76" t="s">
        <v>425</v>
      </c>
      <c r="I2647" s="76" t="s">
        <v>3208</v>
      </c>
      <c r="J2647" s="76" t="s">
        <v>3209</v>
      </c>
      <c r="K2647" s="76" t="s">
        <v>591</v>
      </c>
      <c r="L2647" s="11" t="s">
        <v>909</v>
      </c>
      <c r="M2647" s="53">
        <v>18</v>
      </c>
      <c r="N2647" s="94">
        <v>640</v>
      </c>
      <c r="O2647" s="94">
        <f>N2647*M2647</f>
        <v>11520</v>
      </c>
      <c r="P2647" s="40" t="s">
        <v>3116</v>
      </c>
      <c r="Q2647" s="40" t="s">
        <v>766</v>
      </c>
      <c r="R2647" s="84">
        <v>434830100</v>
      </c>
      <c r="S2647" s="40">
        <v>100</v>
      </c>
    </row>
    <row r="2648" spans="1:19" s="92" customFormat="1" ht="76.5">
      <c r="A2648" s="5">
        <v>2633</v>
      </c>
      <c r="B2648" s="15" t="s">
        <v>710</v>
      </c>
      <c r="C2648" s="40" t="s">
        <v>711</v>
      </c>
      <c r="D2648" s="40" t="s">
        <v>723</v>
      </c>
      <c r="E2648" s="31" t="s">
        <v>874</v>
      </c>
      <c r="F2648" s="31" t="s">
        <v>874</v>
      </c>
      <c r="G2648" s="31" t="s">
        <v>875</v>
      </c>
      <c r="H2648" s="40" t="s">
        <v>876</v>
      </c>
      <c r="I2648" s="40" t="s">
        <v>3210</v>
      </c>
      <c r="J2648" s="40" t="s">
        <v>3211</v>
      </c>
      <c r="K2648" s="40" t="s">
        <v>591</v>
      </c>
      <c r="L2648" s="40" t="s">
        <v>644</v>
      </c>
      <c r="M2648" s="93">
        <v>2</v>
      </c>
      <c r="N2648" s="94">
        <v>30000</v>
      </c>
      <c r="O2648" s="94">
        <f>N2648*M2648</f>
        <v>60000</v>
      </c>
      <c r="P2648" s="40" t="s">
        <v>3116</v>
      </c>
      <c r="Q2648" s="40" t="s">
        <v>1051</v>
      </c>
      <c r="R2648" s="84">
        <v>434830100</v>
      </c>
      <c r="S2648" s="40">
        <v>100</v>
      </c>
    </row>
    <row r="2649" spans="1:19" s="92" customFormat="1" ht="89.25">
      <c r="A2649" s="5">
        <v>2634</v>
      </c>
      <c r="B2649" s="15" t="s">
        <v>710</v>
      </c>
      <c r="C2649" s="40" t="s">
        <v>597</v>
      </c>
      <c r="D2649" s="40" t="s">
        <v>598</v>
      </c>
      <c r="E2649" s="31" t="s">
        <v>599</v>
      </c>
      <c r="F2649" s="31" t="s">
        <v>782</v>
      </c>
      <c r="G2649" s="31" t="s">
        <v>3195</v>
      </c>
      <c r="H2649" s="40" t="s">
        <v>602</v>
      </c>
      <c r="I2649" s="40" t="s">
        <v>3196</v>
      </c>
      <c r="J2649" s="40" t="s">
        <v>3197</v>
      </c>
      <c r="K2649" s="40" t="s">
        <v>591</v>
      </c>
      <c r="L2649" s="11" t="s">
        <v>914</v>
      </c>
      <c r="M2649" s="93">
        <v>1</v>
      </c>
      <c r="N2649" s="94">
        <v>624400</v>
      </c>
      <c r="O2649" s="94">
        <v>624400</v>
      </c>
      <c r="P2649" s="40" t="s">
        <v>502</v>
      </c>
      <c r="Q2649" s="40" t="s">
        <v>766</v>
      </c>
      <c r="R2649" s="84">
        <v>435230100</v>
      </c>
      <c r="S2649" s="40">
        <v>0</v>
      </c>
    </row>
    <row r="2650" spans="1:19" s="92" customFormat="1" ht="89.25">
      <c r="A2650" s="5">
        <v>2635</v>
      </c>
      <c r="B2650" s="15" t="s">
        <v>710</v>
      </c>
      <c r="C2650" s="40" t="s">
        <v>597</v>
      </c>
      <c r="D2650" s="40" t="s">
        <v>598</v>
      </c>
      <c r="E2650" s="31" t="s">
        <v>599</v>
      </c>
      <c r="F2650" s="31" t="s">
        <v>782</v>
      </c>
      <c r="G2650" s="31" t="s">
        <v>3195</v>
      </c>
      <c r="H2650" s="40" t="s">
        <v>602</v>
      </c>
      <c r="I2650" s="40" t="s">
        <v>3196</v>
      </c>
      <c r="J2650" s="40" t="s">
        <v>3197</v>
      </c>
      <c r="K2650" s="40" t="s">
        <v>591</v>
      </c>
      <c r="L2650" s="11" t="s">
        <v>914</v>
      </c>
      <c r="M2650" s="93">
        <v>1</v>
      </c>
      <c r="N2650" s="94">
        <v>624400</v>
      </c>
      <c r="O2650" s="94">
        <v>624400</v>
      </c>
      <c r="P2650" s="40" t="s">
        <v>502</v>
      </c>
      <c r="Q2650" s="40" t="s">
        <v>766</v>
      </c>
      <c r="R2650" s="84">
        <v>435230100</v>
      </c>
      <c r="S2650" s="40">
        <v>0</v>
      </c>
    </row>
    <row r="2651" spans="1:19" s="92" customFormat="1" ht="51">
      <c r="A2651" s="5">
        <v>2636</v>
      </c>
      <c r="B2651" s="15" t="s">
        <v>710</v>
      </c>
      <c r="C2651" s="40" t="s">
        <v>597</v>
      </c>
      <c r="D2651" s="11" t="s">
        <v>850</v>
      </c>
      <c r="E2651" s="76" t="s">
        <v>1736</v>
      </c>
      <c r="F2651" s="76" t="s">
        <v>851</v>
      </c>
      <c r="G2651" s="76" t="s">
        <v>1737</v>
      </c>
      <c r="H2651" s="76" t="s">
        <v>852</v>
      </c>
      <c r="I2651" s="76" t="s">
        <v>3199</v>
      </c>
      <c r="J2651" s="76" t="s">
        <v>3200</v>
      </c>
      <c r="K2651" s="40" t="s">
        <v>591</v>
      </c>
      <c r="L2651" s="11" t="s">
        <v>914</v>
      </c>
      <c r="M2651" s="97">
        <v>1</v>
      </c>
      <c r="N2651" s="94">
        <f>10000*5</f>
        <v>50000</v>
      </c>
      <c r="O2651" s="94">
        <f>N2651</f>
        <v>50000</v>
      </c>
      <c r="P2651" s="40" t="s">
        <v>698</v>
      </c>
      <c r="Q2651" s="40" t="s">
        <v>766</v>
      </c>
      <c r="R2651" s="84">
        <v>435230100</v>
      </c>
      <c r="S2651" s="40">
        <v>0</v>
      </c>
    </row>
    <row r="2652" spans="1:19" s="92" customFormat="1" ht="51">
      <c r="A2652" s="5">
        <v>2637</v>
      </c>
      <c r="B2652" s="15" t="s">
        <v>710</v>
      </c>
      <c r="C2652" s="40" t="s">
        <v>597</v>
      </c>
      <c r="D2652" s="40" t="s">
        <v>2594</v>
      </c>
      <c r="E2652" s="31" t="s">
        <v>2618</v>
      </c>
      <c r="F2652" s="31" t="s">
        <v>2595</v>
      </c>
      <c r="G2652" s="31" t="s">
        <v>2618</v>
      </c>
      <c r="H2652" s="40" t="s">
        <v>2595</v>
      </c>
      <c r="I2652" s="40" t="s">
        <v>3201</v>
      </c>
      <c r="J2652" s="40" t="s">
        <v>3202</v>
      </c>
      <c r="K2652" s="40" t="s">
        <v>591</v>
      </c>
      <c r="L2652" s="11" t="s">
        <v>914</v>
      </c>
      <c r="M2652" s="93">
        <v>1</v>
      </c>
      <c r="N2652" s="94">
        <f>10500*3</f>
        <v>31500</v>
      </c>
      <c r="O2652" s="94">
        <f>N2652</f>
        <v>31500</v>
      </c>
      <c r="P2652" s="40" t="s">
        <v>3116</v>
      </c>
      <c r="Q2652" s="40" t="s">
        <v>766</v>
      </c>
      <c r="R2652" s="84">
        <v>435230100</v>
      </c>
      <c r="S2652" s="40">
        <v>30</v>
      </c>
    </row>
    <row r="2653" spans="1:19" s="92" customFormat="1" ht="89.25">
      <c r="A2653" s="5">
        <v>2638</v>
      </c>
      <c r="B2653" s="15" t="s">
        <v>710</v>
      </c>
      <c r="C2653" s="40" t="s">
        <v>711</v>
      </c>
      <c r="D2653" s="40" t="s">
        <v>976</v>
      </c>
      <c r="E2653" s="31" t="s">
        <v>730</v>
      </c>
      <c r="F2653" s="31" t="s">
        <v>731</v>
      </c>
      <c r="G2653" s="31" t="s">
        <v>977</v>
      </c>
      <c r="H2653" s="40" t="s">
        <v>978</v>
      </c>
      <c r="I2653" s="40" t="s">
        <v>3203</v>
      </c>
      <c r="J2653" s="40" t="s">
        <v>3204</v>
      </c>
      <c r="K2653" s="40" t="s">
        <v>591</v>
      </c>
      <c r="L2653" s="40" t="s">
        <v>644</v>
      </c>
      <c r="M2653" s="93">
        <v>2</v>
      </c>
      <c r="N2653" s="94">
        <v>26800</v>
      </c>
      <c r="O2653" s="94">
        <f>N2653*M2653</f>
        <v>53600</v>
      </c>
      <c r="P2653" s="40" t="s">
        <v>3116</v>
      </c>
      <c r="Q2653" s="40" t="s">
        <v>1051</v>
      </c>
      <c r="R2653" s="84">
        <v>435230100</v>
      </c>
      <c r="S2653" s="40">
        <v>100</v>
      </c>
    </row>
    <row r="2654" spans="1:19" s="92" customFormat="1" ht="63.75">
      <c r="A2654" s="5">
        <v>2639</v>
      </c>
      <c r="B2654" s="15" t="s">
        <v>710</v>
      </c>
      <c r="C2654" s="40" t="s">
        <v>711</v>
      </c>
      <c r="D2654" s="40" t="s">
        <v>744</v>
      </c>
      <c r="E2654" s="31" t="s">
        <v>745</v>
      </c>
      <c r="F2654" s="31" t="s">
        <v>109</v>
      </c>
      <c r="G2654" s="31" t="s">
        <v>746</v>
      </c>
      <c r="H2654" s="40" t="s">
        <v>3205</v>
      </c>
      <c r="I2654" s="40" t="s">
        <v>3206</v>
      </c>
      <c r="J2654" s="40" t="s">
        <v>3207</v>
      </c>
      <c r="K2654" s="40" t="s">
        <v>591</v>
      </c>
      <c r="L2654" s="40" t="s">
        <v>644</v>
      </c>
      <c r="M2654" s="93">
        <v>6</v>
      </c>
      <c r="N2654" s="94">
        <v>4000</v>
      </c>
      <c r="O2654" s="94">
        <f>M2654*N2654</f>
        <v>24000</v>
      </c>
      <c r="P2654" s="40" t="s">
        <v>3116</v>
      </c>
      <c r="Q2654" s="40" t="s">
        <v>1051</v>
      </c>
      <c r="R2654" s="84">
        <v>435230100</v>
      </c>
      <c r="S2654" s="40">
        <v>100</v>
      </c>
    </row>
    <row r="2655" spans="1:19" s="92" customFormat="1" ht="51">
      <c r="A2655" s="5">
        <v>2640</v>
      </c>
      <c r="B2655" s="15" t="s">
        <v>710</v>
      </c>
      <c r="C2655" s="40" t="s">
        <v>711</v>
      </c>
      <c r="D2655" s="98" t="s">
        <v>422</v>
      </c>
      <c r="E2655" s="76" t="s">
        <v>423</v>
      </c>
      <c r="F2655" s="76" t="s">
        <v>427</v>
      </c>
      <c r="G2655" s="76" t="s">
        <v>837</v>
      </c>
      <c r="H2655" s="76" t="s">
        <v>425</v>
      </c>
      <c r="I2655" s="76" t="s">
        <v>3208</v>
      </c>
      <c r="J2655" s="76" t="s">
        <v>3209</v>
      </c>
      <c r="K2655" s="76" t="s">
        <v>591</v>
      </c>
      <c r="L2655" s="11" t="s">
        <v>909</v>
      </c>
      <c r="M2655" s="53">
        <v>18</v>
      </c>
      <c r="N2655" s="94">
        <v>640</v>
      </c>
      <c r="O2655" s="94">
        <f>N2655*M2655</f>
        <v>11520</v>
      </c>
      <c r="P2655" s="40" t="s">
        <v>3116</v>
      </c>
      <c r="Q2655" s="40" t="s">
        <v>766</v>
      </c>
      <c r="R2655" s="84">
        <v>435230100</v>
      </c>
      <c r="S2655" s="40">
        <v>100</v>
      </c>
    </row>
    <row r="2656" spans="1:19" s="92" customFormat="1" ht="76.5">
      <c r="A2656" s="5">
        <v>2641</v>
      </c>
      <c r="B2656" s="15" t="s">
        <v>710</v>
      </c>
      <c r="C2656" s="40" t="s">
        <v>711</v>
      </c>
      <c r="D2656" s="40" t="s">
        <v>723</v>
      </c>
      <c r="E2656" s="31" t="s">
        <v>874</v>
      </c>
      <c r="F2656" s="31" t="s">
        <v>874</v>
      </c>
      <c r="G2656" s="31" t="s">
        <v>875</v>
      </c>
      <c r="H2656" s="40" t="s">
        <v>876</v>
      </c>
      <c r="I2656" s="40" t="s">
        <v>3210</v>
      </c>
      <c r="J2656" s="40" t="s">
        <v>3211</v>
      </c>
      <c r="K2656" s="40" t="s">
        <v>591</v>
      </c>
      <c r="L2656" s="40" t="s">
        <v>644</v>
      </c>
      <c r="M2656" s="93">
        <v>2</v>
      </c>
      <c r="N2656" s="94">
        <v>30000</v>
      </c>
      <c r="O2656" s="94">
        <f>N2656*M2656</f>
        <v>60000</v>
      </c>
      <c r="P2656" s="40" t="s">
        <v>3116</v>
      </c>
      <c r="Q2656" s="40" t="s">
        <v>1051</v>
      </c>
      <c r="R2656" s="84">
        <v>435230100</v>
      </c>
      <c r="S2656" s="40">
        <v>100</v>
      </c>
    </row>
    <row r="2657" spans="1:19" s="92" customFormat="1" ht="89.25">
      <c r="A2657" s="5">
        <v>2642</v>
      </c>
      <c r="B2657" s="15" t="s">
        <v>710</v>
      </c>
      <c r="C2657" s="40" t="s">
        <v>597</v>
      </c>
      <c r="D2657" s="40" t="s">
        <v>598</v>
      </c>
      <c r="E2657" s="31" t="s">
        <v>599</v>
      </c>
      <c r="F2657" s="31" t="s">
        <v>782</v>
      </c>
      <c r="G2657" s="31" t="s">
        <v>3195</v>
      </c>
      <c r="H2657" s="40" t="s">
        <v>602</v>
      </c>
      <c r="I2657" s="40" t="s">
        <v>3196</v>
      </c>
      <c r="J2657" s="40" t="s">
        <v>3197</v>
      </c>
      <c r="K2657" s="40" t="s">
        <v>591</v>
      </c>
      <c r="L2657" s="11" t="s">
        <v>914</v>
      </c>
      <c r="M2657" s="93">
        <v>1</v>
      </c>
      <c r="N2657" s="94">
        <v>624400</v>
      </c>
      <c r="O2657" s="94">
        <v>624400</v>
      </c>
      <c r="P2657" s="40" t="s">
        <v>502</v>
      </c>
      <c r="Q2657" s="40" t="s">
        <v>766</v>
      </c>
      <c r="R2657" s="84">
        <v>434030100</v>
      </c>
      <c r="S2657" s="40">
        <v>0</v>
      </c>
    </row>
    <row r="2658" spans="1:19" s="92" customFormat="1" ht="89.25">
      <c r="A2658" s="5">
        <v>2643</v>
      </c>
      <c r="B2658" s="15" t="s">
        <v>710</v>
      </c>
      <c r="C2658" s="40" t="s">
        <v>597</v>
      </c>
      <c r="D2658" s="40" t="s">
        <v>598</v>
      </c>
      <c r="E2658" s="31" t="s">
        <v>599</v>
      </c>
      <c r="F2658" s="31" t="s">
        <v>782</v>
      </c>
      <c r="G2658" s="31" t="s">
        <v>3195</v>
      </c>
      <c r="H2658" s="40" t="s">
        <v>602</v>
      </c>
      <c r="I2658" s="40" t="s">
        <v>3196</v>
      </c>
      <c r="J2658" s="40" t="s">
        <v>3197</v>
      </c>
      <c r="K2658" s="40" t="s">
        <v>591</v>
      </c>
      <c r="L2658" s="11" t="s">
        <v>914</v>
      </c>
      <c r="M2658" s="93">
        <v>1</v>
      </c>
      <c r="N2658" s="94">
        <v>624400</v>
      </c>
      <c r="O2658" s="94">
        <v>624400</v>
      </c>
      <c r="P2658" s="40" t="s">
        <v>502</v>
      </c>
      <c r="Q2658" s="40" t="s">
        <v>766</v>
      </c>
      <c r="R2658" s="84">
        <v>434030100</v>
      </c>
      <c r="S2658" s="40">
        <v>0</v>
      </c>
    </row>
    <row r="2659" spans="1:19" s="92" customFormat="1" ht="51">
      <c r="A2659" s="5">
        <v>2644</v>
      </c>
      <c r="B2659" s="15" t="s">
        <v>710</v>
      </c>
      <c r="C2659" s="40" t="s">
        <v>597</v>
      </c>
      <c r="D2659" s="11" t="s">
        <v>850</v>
      </c>
      <c r="E2659" s="76" t="s">
        <v>1736</v>
      </c>
      <c r="F2659" s="76" t="s">
        <v>851</v>
      </c>
      <c r="G2659" s="76" t="s">
        <v>1737</v>
      </c>
      <c r="H2659" s="76" t="s">
        <v>852</v>
      </c>
      <c r="I2659" s="76" t="s">
        <v>3199</v>
      </c>
      <c r="J2659" s="76" t="s">
        <v>3200</v>
      </c>
      <c r="K2659" s="40" t="s">
        <v>591</v>
      </c>
      <c r="L2659" s="11" t="s">
        <v>914</v>
      </c>
      <c r="M2659" s="97">
        <v>1</v>
      </c>
      <c r="N2659" s="94">
        <f>10000*5</f>
        <v>50000</v>
      </c>
      <c r="O2659" s="94">
        <f>N2659</f>
        <v>50000</v>
      </c>
      <c r="P2659" s="40" t="s">
        <v>698</v>
      </c>
      <c r="Q2659" s="40" t="s">
        <v>766</v>
      </c>
      <c r="R2659" s="84">
        <v>434030100</v>
      </c>
      <c r="S2659" s="40">
        <v>0</v>
      </c>
    </row>
    <row r="2660" spans="1:19" s="92" customFormat="1" ht="51">
      <c r="A2660" s="5">
        <v>2645</v>
      </c>
      <c r="B2660" s="15" t="s">
        <v>710</v>
      </c>
      <c r="C2660" s="40" t="s">
        <v>597</v>
      </c>
      <c r="D2660" s="40" t="s">
        <v>2594</v>
      </c>
      <c r="E2660" s="31" t="s">
        <v>2618</v>
      </c>
      <c r="F2660" s="31" t="s">
        <v>2595</v>
      </c>
      <c r="G2660" s="31" t="s">
        <v>2618</v>
      </c>
      <c r="H2660" s="40" t="s">
        <v>2595</v>
      </c>
      <c r="I2660" s="40" t="s">
        <v>3201</v>
      </c>
      <c r="J2660" s="40" t="s">
        <v>3202</v>
      </c>
      <c r="K2660" s="40" t="s">
        <v>591</v>
      </c>
      <c r="L2660" s="11" t="s">
        <v>914</v>
      </c>
      <c r="M2660" s="93">
        <v>1</v>
      </c>
      <c r="N2660" s="94">
        <f>10500*3</f>
        <v>31500</v>
      </c>
      <c r="O2660" s="94">
        <f>N2660</f>
        <v>31500</v>
      </c>
      <c r="P2660" s="40" t="s">
        <v>3116</v>
      </c>
      <c r="Q2660" s="40" t="s">
        <v>766</v>
      </c>
      <c r="R2660" s="84">
        <v>434030100</v>
      </c>
      <c r="S2660" s="40">
        <v>30</v>
      </c>
    </row>
    <row r="2661" spans="1:19" s="92" customFormat="1" ht="89.25">
      <c r="A2661" s="5">
        <v>2646</v>
      </c>
      <c r="B2661" s="15" t="s">
        <v>710</v>
      </c>
      <c r="C2661" s="40" t="s">
        <v>711</v>
      </c>
      <c r="D2661" s="40" t="s">
        <v>976</v>
      </c>
      <c r="E2661" s="31" t="s">
        <v>730</v>
      </c>
      <c r="F2661" s="31" t="s">
        <v>731</v>
      </c>
      <c r="G2661" s="31" t="s">
        <v>977</v>
      </c>
      <c r="H2661" s="40" t="s">
        <v>978</v>
      </c>
      <c r="I2661" s="40" t="s">
        <v>3203</v>
      </c>
      <c r="J2661" s="40" t="s">
        <v>3204</v>
      </c>
      <c r="K2661" s="40" t="s">
        <v>591</v>
      </c>
      <c r="L2661" s="40" t="s">
        <v>644</v>
      </c>
      <c r="M2661" s="93">
        <v>2</v>
      </c>
      <c r="N2661" s="94">
        <v>26800</v>
      </c>
      <c r="O2661" s="94">
        <f>N2661*M2661</f>
        <v>53600</v>
      </c>
      <c r="P2661" s="40" t="s">
        <v>3116</v>
      </c>
      <c r="Q2661" s="40" t="s">
        <v>1051</v>
      </c>
      <c r="R2661" s="84">
        <v>434030100</v>
      </c>
      <c r="S2661" s="40">
        <v>100</v>
      </c>
    </row>
    <row r="2662" spans="1:19" s="92" customFormat="1" ht="63.75">
      <c r="A2662" s="5">
        <v>2647</v>
      </c>
      <c r="B2662" s="15" t="s">
        <v>710</v>
      </c>
      <c r="C2662" s="40" t="s">
        <v>711</v>
      </c>
      <c r="D2662" s="40" t="s">
        <v>744</v>
      </c>
      <c r="E2662" s="31" t="s">
        <v>745</v>
      </c>
      <c r="F2662" s="31" t="s">
        <v>109</v>
      </c>
      <c r="G2662" s="31" t="s">
        <v>746</v>
      </c>
      <c r="H2662" s="40" t="s">
        <v>3205</v>
      </c>
      <c r="I2662" s="40" t="s">
        <v>3206</v>
      </c>
      <c r="J2662" s="40" t="s">
        <v>3207</v>
      </c>
      <c r="K2662" s="40" t="s">
        <v>591</v>
      </c>
      <c r="L2662" s="40" t="s">
        <v>644</v>
      </c>
      <c r="M2662" s="93">
        <v>6</v>
      </c>
      <c r="N2662" s="94">
        <v>4000</v>
      </c>
      <c r="O2662" s="94">
        <f>M2662*N2662</f>
        <v>24000</v>
      </c>
      <c r="P2662" s="40" t="s">
        <v>3116</v>
      </c>
      <c r="Q2662" s="40" t="s">
        <v>1051</v>
      </c>
      <c r="R2662" s="84">
        <v>434030100</v>
      </c>
      <c r="S2662" s="40">
        <v>100</v>
      </c>
    </row>
    <row r="2663" spans="1:19" s="92" customFormat="1" ht="51">
      <c r="A2663" s="5">
        <v>2648</v>
      </c>
      <c r="B2663" s="15" t="s">
        <v>710</v>
      </c>
      <c r="C2663" s="40" t="s">
        <v>711</v>
      </c>
      <c r="D2663" s="98" t="s">
        <v>422</v>
      </c>
      <c r="E2663" s="76" t="s">
        <v>423</v>
      </c>
      <c r="F2663" s="76" t="s">
        <v>427</v>
      </c>
      <c r="G2663" s="76" t="s">
        <v>837</v>
      </c>
      <c r="H2663" s="76" t="s">
        <v>425</v>
      </c>
      <c r="I2663" s="76" t="s">
        <v>3208</v>
      </c>
      <c r="J2663" s="76" t="s">
        <v>3209</v>
      </c>
      <c r="K2663" s="76" t="s">
        <v>591</v>
      </c>
      <c r="L2663" s="11" t="s">
        <v>909</v>
      </c>
      <c r="M2663" s="53">
        <v>18</v>
      </c>
      <c r="N2663" s="94">
        <v>640</v>
      </c>
      <c r="O2663" s="94">
        <f>N2663*M2663</f>
        <v>11520</v>
      </c>
      <c r="P2663" s="40" t="s">
        <v>3116</v>
      </c>
      <c r="Q2663" s="40" t="s">
        <v>766</v>
      </c>
      <c r="R2663" s="84">
        <v>434030100</v>
      </c>
      <c r="S2663" s="40">
        <v>100</v>
      </c>
    </row>
    <row r="2664" spans="1:19" s="92" customFormat="1" ht="76.5">
      <c r="A2664" s="5">
        <v>2649</v>
      </c>
      <c r="B2664" s="15" t="s">
        <v>710</v>
      </c>
      <c r="C2664" s="40" t="s">
        <v>711</v>
      </c>
      <c r="D2664" s="40" t="s">
        <v>723</v>
      </c>
      <c r="E2664" s="31" t="s">
        <v>874</v>
      </c>
      <c r="F2664" s="31" t="s">
        <v>874</v>
      </c>
      <c r="G2664" s="31" t="s">
        <v>875</v>
      </c>
      <c r="H2664" s="40" t="s">
        <v>876</v>
      </c>
      <c r="I2664" s="40" t="s">
        <v>3210</v>
      </c>
      <c r="J2664" s="40" t="s">
        <v>3211</v>
      </c>
      <c r="K2664" s="40" t="s">
        <v>591</v>
      </c>
      <c r="L2664" s="40" t="s">
        <v>644</v>
      </c>
      <c r="M2664" s="93">
        <v>2</v>
      </c>
      <c r="N2664" s="94">
        <v>30000</v>
      </c>
      <c r="O2664" s="94">
        <f>N2664*M2664</f>
        <v>60000</v>
      </c>
      <c r="P2664" s="40" t="s">
        <v>3116</v>
      </c>
      <c r="Q2664" s="40" t="s">
        <v>1051</v>
      </c>
      <c r="R2664" s="84">
        <v>434030100</v>
      </c>
      <c r="S2664" s="40">
        <v>100</v>
      </c>
    </row>
    <row r="2665" spans="1:19" s="92" customFormat="1" ht="89.25">
      <c r="A2665" s="5">
        <v>2650</v>
      </c>
      <c r="B2665" s="15" t="s">
        <v>710</v>
      </c>
      <c r="C2665" s="40" t="s">
        <v>597</v>
      </c>
      <c r="D2665" s="40" t="s">
        <v>598</v>
      </c>
      <c r="E2665" s="31" t="s">
        <v>599</v>
      </c>
      <c r="F2665" s="31" t="s">
        <v>782</v>
      </c>
      <c r="G2665" s="31" t="s">
        <v>3195</v>
      </c>
      <c r="H2665" s="40" t="s">
        <v>602</v>
      </c>
      <c r="I2665" s="40" t="s">
        <v>3196</v>
      </c>
      <c r="J2665" s="40" t="s">
        <v>3197</v>
      </c>
      <c r="K2665" s="40" t="s">
        <v>591</v>
      </c>
      <c r="L2665" s="11" t="s">
        <v>914</v>
      </c>
      <c r="M2665" s="93">
        <v>1</v>
      </c>
      <c r="N2665" s="94">
        <v>624400</v>
      </c>
      <c r="O2665" s="94">
        <v>624400</v>
      </c>
      <c r="P2665" s="40" t="s">
        <v>502</v>
      </c>
      <c r="Q2665" s="40" t="s">
        <v>766</v>
      </c>
      <c r="R2665" s="84">
        <v>434423100</v>
      </c>
      <c r="S2665" s="40">
        <v>0</v>
      </c>
    </row>
    <row r="2666" spans="1:19" s="92" customFormat="1" ht="89.25">
      <c r="A2666" s="5">
        <v>2651</v>
      </c>
      <c r="B2666" s="15" t="s">
        <v>710</v>
      </c>
      <c r="C2666" s="40" t="s">
        <v>597</v>
      </c>
      <c r="D2666" s="40" t="s">
        <v>598</v>
      </c>
      <c r="E2666" s="31" t="s">
        <v>599</v>
      </c>
      <c r="F2666" s="31" t="s">
        <v>782</v>
      </c>
      <c r="G2666" s="31" t="s">
        <v>3195</v>
      </c>
      <c r="H2666" s="40" t="s">
        <v>602</v>
      </c>
      <c r="I2666" s="40" t="s">
        <v>3196</v>
      </c>
      <c r="J2666" s="40" t="s">
        <v>3197</v>
      </c>
      <c r="K2666" s="40" t="s">
        <v>591</v>
      </c>
      <c r="L2666" s="11" t="s">
        <v>914</v>
      </c>
      <c r="M2666" s="93">
        <v>1</v>
      </c>
      <c r="N2666" s="94">
        <f>O2666/M2666</f>
        <v>356800</v>
      </c>
      <c r="O2666" s="94">
        <f>624400-267600</f>
        <v>356800</v>
      </c>
      <c r="P2666" s="40" t="s">
        <v>588</v>
      </c>
      <c r="Q2666" s="40" t="s">
        <v>766</v>
      </c>
      <c r="R2666" s="84">
        <v>434423100</v>
      </c>
      <c r="S2666" s="40">
        <v>0</v>
      </c>
    </row>
    <row r="2667" spans="1:19" s="92" customFormat="1" ht="51">
      <c r="A2667" s="5">
        <v>2652</v>
      </c>
      <c r="B2667" s="15" t="s">
        <v>710</v>
      </c>
      <c r="C2667" s="40" t="s">
        <v>597</v>
      </c>
      <c r="D2667" s="11" t="s">
        <v>850</v>
      </c>
      <c r="E2667" s="76" t="s">
        <v>1736</v>
      </c>
      <c r="F2667" s="76" t="s">
        <v>851</v>
      </c>
      <c r="G2667" s="76" t="s">
        <v>1737</v>
      </c>
      <c r="H2667" s="76" t="s">
        <v>852</v>
      </c>
      <c r="I2667" s="76" t="s">
        <v>3199</v>
      </c>
      <c r="J2667" s="76" t="s">
        <v>3200</v>
      </c>
      <c r="K2667" s="40" t="s">
        <v>591</v>
      </c>
      <c r="L2667" s="11" t="s">
        <v>914</v>
      </c>
      <c r="M2667" s="97">
        <v>1</v>
      </c>
      <c r="N2667" s="94">
        <f>O2667/M2667</f>
        <v>40000</v>
      </c>
      <c r="O2667" s="94">
        <f>50000-10000</f>
        <v>40000</v>
      </c>
      <c r="P2667" s="40" t="s">
        <v>588</v>
      </c>
      <c r="Q2667" s="40" t="s">
        <v>766</v>
      </c>
      <c r="R2667" s="84">
        <v>434423100</v>
      </c>
      <c r="S2667" s="40">
        <v>0</v>
      </c>
    </row>
    <row r="2668" spans="1:19" s="92" customFormat="1" ht="51">
      <c r="A2668" s="5">
        <v>2653</v>
      </c>
      <c r="B2668" s="15" t="s">
        <v>710</v>
      </c>
      <c r="C2668" s="40" t="s">
        <v>597</v>
      </c>
      <c r="D2668" s="40" t="s">
        <v>2594</v>
      </c>
      <c r="E2668" s="31" t="s">
        <v>2618</v>
      </c>
      <c r="F2668" s="31" t="s">
        <v>2595</v>
      </c>
      <c r="G2668" s="31" t="s">
        <v>2618</v>
      </c>
      <c r="H2668" s="40" t="s">
        <v>2595</v>
      </c>
      <c r="I2668" s="40" t="s">
        <v>3201</v>
      </c>
      <c r="J2668" s="40" t="s">
        <v>3202</v>
      </c>
      <c r="K2668" s="40" t="s">
        <v>591</v>
      </c>
      <c r="L2668" s="11" t="s">
        <v>914</v>
      </c>
      <c r="M2668" s="93">
        <v>1</v>
      </c>
      <c r="N2668" s="94">
        <f>10500*3</f>
        <v>31500</v>
      </c>
      <c r="O2668" s="94">
        <f>N2668</f>
        <v>31500</v>
      </c>
      <c r="P2668" s="40" t="s">
        <v>588</v>
      </c>
      <c r="Q2668" s="40" t="s">
        <v>766</v>
      </c>
      <c r="R2668" s="84">
        <v>434423100</v>
      </c>
      <c r="S2668" s="40">
        <v>30</v>
      </c>
    </row>
    <row r="2669" spans="1:19" s="92" customFormat="1" ht="98.25" customHeight="1">
      <c r="A2669" s="5">
        <v>2654</v>
      </c>
      <c r="B2669" s="15" t="s">
        <v>710</v>
      </c>
      <c r="C2669" s="40" t="s">
        <v>711</v>
      </c>
      <c r="D2669" s="40" t="s">
        <v>976</v>
      </c>
      <c r="E2669" s="31" t="s">
        <v>730</v>
      </c>
      <c r="F2669" s="31" t="s">
        <v>731</v>
      </c>
      <c r="G2669" s="31" t="s">
        <v>977</v>
      </c>
      <c r="H2669" s="40" t="s">
        <v>978</v>
      </c>
      <c r="I2669" s="40" t="s">
        <v>3203</v>
      </c>
      <c r="J2669" s="40" t="s">
        <v>3204</v>
      </c>
      <c r="K2669" s="40" t="s">
        <v>591</v>
      </c>
      <c r="L2669" s="40" t="s">
        <v>644</v>
      </c>
      <c r="M2669" s="93">
        <v>2</v>
      </c>
      <c r="N2669" s="94">
        <v>15000</v>
      </c>
      <c r="O2669" s="94">
        <f>53600-23600</f>
        <v>30000</v>
      </c>
      <c r="P2669" s="40" t="s">
        <v>588</v>
      </c>
      <c r="Q2669" s="40" t="s">
        <v>1051</v>
      </c>
      <c r="R2669" s="84">
        <v>434423100</v>
      </c>
      <c r="S2669" s="40">
        <v>100</v>
      </c>
    </row>
    <row r="2670" spans="1:19" s="92" customFormat="1" ht="63.75">
      <c r="A2670" s="5">
        <v>2655</v>
      </c>
      <c r="B2670" s="15" t="s">
        <v>710</v>
      </c>
      <c r="C2670" s="40" t="s">
        <v>711</v>
      </c>
      <c r="D2670" s="40" t="s">
        <v>744</v>
      </c>
      <c r="E2670" s="31" t="s">
        <v>745</v>
      </c>
      <c r="F2670" s="31" t="s">
        <v>109</v>
      </c>
      <c r="G2670" s="31" t="s">
        <v>746</v>
      </c>
      <c r="H2670" s="40" t="s">
        <v>3205</v>
      </c>
      <c r="I2670" s="40" t="s">
        <v>3206</v>
      </c>
      <c r="J2670" s="40" t="s">
        <v>3207</v>
      </c>
      <c r="K2670" s="40" t="s">
        <v>591</v>
      </c>
      <c r="L2670" s="40" t="s">
        <v>644</v>
      </c>
      <c r="M2670" s="93">
        <v>6</v>
      </c>
      <c r="N2670" s="94">
        <v>3500</v>
      </c>
      <c r="O2670" s="94">
        <f>24000-3000</f>
        <v>21000</v>
      </c>
      <c r="P2670" s="40" t="s">
        <v>588</v>
      </c>
      <c r="Q2670" s="40" t="s">
        <v>1051</v>
      </c>
      <c r="R2670" s="84">
        <v>434423100</v>
      </c>
      <c r="S2670" s="40">
        <v>100</v>
      </c>
    </row>
    <row r="2671" spans="1:19" s="92" customFormat="1" ht="51">
      <c r="A2671" s="5">
        <v>2656</v>
      </c>
      <c r="B2671" s="15" t="s">
        <v>710</v>
      </c>
      <c r="C2671" s="40" t="s">
        <v>711</v>
      </c>
      <c r="D2671" s="98" t="s">
        <v>422</v>
      </c>
      <c r="E2671" s="76" t="s">
        <v>423</v>
      </c>
      <c r="F2671" s="76" t="s">
        <v>427</v>
      </c>
      <c r="G2671" s="76" t="s">
        <v>837</v>
      </c>
      <c r="H2671" s="76" t="s">
        <v>425</v>
      </c>
      <c r="I2671" s="76" t="s">
        <v>3208</v>
      </c>
      <c r="J2671" s="76" t="s">
        <v>3209</v>
      </c>
      <c r="K2671" s="76" t="s">
        <v>591</v>
      </c>
      <c r="L2671" s="11" t="s">
        <v>909</v>
      </c>
      <c r="M2671" s="53">
        <v>18</v>
      </c>
      <c r="N2671" s="94">
        <f>O2671/M2671</f>
        <v>311.11111111111109</v>
      </c>
      <c r="O2671" s="94">
        <f>11520-5920</f>
        <v>5600</v>
      </c>
      <c r="P2671" s="40" t="s">
        <v>588</v>
      </c>
      <c r="Q2671" s="40" t="s">
        <v>766</v>
      </c>
      <c r="R2671" s="84">
        <v>434423100</v>
      </c>
      <c r="S2671" s="40">
        <v>100</v>
      </c>
    </row>
    <row r="2672" spans="1:19" s="92" customFormat="1" ht="76.5">
      <c r="A2672" s="5">
        <v>2657</v>
      </c>
      <c r="B2672" s="15" t="s">
        <v>710</v>
      </c>
      <c r="C2672" s="40" t="s">
        <v>711</v>
      </c>
      <c r="D2672" s="40" t="s">
        <v>723</v>
      </c>
      <c r="E2672" s="31" t="s">
        <v>874</v>
      </c>
      <c r="F2672" s="31" t="s">
        <v>874</v>
      </c>
      <c r="G2672" s="31" t="s">
        <v>875</v>
      </c>
      <c r="H2672" s="40" t="s">
        <v>876</v>
      </c>
      <c r="I2672" s="40" t="s">
        <v>3210</v>
      </c>
      <c r="J2672" s="40" t="s">
        <v>3211</v>
      </c>
      <c r="K2672" s="40" t="s">
        <v>591</v>
      </c>
      <c r="L2672" s="40" t="s">
        <v>644</v>
      </c>
      <c r="M2672" s="93">
        <v>2</v>
      </c>
      <c r="N2672" s="94">
        <v>17500</v>
      </c>
      <c r="O2672" s="94">
        <f>60000-25000</f>
        <v>35000</v>
      </c>
      <c r="P2672" s="40" t="s">
        <v>588</v>
      </c>
      <c r="Q2672" s="40" t="s">
        <v>1051</v>
      </c>
      <c r="R2672" s="84">
        <v>434423100</v>
      </c>
      <c r="S2672" s="40">
        <v>100</v>
      </c>
    </row>
    <row r="2673" spans="1:19" s="92" customFormat="1" ht="51">
      <c r="A2673" s="5">
        <v>2658</v>
      </c>
      <c r="B2673" s="15" t="s">
        <v>710</v>
      </c>
      <c r="C2673" s="40" t="s">
        <v>597</v>
      </c>
      <c r="D2673" s="40" t="s">
        <v>3128</v>
      </c>
      <c r="E2673" s="31" t="s">
        <v>2620</v>
      </c>
      <c r="F2673" s="31" t="s">
        <v>1304</v>
      </c>
      <c r="G2673" s="31" t="s">
        <v>3129</v>
      </c>
      <c r="H2673" s="40" t="s">
        <v>3130</v>
      </c>
      <c r="I2673" s="40" t="s">
        <v>3131</v>
      </c>
      <c r="J2673" s="40" t="s">
        <v>3132</v>
      </c>
      <c r="K2673" s="40" t="s">
        <v>591</v>
      </c>
      <c r="L2673" s="11" t="s">
        <v>914</v>
      </c>
      <c r="M2673" s="93">
        <v>1</v>
      </c>
      <c r="N2673" s="94">
        <f>59000*5</f>
        <v>295000</v>
      </c>
      <c r="O2673" s="94">
        <f>N2673*M2673</f>
        <v>295000</v>
      </c>
      <c r="P2673" s="40" t="s">
        <v>3116</v>
      </c>
      <c r="Q2673" s="40" t="s">
        <v>766</v>
      </c>
      <c r="R2673" s="84">
        <v>471010000</v>
      </c>
      <c r="S2673" s="40">
        <v>50</v>
      </c>
    </row>
    <row r="2674" spans="1:19" s="92" customFormat="1" ht="76.5">
      <c r="A2674" s="5">
        <v>2659</v>
      </c>
      <c r="B2674" s="15" t="s">
        <v>710</v>
      </c>
      <c r="C2674" s="40" t="s">
        <v>3117</v>
      </c>
      <c r="D2674" s="40" t="s">
        <v>532</v>
      </c>
      <c r="E2674" s="31" t="s">
        <v>3133</v>
      </c>
      <c r="F2674" s="31" t="s">
        <v>534</v>
      </c>
      <c r="G2674" s="31" t="s">
        <v>3133</v>
      </c>
      <c r="H2674" s="31" t="s">
        <v>534</v>
      </c>
      <c r="I2674" s="40" t="s">
        <v>3134</v>
      </c>
      <c r="J2674" s="40" t="s">
        <v>3135</v>
      </c>
      <c r="K2674" s="40" t="s">
        <v>591</v>
      </c>
      <c r="L2674" s="11" t="s">
        <v>914</v>
      </c>
      <c r="M2674" s="93">
        <v>1</v>
      </c>
      <c r="N2674" s="94">
        <f>(4*30000)+(1*85000)</f>
        <v>205000</v>
      </c>
      <c r="O2674" s="94">
        <f>N2674*M2674</f>
        <v>205000</v>
      </c>
      <c r="P2674" s="40" t="s">
        <v>3116</v>
      </c>
      <c r="Q2674" s="40" t="s">
        <v>1051</v>
      </c>
      <c r="R2674" s="84">
        <v>471010000</v>
      </c>
      <c r="S2674" s="40">
        <v>50</v>
      </c>
    </row>
    <row r="2675" spans="1:19" s="92" customFormat="1" ht="51">
      <c r="A2675" s="5">
        <v>2660</v>
      </c>
      <c r="B2675" s="15" t="s">
        <v>710</v>
      </c>
      <c r="C2675" s="40" t="s">
        <v>2433</v>
      </c>
      <c r="D2675" s="40" t="s">
        <v>3136</v>
      </c>
      <c r="E2675" s="40" t="s">
        <v>466</v>
      </c>
      <c r="F2675" s="40" t="s">
        <v>25</v>
      </c>
      <c r="G2675" s="40" t="s">
        <v>3212</v>
      </c>
      <c r="H2675" s="40" t="s">
        <v>467</v>
      </c>
      <c r="I2675" s="40" t="s">
        <v>3137</v>
      </c>
      <c r="J2675" s="40" t="s">
        <v>3138</v>
      </c>
      <c r="K2675" s="40" t="s">
        <v>591</v>
      </c>
      <c r="L2675" s="95" t="s">
        <v>644</v>
      </c>
      <c r="M2675" s="93">
        <f>10*5</f>
        <v>50</v>
      </c>
      <c r="N2675" s="94">
        <v>40</v>
      </c>
      <c r="O2675" s="94">
        <f>N2675*M2675</f>
        <v>2000</v>
      </c>
      <c r="P2675" s="40" t="s">
        <v>3139</v>
      </c>
      <c r="Q2675" s="40" t="s">
        <v>766</v>
      </c>
      <c r="R2675" s="84">
        <v>471010000</v>
      </c>
      <c r="S2675" s="40">
        <v>0</v>
      </c>
    </row>
    <row r="2676" spans="1:19" s="92" customFormat="1" ht="51">
      <c r="A2676" s="5">
        <v>2661</v>
      </c>
      <c r="B2676" s="15" t="s">
        <v>710</v>
      </c>
      <c r="C2676" s="40" t="s">
        <v>2433</v>
      </c>
      <c r="D2676" s="40" t="s">
        <v>3140</v>
      </c>
      <c r="E2676" s="40" t="s">
        <v>3141</v>
      </c>
      <c r="F2676" s="40" t="s">
        <v>3142</v>
      </c>
      <c r="G2676" s="40" t="s">
        <v>3213</v>
      </c>
      <c r="H2676" s="40" t="s">
        <v>3214</v>
      </c>
      <c r="I2676" s="40" t="s">
        <v>3143</v>
      </c>
      <c r="J2676" s="40" t="s">
        <v>3144</v>
      </c>
      <c r="K2676" s="40" t="s">
        <v>591</v>
      </c>
      <c r="L2676" s="95" t="s">
        <v>644</v>
      </c>
      <c r="M2676" s="93">
        <f>10*2</f>
        <v>20</v>
      </c>
      <c r="N2676" s="94">
        <v>170</v>
      </c>
      <c r="O2676" s="94">
        <f t="shared" ref="O2676:O2693" si="68">N2676*M2676</f>
        <v>3400</v>
      </c>
      <c r="P2676" s="40" t="s">
        <v>3139</v>
      </c>
      <c r="Q2676" s="40" t="s">
        <v>766</v>
      </c>
      <c r="R2676" s="84">
        <v>471010000</v>
      </c>
      <c r="S2676" s="40">
        <v>0</v>
      </c>
    </row>
    <row r="2677" spans="1:19" s="92" customFormat="1" ht="51">
      <c r="A2677" s="5">
        <v>2662</v>
      </c>
      <c r="B2677" s="15" t="s">
        <v>710</v>
      </c>
      <c r="C2677" s="40" t="s">
        <v>2433</v>
      </c>
      <c r="D2677" s="40" t="s">
        <v>452</v>
      </c>
      <c r="E2677" s="40" t="s">
        <v>453</v>
      </c>
      <c r="F2677" s="40" t="s">
        <v>454</v>
      </c>
      <c r="G2677" s="40" t="s">
        <v>455</v>
      </c>
      <c r="H2677" s="40" t="s">
        <v>456</v>
      </c>
      <c r="I2677" s="40" t="s">
        <v>3145</v>
      </c>
      <c r="J2677" s="40" t="s">
        <v>3146</v>
      </c>
      <c r="K2677" s="40" t="s">
        <v>591</v>
      </c>
      <c r="L2677" s="95" t="s">
        <v>480</v>
      </c>
      <c r="M2677" s="93">
        <f>10*5</f>
        <v>50</v>
      </c>
      <c r="N2677" s="94">
        <v>155</v>
      </c>
      <c r="O2677" s="94">
        <f t="shared" si="68"/>
        <v>7750</v>
      </c>
      <c r="P2677" s="40" t="s">
        <v>3139</v>
      </c>
      <c r="Q2677" s="40" t="s">
        <v>766</v>
      </c>
      <c r="R2677" s="84">
        <v>471010000</v>
      </c>
      <c r="S2677" s="40">
        <v>0</v>
      </c>
    </row>
    <row r="2678" spans="1:19" s="92" customFormat="1" ht="51">
      <c r="A2678" s="5">
        <v>2663</v>
      </c>
      <c r="B2678" s="15" t="s">
        <v>710</v>
      </c>
      <c r="C2678" s="40" t="s">
        <v>2433</v>
      </c>
      <c r="D2678" s="40" t="s">
        <v>452</v>
      </c>
      <c r="E2678" s="40" t="s">
        <v>453</v>
      </c>
      <c r="F2678" s="40" t="s">
        <v>454</v>
      </c>
      <c r="G2678" s="40" t="s">
        <v>455</v>
      </c>
      <c r="H2678" s="40" t="s">
        <v>456</v>
      </c>
      <c r="I2678" s="40" t="s">
        <v>3147</v>
      </c>
      <c r="J2678" s="40" t="s">
        <v>3148</v>
      </c>
      <c r="K2678" s="40" t="s">
        <v>591</v>
      </c>
      <c r="L2678" s="95" t="s">
        <v>480</v>
      </c>
      <c r="M2678" s="93">
        <f>10*5</f>
        <v>50</v>
      </c>
      <c r="N2678" s="94">
        <v>200</v>
      </c>
      <c r="O2678" s="94">
        <f t="shared" si="68"/>
        <v>10000</v>
      </c>
      <c r="P2678" s="40" t="s">
        <v>3139</v>
      </c>
      <c r="Q2678" s="40" t="s">
        <v>766</v>
      </c>
      <c r="R2678" s="84">
        <v>471010000</v>
      </c>
      <c r="S2678" s="40">
        <v>0</v>
      </c>
    </row>
    <row r="2679" spans="1:19" s="92" customFormat="1" ht="51">
      <c r="A2679" s="5">
        <v>2664</v>
      </c>
      <c r="B2679" s="15" t="s">
        <v>710</v>
      </c>
      <c r="C2679" s="40" t="s">
        <v>2433</v>
      </c>
      <c r="D2679" s="40" t="s">
        <v>432</v>
      </c>
      <c r="E2679" s="40" t="s">
        <v>433</v>
      </c>
      <c r="F2679" s="40" t="s">
        <v>434</v>
      </c>
      <c r="G2679" s="40" t="s">
        <v>435</v>
      </c>
      <c r="H2679" s="40" t="s">
        <v>436</v>
      </c>
      <c r="I2679" s="40" t="s">
        <v>3149</v>
      </c>
      <c r="J2679" s="40" t="s">
        <v>3150</v>
      </c>
      <c r="K2679" s="40" t="s">
        <v>591</v>
      </c>
      <c r="L2679" s="95" t="s">
        <v>644</v>
      </c>
      <c r="M2679" s="93">
        <f>10*5</f>
        <v>50</v>
      </c>
      <c r="N2679" s="94">
        <v>250</v>
      </c>
      <c r="O2679" s="94">
        <f t="shared" si="68"/>
        <v>12500</v>
      </c>
      <c r="P2679" s="40" t="s">
        <v>3139</v>
      </c>
      <c r="Q2679" s="40" t="s">
        <v>766</v>
      </c>
      <c r="R2679" s="84">
        <v>471010000</v>
      </c>
      <c r="S2679" s="40">
        <v>0</v>
      </c>
    </row>
    <row r="2680" spans="1:19" s="92" customFormat="1" ht="51">
      <c r="A2680" s="5">
        <v>2665</v>
      </c>
      <c r="B2680" s="15" t="s">
        <v>710</v>
      </c>
      <c r="C2680" s="40" t="s">
        <v>2433</v>
      </c>
      <c r="D2680" s="40" t="s">
        <v>447</v>
      </c>
      <c r="E2680" s="40" t="s">
        <v>24</v>
      </c>
      <c r="F2680" s="40" t="s">
        <v>24</v>
      </c>
      <c r="G2680" s="40" t="s">
        <v>3215</v>
      </c>
      <c r="H2680" s="40" t="s">
        <v>448</v>
      </c>
      <c r="I2680" s="40" t="s">
        <v>3151</v>
      </c>
      <c r="J2680" s="40" t="s">
        <v>3152</v>
      </c>
      <c r="K2680" s="40" t="s">
        <v>591</v>
      </c>
      <c r="L2680" s="95" t="s">
        <v>644</v>
      </c>
      <c r="M2680" s="93">
        <f>10*3</f>
        <v>30</v>
      </c>
      <c r="N2680" s="94">
        <v>250</v>
      </c>
      <c r="O2680" s="94">
        <f t="shared" si="68"/>
        <v>7500</v>
      </c>
      <c r="P2680" s="40" t="s">
        <v>3139</v>
      </c>
      <c r="Q2680" s="40" t="s">
        <v>766</v>
      </c>
      <c r="R2680" s="84">
        <v>471010000</v>
      </c>
      <c r="S2680" s="40">
        <v>0</v>
      </c>
    </row>
    <row r="2681" spans="1:19" s="92" customFormat="1" ht="51">
      <c r="A2681" s="5">
        <v>2666</v>
      </c>
      <c r="B2681" s="15" t="s">
        <v>710</v>
      </c>
      <c r="C2681" s="40" t="s">
        <v>2433</v>
      </c>
      <c r="D2681" s="40" t="s">
        <v>449</v>
      </c>
      <c r="E2681" s="40" t="s">
        <v>450</v>
      </c>
      <c r="F2681" s="40" t="s">
        <v>450</v>
      </c>
      <c r="G2681" s="40" t="s">
        <v>3216</v>
      </c>
      <c r="H2681" s="40" t="s">
        <v>451</v>
      </c>
      <c r="I2681" s="40" t="s">
        <v>3153</v>
      </c>
      <c r="J2681" s="40" t="s">
        <v>3154</v>
      </c>
      <c r="K2681" s="40" t="s">
        <v>591</v>
      </c>
      <c r="L2681" s="95" t="s">
        <v>480</v>
      </c>
      <c r="M2681" s="93">
        <f>10*3</f>
        <v>30</v>
      </c>
      <c r="N2681" s="94">
        <v>250</v>
      </c>
      <c r="O2681" s="94">
        <f t="shared" si="68"/>
        <v>7500</v>
      </c>
      <c r="P2681" s="40" t="s">
        <v>3139</v>
      </c>
      <c r="Q2681" s="40" t="s">
        <v>766</v>
      </c>
      <c r="R2681" s="84">
        <v>471010000</v>
      </c>
      <c r="S2681" s="40">
        <v>0</v>
      </c>
    </row>
    <row r="2682" spans="1:19" s="92" customFormat="1" ht="51">
      <c r="A2682" s="5">
        <v>2667</v>
      </c>
      <c r="B2682" s="15" t="s">
        <v>710</v>
      </c>
      <c r="C2682" s="40" t="s">
        <v>2433</v>
      </c>
      <c r="D2682" s="40" t="s">
        <v>3155</v>
      </c>
      <c r="E2682" s="40" t="s">
        <v>3156</v>
      </c>
      <c r="F2682" s="40" t="s">
        <v>3157</v>
      </c>
      <c r="G2682" s="40" t="s">
        <v>3217</v>
      </c>
      <c r="H2682" s="40" t="s">
        <v>3218</v>
      </c>
      <c r="I2682" s="40" t="s">
        <v>3158</v>
      </c>
      <c r="J2682" s="40" t="s">
        <v>3159</v>
      </c>
      <c r="K2682" s="40" t="s">
        <v>591</v>
      </c>
      <c r="L2682" s="95" t="s">
        <v>644</v>
      </c>
      <c r="M2682" s="93">
        <f>10*2</f>
        <v>20</v>
      </c>
      <c r="N2682" s="94">
        <v>150</v>
      </c>
      <c r="O2682" s="94">
        <f t="shared" si="68"/>
        <v>3000</v>
      </c>
      <c r="P2682" s="40" t="s">
        <v>3139</v>
      </c>
      <c r="Q2682" s="40" t="s">
        <v>766</v>
      </c>
      <c r="R2682" s="84">
        <v>471010000</v>
      </c>
      <c r="S2682" s="40">
        <v>0</v>
      </c>
    </row>
    <row r="2683" spans="1:19" s="92" customFormat="1" ht="51">
      <c r="A2683" s="5">
        <v>2668</v>
      </c>
      <c r="B2683" s="15" t="s">
        <v>710</v>
      </c>
      <c r="C2683" s="40" t="s">
        <v>2433</v>
      </c>
      <c r="D2683" s="40" t="s">
        <v>437</v>
      </c>
      <c r="E2683" s="40" t="s">
        <v>20</v>
      </c>
      <c r="F2683" s="40" t="s">
        <v>20</v>
      </c>
      <c r="G2683" s="40" t="s">
        <v>438</v>
      </c>
      <c r="H2683" s="40" t="s">
        <v>439</v>
      </c>
      <c r="I2683" s="40" t="s">
        <v>3160</v>
      </c>
      <c r="J2683" s="40" t="s">
        <v>3161</v>
      </c>
      <c r="K2683" s="40" t="s">
        <v>591</v>
      </c>
      <c r="L2683" s="95" t="s">
        <v>644</v>
      </c>
      <c r="M2683" s="93">
        <f>10*5</f>
        <v>50</v>
      </c>
      <c r="N2683" s="94">
        <v>100</v>
      </c>
      <c r="O2683" s="94">
        <f t="shared" si="68"/>
        <v>5000</v>
      </c>
      <c r="P2683" s="40" t="s">
        <v>3139</v>
      </c>
      <c r="Q2683" s="40" t="s">
        <v>766</v>
      </c>
      <c r="R2683" s="84">
        <v>471010000</v>
      </c>
      <c r="S2683" s="40">
        <v>0</v>
      </c>
    </row>
    <row r="2684" spans="1:19" s="92" customFormat="1" ht="51">
      <c r="A2684" s="5">
        <v>2669</v>
      </c>
      <c r="B2684" s="15" t="s">
        <v>710</v>
      </c>
      <c r="C2684" s="40" t="s">
        <v>2433</v>
      </c>
      <c r="D2684" s="40" t="s">
        <v>3162</v>
      </c>
      <c r="E2684" s="40" t="s">
        <v>3163</v>
      </c>
      <c r="F2684" s="40" t="s">
        <v>3164</v>
      </c>
      <c r="G2684" s="31" t="s">
        <v>3219</v>
      </c>
      <c r="H2684" s="40" t="s">
        <v>3220</v>
      </c>
      <c r="I2684" s="40" t="s">
        <v>3165</v>
      </c>
      <c r="J2684" s="40" t="s">
        <v>3166</v>
      </c>
      <c r="K2684" s="40" t="s">
        <v>591</v>
      </c>
      <c r="L2684" s="95" t="s">
        <v>480</v>
      </c>
      <c r="M2684" s="93">
        <f>10*5</f>
        <v>50</v>
      </c>
      <c r="N2684" s="94">
        <v>500</v>
      </c>
      <c r="O2684" s="94">
        <f t="shared" si="68"/>
        <v>25000</v>
      </c>
      <c r="P2684" s="40" t="s">
        <v>3139</v>
      </c>
      <c r="Q2684" s="40" t="s">
        <v>766</v>
      </c>
      <c r="R2684" s="84">
        <v>471010000</v>
      </c>
      <c r="S2684" s="40">
        <v>0</v>
      </c>
    </row>
    <row r="2685" spans="1:19" s="92" customFormat="1" ht="51">
      <c r="A2685" s="5">
        <v>2670</v>
      </c>
      <c r="B2685" s="15" t="s">
        <v>710</v>
      </c>
      <c r="C2685" s="40" t="s">
        <v>2433</v>
      </c>
      <c r="D2685" s="40" t="s">
        <v>440</v>
      </c>
      <c r="E2685" s="40" t="s">
        <v>21</v>
      </c>
      <c r="F2685" s="40" t="s">
        <v>21</v>
      </c>
      <c r="G2685" s="31" t="s">
        <v>441</v>
      </c>
      <c r="H2685" s="40" t="s">
        <v>442</v>
      </c>
      <c r="I2685" s="40" t="s">
        <v>3167</v>
      </c>
      <c r="J2685" s="40" t="s">
        <v>3168</v>
      </c>
      <c r="K2685" s="40" t="s">
        <v>591</v>
      </c>
      <c r="L2685" s="95" t="s">
        <v>644</v>
      </c>
      <c r="M2685" s="93">
        <f t="shared" ref="M2685:M2690" si="69">10*1</f>
        <v>10</v>
      </c>
      <c r="N2685" s="94">
        <v>1500</v>
      </c>
      <c r="O2685" s="94">
        <f t="shared" si="68"/>
        <v>15000</v>
      </c>
      <c r="P2685" s="40" t="s">
        <v>3139</v>
      </c>
      <c r="Q2685" s="40" t="s">
        <v>766</v>
      </c>
      <c r="R2685" s="84">
        <v>471010000</v>
      </c>
      <c r="S2685" s="40">
        <v>0</v>
      </c>
    </row>
    <row r="2686" spans="1:19" s="92" customFormat="1" ht="127.5">
      <c r="A2686" s="5">
        <v>2671</v>
      </c>
      <c r="B2686" s="15" t="s">
        <v>710</v>
      </c>
      <c r="C2686" s="40" t="s">
        <v>2433</v>
      </c>
      <c r="D2686" s="40" t="s">
        <v>470</v>
      </c>
      <c r="E2686" s="40" t="s">
        <v>27</v>
      </c>
      <c r="F2686" s="40" t="s">
        <v>27</v>
      </c>
      <c r="G2686" s="31" t="s">
        <v>471</v>
      </c>
      <c r="H2686" s="40" t="s">
        <v>472</v>
      </c>
      <c r="I2686" s="40" t="s">
        <v>3169</v>
      </c>
      <c r="J2686" s="40" t="s">
        <v>3170</v>
      </c>
      <c r="K2686" s="40" t="s">
        <v>591</v>
      </c>
      <c r="L2686" s="95" t="s">
        <v>644</v>
      </c>
      <c r="M2686" s="93">
        <f t="shared" si="69"/>
        <v>10</v>
      </c>
      <c r="N2686" s="94">
        <v>3500</v>
      </c>
      <c r="O2686" s="94">
        <f t="shared" si="68"/>
        <v>35000</v>
      </c>
      <c r="P2686" s="40" t="s">
        <v>3139</v>
      </c>
      <c r="Q2686" s="40" t="s">
        <v>766</v>
      </c>
      <c r="R2686" s="84">
        <v>471010000</v>
      </c>
      <c r="S2686" s="40">
        <v>0</v>
      </c>
    </row>
    <row r="2687" spans="1:19" s="92" customFormat="1" ht="76.5">
      <c r="A2687" s="5">
        <v>2672</v>
      </c>
      <c r="B2687" s="15" t="s">
        <v>710</v>
      </c>
      <c r="C2687" s="40" t="s">
        <v>2433</v>
      </c>
      <c r="D2687" s="40" t="s">
        <v>3171</v>
      </c>
      <c r="E2687" s="40" t="s">
        <v>3172</v>
      </c>
      <c r="F2687" s="40" t="s">
        <v>3172</v>
      </c>
      <c r="G2687" s="40" t="s">
        <v>3173</v>
      </c>
      <c r="H2687" s="40" t="s">
        <v>3174</v>
      </c>
      <c r="I2687" s="40" t="s">
        <v>3175</v>
      </c>
      <c r="J2687" s="40" t="s">
        <v>3176</v>
      </c>
      <c r="K2687" s="40" t="s">
        <v>591</v>
      </c>
      <c r="L2687" s="95" t="s">
        <v>644</v>
      </c>
      <c r="M2687" s="93">
        <f t="shared" si="69"/>
        <v>10</v>
      </c>
      <c r="N2687" s="94">
        <v>150</v>
      </c>
      <c r="O2687" s="94">
        <f t="shared" si="68"/>
        <v>1500</v>
      </c>
      <c r="P2687" s="40" t="s">
        <v>3139</v>
      </c>
      <c r="Q2687" s="40" t="s">
        <v>766</v>
      </c>
      <c r="R2687" s="84">
        <v>471010000</v>
      </c>
      <c r="S2687" s="40">
        <v>0</v>
      </c>
    </row>
    <row r="2688" spans="1:19" s="92" customFormat="1" ht="51">
      <c r="A2688" s="5">
        <v>2673</v>
      </c>
      <c r="B2688" s="15" t="s">
        <v>710</v>
      </c>
      <c r="C2688" s="40" t="s">
        <v>2433</v>
      </c>
      <c r="D2688" s="40" t="s">
        <v>457</v>
      </c>
      <c r="E2688" s="40" t="s">
        <v>17</v>
      </c>
      <c r="F2688" s="40" t="s">
        <v>17</v>
      </c>
      <c r="G2688" s="40" t="s">
        <v>3177</v>
      </c>
      <c r="H2688" s="40" t="s">
        <v>458</v>
      </c>
      <c r="I2688" s="40" t="s">
        <v>3178</v>
      </c>
      <c r="J2688" s="40" t="s">
        <v>3179</v>
      </c>
      <c r="K2688" s="40" t="s">
        <v>591</v>
      </c>
      <c r="L2688" s="95" t="s">
        <v>644</v>
      </c>
      <c r="M2688" s="93">
        <f t="shared" si="69"/>
        <v>10</v>
      </c>
      <c r="N2688" s="94">
        <v>600</v>
      </c>
      <c r="O2688" s="94">
        <f t="shared" si="68"/>
        <v>6000</v>
      </c>
      <c r="P2688" s="40" t="s">
        <v>3139</v>
      </c>
      <c r="Q2688" s="40" t="s">
        <v>766</v>
      </c>
      <c r="R2688" s="84">
        <v>471010000</v>
      </c>
      <c r="S2688" s="40">
        <v>0</v>
      </c>
    </row>
    <row r="2689" spans="1:19" s="92" customFormat="1" ht="51">
      <c r="A2689" s="5">
        <v>2674</v>
      </c>
      <c r="B2689" s="15" t="s">
        <v>710</v>
      </c>
      <c r="C2689" s="40" t="s">
        <v>2433</v>
      </c>
      <c r="D2689" s="40" t="s">
        <v>457</v>
      </c>
      <c r="E2689" s="40" t="s">
        <v>17</v>
      </c>
      <c r="F2689" s="40" t="s">
        <v>17</v>
      </c>
      <c r="G2689" s="40" t="s">
        <v>3177</v>
      </c>
      <c r="H2689" s="40" t="s">
        <v>458</v>
      </c>
      <c r="I2689" s="40" t="s">
        <v>3180</v>
      </c>
      <c r="J2689" s="40" t="s">
        <v>3181</v>
      </c>
      <c r="K2689" s="40" t="s">
        <v>591</v>
      </c>
      <c r="L2689" s="95" t="s">
        <v>644</v>
      </c>
      <c r="M2689" s="93">
        <f t="shared" si="69"/>
        <v>10</v>
      </c>
      <c r="N2689" s="94">
        <v>800</v>
      </c>
      <c r="O2689" s="94">
        <f t="shared" si="68"/>
        <v>8000</v>
      </c>
      <c r="P2689" s="40" t="s">
        <v>3139</v>
      </c>
      <c r="Q2689" s="40" t="s">
        <v>766</v>
      </c>
      <c r="R2689" s="84">
        <v>471010000</v>
      </c>
      <c r="S2689" s="40">
        <v>0</v>
      </c>
    </row>
    <row r="2690" spans="1:19" s="92" customFormat="1" ht="51">
      <c r="A2690" s="5">
        <v>2675</v>
      </c>
      <c r="B2690" s="15" t="s">
        <v>710</v>
      </c>
      <c r="C2690" s="40" t="s">
        <v>2433</v>
      </c>
      <c r="D2690" s="40" t="s">
        <v>476</v>
      </c>
      <c r="E2690" s="40" t="s">
        <v>477</v>
      </c>
      <c r="F2690" s="40" t="s">
        <v>28</v>
      </c>
      <c r="G2690" s="40" t="s">
        <v>478</v>
      </c>
      <c r="H2690" s="40" t="s">
        <v>479</v>
      </c>
      <c r="I2690" s="40" t="s">
        <v>3182</v>
      </c>
      <c r="J2690" s="40" t="s">
        <v>3183</v>
      </c>
      <c r="K2690" s="40" t="s">
        <v>591</v>
      </c>
      <c r="L2690" s="95" t="s">
        <v>644</v>
      </c>
      <c r="M2690" s="93">
        <f t="shared" si="69"/>
        <v>10</v>
      </c>
      <c r="N2690" s="94">
        <v>1500</v>
      </c>
      <c r="O2690" s="94">
        <f t="shared" si="68"/>
        <v>15000</v>
      </c>
      <c r="P2690" s="40" t="s">
        <v>3139</v>
      </c>
      <c r="Q2690" s="40" t="s">
        <v>766</v>
      </c>
      <c r="R2690" s="84">
        <v>471010000</v>
      </c>
      <c r="S2690" s="40">
        <v>0</v>
      </c>
    </row>
    <row r="2691" spans="1:19" s="92" customFormat="1" ht="51">
      <c r="A2691" s="5">
        <v>2676</v>
      </c>
      <c r="B2691" s="15" t="s">
        <v>710</v>
      </c>
      <c r="C2691" s="40" t="s">
        <v>2433</v>
      </c>
      <c r="D2691" s="40" t="s">
        <v>468</v>
      </c>
      <c r="E2691" s="40" t="s">
        <v>3184</v>
      </c>
      <c r="F2691" s="40" t="s">
        <v>26</v>
      </c>
      <c r="G2691" s="40" t="s">
        <v>3185</v>
      </c>
      <c r="H2691" s="40" t="s">
        <v>469</v>
      </c>
      <c r="I2691" s="40" t="s">
        <v>3186</v>
      </c>
      <c r="J2691" s="40" t="s">
        <v>3187</v>
      </c>
      <c r="K2691" s="40" t="s">
        <v>591</v>
      </c>
      <c r="L2691" s="95" t="s">
        <v>644</v>
      </c>
      <c r="M2691" s="93">
        <f>10*5</f>
        <v>50</v>
      </c>
      <c r="N2691" s="94">
        <v>250</v>
      </c>
      <c r="O2691" s="94">
        <f t="shared" si="68"/>
        <v>12500</v>
      </c>
      <c r="P2691" s="40" t="s">
        <v>3139</v>
      </c>
      <c r="Q2691" s="40" t="s">
        <v>766</v>
      </c>
      <c r="R2691" s="84">
        <v>471010000</v>
      </c>
      <c r="S2691" s="40">
        <v>0</v>
      </c>
    </row>
    <row r="2692" spans="1:19" s="92" customFormat="1" ht="51">
      <c r="A2692" s="5">
        <v>2677</v>
      </c>
      <c r="B2692" s="15" t="s">
        <v>710</v>
      </c>
      <c r="C2692" s="40" t="s">
        <v>2433</v>
      </c>
      <c r="D2692" s="40" t="s">
        <v>443</v>
      </c>
      <c r="E2692" s="40" t="s">
        <v>444</v>
      </c>
      <c r="F2692" s="40" t="s">
        <v>444</v>
      </c>
      <c r="G2692" s="40" t="s">
        <v>445</v>
      </c>
      <c r="H2692" s="40" t="s">
        <v>446</v>
      </c>
      <c r="I2692" s="40" t="s">
        <v>3188</v>
      </c>
      <c r="J2692" s="40" t="s">
        <v>3189</v>
      </c>
      <c r="K2692" s="40" t="s">
        <v>591</v>
      </c>
      <c r="L2692" s="95" t="s">
        <v>644</v>
      </c>
      <c r="M2692" s="93">
        <f>10*5</f>
        <v>50</v>
      </c>
      <c r="N2692" s="94">
        <v>500</v>
      </c>
      <c r="O2692" s="94">
        <f t="shared" si="68"/>
        <v>25000</v>
      </c>
      <c r="P2692" s="40" t="s">
        <v>3139</v>
      </c>
      <c r="Q2692" s="40" t="s">
        <v>766</v>
      </c>
      <c r="R2692" s="84">
        <v>471010000</v>
      </c>
      <c r="S2692" s="40">
        <v>0</v>
      </c>
    </row>
    <row r="2693" spans="1:19" s="92" customFormat="1" ht="51">
      <c r="A2693" s="5">
        <v>2678</v>
      </c>
      <c r="B2693" s="15" t="s">
        <v>710</v>
      </c>
      <c r="C2693" s="40" t="s">
        <v>711</v>
      </c>
      <c r="D2693" s="40" t="s">
        <v>3190</v>
      </c>
      <c r="E2693" s="31" t="s">
        <v>3191</v>
      </c>
      <c r="F2693" s="31" t="s">
        <v>3192</v>
      </c>
      <c r="G2693" s="40" t="s">
        <v>3264</v>
      </c>
      <c r="H2693" s="40" t="s">
        <v>3264</v>
      </c>
      <c r="I2693" s="31" t="s">
        <v>3193</v>
      </c>
      <c r="J2693" s="31" t="s">
        <v>3194</v>
      </c>
      <c r="K2693" s="40" t="s">
        <v>591</v>
      </c>
      <c r="L2693" s="95" t="s">
        <v>644</v>
      </c>
      <c r="M2693" s="93">
        <f>10*1</f>
        <v>10</v>
      </c>
      <c r="N2693" s="94">
        <v>1200</v>
      </c>
      <c r="O2693" s="94">
        <f t="shared" si="68"/>
        <v>12000</v>
      </c>
      <c r="P2693" s="40" t="s">
        <v>3139</v>
      </c>
      <c r="Q2693" s="40" t="s">
        <v>766</v>
      </c>
      <c r="R2693" s="84">
        <v>471010000</v>
      </c>
      <c r="S2693" s="40">
        <v>0</v>
      </c>
    </row>
    <row r="2694" spans="1:19" s="92" customFormat="1" ht="89.25">
      <c r="A2694" s="5">
        <v>2679</v>
      </c>
      <c r="B2694" s="15" t="s">
        <v>710</v>
      </c>
      <c r="C2694" s="40" t="s">
        <v>597</v>
      </c>
      <c r="D2694" s="40" t="s">
        <v>598</v>
      </c>
      <c r="E2694" s="31" t="s">
        <v>599</v>
      </c>
      <c r="F2694" s="31" t="s">
        <v>782</v>
      </c>
      <c r="G2694" s="31" t="s">
        <v>3195</v>
      </c>
      <c r="H2694" s="40" t="s">
        <v>602</v>
      </c>
      <c r="I2694" s="40" t="s">
        <v>3196</v>
      </c>
      <c r="J2694" s="40" t="s">
        <v>3197</v>
      </c>
      <c r="K2694" s="40" t="s">
        <v>591</v>
      </c>
      <c r="L2694" s="11" t="s">
        <v>914</v>
      </c>
      <c r="M2694" s="93">
        <v>1</v>
      </c>
      <c r="N2694" s="94">
        <v>624400</v>
      </c>
      <c r="O2694" s="94">
        <v>624400</v>
      </c>
      <c r="P2694" s="40" t="s">
        <v>502</v>
      </c>
      <c r="Q2694" s="40" t="s">
        <v>766</v>
      </c>
      <c r="R2694" s="84">
        <v>473630100</v>
      </c>
      <c r="S2694" s="40">
        <v>0</v>
      </c>
    </row>
    <row r="2695" spans="1:19" s="92" customFormat="1" ht="89.25">
      <c r="A2695" s="5">
        <v>2680</v>
      </c>
      <c r="B2695" s="15" t="s">
        <v>710</v>
      </c>
      <c r="C2695" s="40" t="s">
        <v>597</v>
      </c>
      <c r="D2695" s="40" t="s">
        <v>598</v>
      </c>
      <c r="E2695" s="31" t="s">
        <v>599</v>
      </c>
      <c r="F2695" s="31" t="s">
        <v>782</v>
      </c>
      <c r="G2695" s="31" t="s">
        <v>3195</v>
      </c>
      <c r="H2695" s="40" t="s">
        <v>602</v>
      </c>
      <c r="I2695" s="40" t="s">
        <v>3196</v>
      </c>
      <c r="J2695" s="40" t="s">
        <v>3197</v>
      </c>
      <c r="K2695" s="40" t="s">
        <v>591</v>
      </c>
      <c r="L2695" s="11" t="s">
        <v>914</v>
      </c>
      <c r="M2695" s="93">
        <v>1</v>
      </c>
      <c r="N2695" s="94">
        <v>624400</v>
      </c>
      <c r="O2695" s="94">
        <v>624400</v>
      </c>
      <c r="P2695" s="40" t="s">
        <v>502</v>
      </c>
      <c r="Q2695" s="40" t="s">
        <v>766</v>
      </c>
      <c r="R2695" s="84">
        <v>473630100</v>
      </c>
      <c r="S2695" s="40">
        <v>0</v>
      </c>
    </row>
    <row r="2696" spans="1:19" s="92" customFormat="1" ht="51">
      <c r="A2696" s="5">
        <v>2681</v>
      </c>
      <c r="B2696" s="15" t="s">
        <v>710</v>
      </c>
      <c r="C2696" s="40" t="s">
        <v>597</v>
      </c>
      <c r="D2696" s="11" t="s">
        <v>850</v>
      </c>
      <c r="E2696" s="76" t="s">
        <v>1736</v>
      </c>
      <c r="F2696" s="76" t="s">
        <v>851</v>
      </c>
      <c r="G2696" s="76" t="s">
        <v>1737</v>
      </c>
      <c r="H2696" s="76" t="s">
        <v>852</v>
      </c>
      <c r="I2696" s="76" t="s">
        <v>3199</v>
      </c>
      <c r="J2696" s="76" t="s">
        <v>3200</v>
      </c>
      <c r="K2696" s="40" t="s">
        <v>591</v>
      </c>
      <c r="L2696" s="11" t="s">
        <v>914</v>
      </c>
      <c r="M2696" s="97">
        <v>1</v>
      </c>
      <c r="N2696" s="94">
        <f>10000*5</f>
        <v>50000</v>
      </c>
      <c r="O2696" s="94">
        <f>N2696</f>
        <v>50000</v>
      </c>
      <c r="P2696" s="40" t="s">
        <v>698</v>
      </c>
      <c r="Q2696" s="40" t="s">
        <v>766</v>
      </c>
      <c r="R2696" s="84">
        <v>473630100</v>
      </c>
      <c r="S2696" s="40">
        <v>0</v>
      </c>
    </row>
    <row r="2697" spans="1:19" s="92" customFormat="1" ht="51">
      <c r="A2697" s="5">
        <v>2682</v>
      </c>
      <c r="B2697" s="15" t="s">
        <v>710</v>
      </c>
      <c r="C2697" s="40" t="s">
        <v>597</v>
      </c>
      <c r="D2697" s="40" t="s">
        <v>2594</v>
      </c>
      <c r="E2697" s="31" t="s">
        <v>2618</v>
      </c>
      <c r="F2697" s="31" t="s">
        <v>2595</v>
      </c>
      <c r="G2697" s="31" t="s">
        <v>2618</v>
      </c>
      <c r="H2697" s="40" t="s">
        <v>2595</v>
      </c>
      <c r="I2697" s="40" t="s">
        <v>3201</v>
      </c>
      <c r="J2697" s="40" t="s">
        <v>3202</v>
      </c>
      <c r="K2697" s="40" t="s">
        <v>591</v>
      </c>
      <c r="L2697" s="11" t="s">
        <v>914</v>
      </c>
      <c r="M2697" s="93">
        <v>1</v>
      </c>
      <c r="N2697" s="94">
        <f>10500*3</f>
        <v>31500</v>
      </c>
      <c r="O2697" s="94">
        <f>N2697</f>
        <v>31500</v>
      </c>
      <c r="P2697" s="40" t="s">
        <v>3116</v>
      </c>
      <c r="Q2697" s="40" t="s">
        <v>766</v>
      </c>
      <c r="R2697" s="84">
        <v>473630100</v>
      </c>
      <c r="S2697" s="40">
        <v>30</v>
      </c>
    </row>
    <row r="2698" spans="1:19" s="92" customFormat="1" ht="89.25">
      <c r="A2698" s="5">
        <v>2683</v>
      </c>
      <c r="B2698" s="15" t="s">
        <v>710</v>
      </c>
      <c r="C2698" s="40" t="s">
        <v>711</v>
      </c>
      <c r="D2698" s="40" t="s">
        <v>976</v>
      </c>
      <c r="E2698" s="31" t="s">
        <v>730</v>
      </c>
      <c r="F2698" s="31" t="s">
        <v>731</v>
      </c>
      <c r="G2698" s="31" t="s">
        <v>977</v>
      </c>
      <c r="H2698" s="40" t="s">
        <v>978</v>
      </c>
      <c r="I2698" s="40" t="s">
        <v>3203</v>
      </c>
      <c r="J2698" s="40" t="s">
        <v>3204</v>
      </c>
      <c r="K2698" s="40" t="s">
        <v>591</v>
      </c>
      <c r="L2698" s="40" t="s">
        <v>644</v>
      </c>
      <c r="M2698" s="93">
        <v>2</v>
      </c>
      <c r="N2698" s="94">
        <v>26800</v>
      </c>
      <c r="O2698" s="94">
        <f>N2698*M2698</f>
        <v>53600</v>
      </c>
      <c r="P2698" s="40" t="s">
        <v>3116</v>
      </c>
      <c r="Q2698" s="40" t="s">
        <v>1051</v>
      </c>
      <c r="R2698" s="84">
        <v>473630100</v>
      </c>
      <c r="S2698" s="40">
        <v>100</v>
      </c>
    </row>
    <row r="2699" spans="1:19" s="92" customFormat="1" ht="63.75">
      <c r="A2699" s="5">
        <v>2684</v>
      </c>
      <c r="B2699" s="15" t="s">
        <v>710</v>
      </c>
      <c r="C2699" s="40" t="s">
        <v>711</v>
      </c>
      <c r="D2699" s="40" t="s">
        <v>744</v>
      </c>
      <c r="E2699" s="31" t="s">
        <v>745</v>
      </c>
      <c r="F2699" s="31" t="s">
        <v>109</v>
      </c>
      <c r="G2699" s="31" t="s">
        <v>746</v>
      </c>
      <c r="H2699" s="40" t="s">
        <v>3205</v>
      </c>
      <c r="I2699" s="40" t="s">
        <v>3206</v>
      </c>
      <c r="J2699" s="40" t="s">
        <v>3207</v>
      </c>
      <c r="K2699" s="40" t="s">
        <v>591</v>
      </c>
      <c r="L2699" s="40" t="s">
        <v>644</v>
      </c>
      <c r="M2699" s="93">
        <v>6</v>
      </c>
      <c r="N2699" s="94">
        <v>5590</v>
      </c>
      <c r="O2699" s="94">
        <f>M2699*N2699</f>
        <v>33540</v>
      </c>
      <c r="P2699" s="40" t="s">
        <v>3116</v>
      </c>
      <c r="Q2699" s="40" t="s">
        <v>1051</v>
      </c>
      <c r="R2699" s="84">
        <v>473630100</v>
      </c>
      <c r="S2699" s="40">
        <v>100</v>
      </c>
    </row>
    <row r="2700" spans="1:19" s="92" customFormat="1" ht="51">
      <c r="A2700" s="5">
        <v>2685</v>
      </c>
      <c r="B2700" s="15" t="s">
        <v>710</v>
      </c>
      <c r="C2700" s="40" t="s">
        <v>711</v>
      </c>
      <c r="D2700" s="98" t="s">
        <v>422</v>
      </c>
      <c r="E2700" s="76" t="s">
        <v>423</v>
      </c>
      <c r="F2700" s="76" t="s">
        <v>427</v>
      </c>
      <c r="G2700" s="76" t="s">
        <v>837</v>
      </c>
      <c r="H2700" s="76" t="s">
        <v>425</v>
      </c>
      <c r="I2700" s="76" t="s">
        <v>3208</v>
      </c>
      <c r="J2700" s="76" t="s">
        <v>3209</v>
      </c>
      <c r="K2700" s="76" t="s">
        <v>591</v>
      </c>
      <c r="L2700" s="11" t="s">
        <v>909</v>
      </c>
      <c r="M2700" s="53">
        <v>18</v>
      </c>
      <c r="N2700" s="94">
        <v>640</v>
      </c>
      <c r="O2700" s="94">
        <f>N2700*M2700</f>
        <v>11520</v>
      </c>
      <c r="P2700" s="40" t="s">
        <v>3116</v>
      </c>
      <c r="Q2700" s="40" t="s">
        <v>766</v>
      </c>
      <c r="R2700" s="84">
        <v>473630100</v>
      </c>
      <c r="S2700" s="40">
        <v>100</v>
      </c>
    </row>
    <row r="2701" spans="1:19" s="92" customFormat="1" ht="76.5">
      <c r="A2701" s="5">
        <v>2686</v>
      </c>
      <c r="B2701" s="15" t="s">
        <v>710</v>
      </c>
      <c r="C2701" s="40" t="s">
        <v>711</v>
      </c>
      <c r="D2701" s="40" t="s">
        <v>723</v>
      </c>
      <c r="E2701" s="31" t="s">
        <v>874</v>
      </c>
      <c r="F2701" s="31" t="s">
        <v>874</v>
      </c>
      <c r="G2701" s="31" t="s">
        <v>875</v>
      </c>
      <c r="H2701" s="40" t="s">
        <v>876</v>
      </c>
      <c r="I2701" s="40" t="s">
        <v>3210</v>
      </c>
      <c r="J2701" s="40" t="s">
        <v>3211</v>
      </c>
      <c r="K2701" s="40" t="s">
        <v>591</v>
      </c>
      <c r="L2701" s="40" t="s">
        <v>644</v>
      </c>
      <c r="M2701" s="93">
        <v>1</v>
      </c>
      <c r="N2701" s="94">
        <v>30000</v>
      </c>
      <c r="O2701" s="94">
        <f>N2701*M2701</f>
        <v>30000</v>
      </c>
      <c r="P2701" s="40" t="s">
        <v>3116</v>
      </c>
      <c r="Q2701" s="40" t="s">
        <v>1051</v>
      </c>
      <c r="R2701" s="84">
        <v>473630100</v>
      </c>
      <c r="S2701" s="40">
        <v>100</v>
      </c>
    </row>
    <row r="2702" spans="1:19" s="92" customFormat="1" ht="89.25">
      <c r="A2702" s="5">
        <v>2687</v>
      </c>
      <c r="B2702" s="15" t="s">
        <v>710</v>
      </c>
      <c r="C2702" s="40" t="s">
        <v>597</v>
      </c>
      <c r="D2702" s="40" t="s">
        <v>598</v>
      </c>
      <c r="E2702" s="31" t="s">
        <v>599</v>
      </c>
      <c r="F2702" s="31" t="s">
        <v>782</v>
      </c>
      <c r="G2702" s="31" t="s">
        <v>3195</v>
      </c>
      <c r="H2702" s="40" t="s">
        <v>602</v>
      </c>
      <c r="I2702" s="40" t="s">
        <v>3196</v>
      </c>
      <c r="J2702" s="40" t="s">
        <v>3197</v>
      </c>
      <c r="K2702" s="40" t="s">
        <v>591</v>
      </c>
      <c r="L2702" s="11" t="s">
        <v>914</v>
      </c>
      <c r="M2702" s="93">
        <v>1</v>
      </c>
      <c r="N2702" s="94">
        <v>624400</v>
      </c>
      <c r="O2702" s="94">
        <v>624400</v>
      </c>
      <c r="P2702" s="40" t="s">
        <v>502</v>
      </c>
      <c r="Q2702" s="40" t="s">
        <v>766</v>
      </c>
      <c r="R2702" s="84">
        <v>474230100</v>
      </c>
      <c r="S2702" s="40">
        <v>0</v>
      </c>
    </row>
    <row r="2703" spans="1:19" s="92" customFormat="1" ht="89.25">
      <c r="A2703" s="5">
        <v>2688</v>
      </c>
      <c r="B2703" s="15" t="s">
        <v>710</v>
      </c>
      <c r="C2703" s="40" t="s">
        <v>597</v>
      </c>
      <c r="D2703" s="40" t="s">
        <v>598</v>
      </c>
      <c r="E2703" s="31" t="s">
        <v>599</v>
      </c>
      <c r="F2703" s="31" t="s">
        <v>782</v>
      </c>
      <c r="G2703" s="31" t="s">
        <v>3195</v>
      </c>
      <c r="H2703" s="40" t="s">
        <v>602</v>
      </c>
      <c r="I2703" s="40" t="s">
        <v>3196</v>
      </c>
      <c r="J2703" s="40" t="s">
        <v>3197</v>
      </c>
      <c r="K2703" s="40" t="s">
        <v>591</v>
      </c>
      <c r="L2703" s="11" t="s">
        <v>914</v>
      </c>
      <c r="M2703" s="93">
        <v>1</v>
      </c>
      <c r="N2703" s="94">
        <v>624400</v>
      </c>
      <c r="O2703" s="94">
        <v>624400</v>
      </c>
      <c r="P2703" s="40" t="s">
        <v>502</v>
      </c>
      <c r="Q2703" s="40" t="s">
        <v>766</v>
      </c>
      <c r="R2703" s="84">
        <v>474230100</v>
      </c>
      <c r="S2703" s="40">
        <v>0</v>
      </c>
    </row>
    <row r="2704" spans="1:19" s="92" customFormat="1" ht="51">
      <c r="A2704" s="5">
        <v>2689</v>
      </c>
      <c r="B2704" s="15" t="s">
        <v>710</v>
      </c>
      <c r="C2704" s="40" t="s">
        <v>597</v>
      </c>
      <c r="D2704" s="11" t="s">
        <v>850</v>
      </c>
      <c r="E2704" s="76" t="s">
        <v>1736</v>
      </c>
      <c r="F2704" s="76" t="s">
        <v>851</v>
      </c>
      <c r="G2704" s="76" t="s">
        <v>1737</v>
      </c>
      <c r="H2704" s="76" t="s">
        <v>852</v>
      </c>
      <c r="I2704" s="76" t="s">
        <v>3199</v>
      </c>
      <c r="J2704" s="76" t="s">
        <v>3200</v>
      </c>
      <c r="K2704" s="40" t="s">
        <v>591</v>
      </c>
      <c r="L2704" s="11" t="s">
        <v>914</v>
      </c>
      <c r="M2704" s="97">
        <v>1</v>
      </c>
      <c r="N2704" s="94">
        <f>10000*5</f>
        <v>50000</v>
      </c>
      <c r="O2704" s="94">
        <f>N2704</f>
        <v>50000</v>
      </c>
      <c r="P2704" s="40" t="s">
        <v>698</v>
      </c>
      <c r="Q2704" s="40" t="s">
        <v>766</v>
      </c>
      <c r="R2704" s="84">
        <v>474230100</v>
      </c>
      <c r="S2704" s="40">
        <v>0</v>
      </c>
    </row>
    <row r="2705" spans="1:19" s="92" customFormat="1" ht="51">
      <c r="A2705" s="5">
        <v>2690</v>
      </c>
      <c r="B2705" s="15" t="s">
        <v>710</v>
      </c>
      <c r="C2705" s="40" t="s">
        <v>597</v>
      </c>
      <c r="D2705" s="40" t="s">
        <v>2594</v>
      </c>
      <c r="E2705" s="31" t="s">
        <v>2618</v>
      </c>
      <c r="F2705" s="31" t="s">
        <v>2595</v>
      </c>
      <c r="G2705" s="31" t="s">
        <v>2618</v>
      </c>
      <c r="H2705" s="40" t="s">
        <v>2595</v>
      </c>
      <c r="I2705" s="40" t="s">
        <v>3201</v>
      </c>
      <c r="J2705" s="40" t="s">
        <v>3202</v>
      </c>
      <c r="K2705" s="40" t="s">
        <v>591</v>
      </c>
      <c r="L2705" s="11" t="s">
        <v>914</v>
      </c>
      <c r="M2705" s="93">
        <v>1</v>
      </c>
      <c r="N2705" s="94">
        <f>10500*3</f>
        <v>31500</v>
      </c>
      <c r="O2705" s="94">
        <f>N2705</f>
        <v>31500</v>
      </c>
      <c r="P2705" s="40" t="s">
        <v>3116</v>
      </c>
      <c r="Q2705" s="40" t="s">
        <v>766</v>
      </c>
      <c r="R2705" s="84">
        <v>474230100</v>
      </c>
      <c r="S2705" s="40">
        <v>30</v>
      </c>
    </row>
    <row r="2706" spans="1:19" s="92" customFormat="1" ht="89.25">
      <c r="A2706" s="5">
        <v>2691</v>
      </c>
      <c r="B2706" s="15" t="s">
        <v>710</v>
      </c>
      <c r="C2706" s="40" t="s">
        <v>711</v>
      </c>
      <c r="D2706" s="40" t="s">
        <v>976</v>
      </c>
      <c r="E2706" s="31" t="s">
        <v>730</v>
      </c>
      <c r="F2706" s="31" t="s">
        <v>731</v>
      </c>
      <c r="G2706" s="31" t="s">
        <v>977</v>
      </c>
      <c r="H2706" s="40" t="s">
        <v>978</v>
      </c>
      <c r="I2706" s="40" t="s">
        <v>3203</v>
      </c>
      <c r="J2706" s="40" t="s">
        <v>3204</v>
      </c>
      <c r="K2706" s="40" t="s">
        <v>591</v>
      </c>
      <c r="L2706" s="40" t="s">
        <v>644</v>
      </c>
      <c r="M2706" s="93">
        <v>2</v>
      </c>
      <c r="N2706" s="94">
        <v>26800</v>
      </c>
      <c r="O2706" s="94">
        <f>N2706*M2706</f>
        <v>53600</v>
      </c>
      <c r="P2706" s="40" t="s">
        <v>3116</v>
      </c>
      <c r="Q2706" s="40" t="s">
        <v>1051</v>
      </c>
      <c r="R2706" s="84">
        <v>474230100</v>
      </c>
      <c r="S2706" s="40">
        <v>100</v>
      </c>
    </row>
    <row r="2707" spans="1:19" s="92" customFormat="1" ht="63.75">
      <c r="A2707" s="5">
        <v>2692</v>
      </c>
      <c r="B2707" s="15" t="s">
        <v>710</v>
      </c>
      <c r="C2707" s="40" t="s">
        <v>711</v>
      </c>
      <c r="D2707" s="40" t="s">
        <v>744</v>
      </c>
      <c r="E2707" s="31" t="s">
        <v>745</v>
      </c>
      <c r="F2707" s="31" t="s">
        <v>109</v>
      </c>
      <c r="G2707" s="31" t="s">
        <v>746</v>
      </c>
      <c r="H2707" s="40" t="s">
        <v>3205</v>
      </c>
      <c r="I2707" s="40" t="s">
        <v>3206</v>
      </c>
      <c r="J2707" s="40" t="s">
        <v>3207</v>
      </c>
      <c r="K2707" s="40" t="s">
        <v>591</v>
      </c>
      <c r="L2707" s="40" t="s">
        <v>644</v>
      </c>
      <c r="M2707" s="93">
        <v>6</v>
      </c>
      <c r="N2707" s="94">
        <v>5590</v>
      </c>
      <c r="O2707" s="94">
        <f>M2707*N2707</f>
        <v>33540</v>
      </c>
      <c r="P2707" s="40" t="s">
        <v>3116</v>
      </c>
      <c r="Q2707" s="40" t="s">
        <v>1051</v>
      </c>
      <c r="R2707" s="84">
        <v>474230100</v>
      </c>
      <c r="S2707" s="40">
        <v>100</v>
      </c>
    </row>
    <row r="2708" spans="1:19" s="92" customFormat="1" ht="51">
      <c r="A2708" s="5">
        <v>2693</v>
      </c>
      <c r="B2708" s="15" t="s">
        <v>710</v>
      </c>
      <c r="C2708" s="40" t="s">
        <v>711</v>
      </c>
      <c r="D2708" s="98" t="s">
        <v>422</v>
      </c>
      <c r="E2708" s="76" t="s">
        <v>423</v>
      </c>
      <c r="F2708" s="76" t="s">
        <v>427</v>
      </c>
      <c r="G2708" s="76" t="s">
        <v>837</v>
      </c>
      <c r="H2708" s="76" t="s">
        <v>425</v>
      </c>
      <c r="I2708" s="76" t="s">
        <v>3208</v>
      </c>
      <c r="J2708" s="76" t="s">
        <v>3209</v>
      </c>
      <c r="K2708" s="76" t="s">
        <v>591</v>
      </c>
      <c r="L2708" s="11" t="s">
        <v>909</v>
      </c>
      <c r="M2708" s="53">
        <v>18</v>
      </c>
      <c r="N2708" s="94">
        <v>640</v>
      </c>
      <c r="O2708" s="94">
        <f>N2708*M2708</f>
        <v>11520</v>
      </c>
      <c r="P2708" s="40" t="s">
        <v>3116</v>
      </c>
      <c r="Q2708" s="40" t="s">
        <v>766</v>
      </c>
      <c r="R2708" s="84">
        <v>474230100</v>
      </c>
      <c r="S2708" s="40">
        <v>100</v>
      </c>
    </row>
    <row r="2709" spans="1:19" s="92" customFormat="1" ht="76.5">
      <c r="A2709" s="5">
        <v>2694</v>
      </c>
      <c r="B2709" s="15" t="s">
        <v>710</v>
      </c>
      <c r="C2709" s="40" t="s">
        <v>711</v>
      </c>
      <c r="D2709" s="40" t="s">
        <v>723</v>
      </c>
      <c r="E2709" s="31" t="s">
        <v>874</v>
      </c>
      <c r="F2709" s="31" t="s">
        <v>874</v>
      </c>
      <c r="G2709" s="31" t="s">
        <v>875</v>
      </c>
      <c r="H2709" s="40" t="s">
        <v>876</v>
      </c>
      <c r="I2709" s="40" t="s">
        <v>3210</v>
      </c>
      <c r="J2709" s="40" t="s">
        <v>3211</v>
      </c>
      <c r="K2709" s="40" t="s">
        <v>591</v>
      </c>
      <c r="L2709" s="40" t="s">
        <v>644</v>
      </c>
      <c r="M2709" s="93">
        <v>1</v>
      </c>
      <c r="N2709" s="94">
        <v>30000</v>
      </c>
      <c r="O2709" s="94">
        <f>N2709*M2709</f>
        <v>30000</v>
      </c>
      <c r="P2709" s="40" t="s">
        <v>3116</v>
      </c>
      <c r="Q2709" s="40" t="s">
        <v>1051</v>
      </c>
      <c r="R2709" s="84">
        <v>474230100</v>
      </c>
      <c r="S2709" s="40">
        <v>100</v>
      </c>
    </row>
    <row r="2710" spans="1:19" s="92" customFormat="1" ht="89.25">
      <c r="A2710" s="5">
        <v>2695</v>
      </c>
      <c r="B2710" s="15" t="s">
        <v>710</v>
      </c>
      <c r="C2710" s="40" t="s">
        <v>597</v>
      </c>
      <c r="D2710" s="40" t="s">
        <v>598</v>
      </c>
      <c r="E2710" s="31" t="s">
        <v>599</v>
      </c>
      <c r="F2710" s="31" t="s">
        <v>782</v>
      </c>
      <c r="G2710" s="31" t="s">
        <v>3195</v>
      </c>
      <c r="H2710" s="40" t="s">
        <v>602</v>
      </c>
      <c r="I2710" s="40" t="s">
        <v>3196</v>
      </c>
      <c r="J2710" s="40" t="s">
        <v>3197</v>
      </c>
      <c r="K2710" s="40" t="s">
        <v>591</v>
      </c>
      <c r="L2710" s="11" t="s">
        <v>914</v>
      </c>
      <c r="M2710" s="93">
        <v>1</v>
      </c>
      <c r="N2710" s="94">
        <v>624400</v>
      </c>
      <c r="O2710" s="94">
        <v>624400</v>
      </c>
      <c r="P2710" s="40" t="s">
        <v>502</v>
      </c>
      <c r="Q2710" s="40" t="s">
        <v>766</v>
      </c>
      <c r="R2710" s="84">
        <v>474630100</v>
      </c>
      <c r="S2710" s="40">
        <v>0</v>
      </c>
    </row>
    <row r="2711" spans="1:19" s="92" customFormat="1" ht="89.25">
      <c r="A2711" s="5">
        <v>2696</v>
      </c>
      <c r="B2711" s="15" t="s">
        <v>710</v>
      </c>
      <c r="C2711" s="40" t="s">
        <v>597</v>
      </c>
      <c r="D2711" s="40" t="s">
        <v>598</v>
      </c>
      <c r="E2711" s="31" t="s">
        <v>599</v>
      </c>
      <c r="F2711" s="31" t="s">
        <v>782</v>
      </c>
      <c r="G2711" s="31" t="s">
        <v>3195</v>
      </c>
      <c r="H2711" s="40" t="s">
        <v>602</v>
      </c>
      <c r="I2711" s="40" t="s">
        <v>3196</v>
      </c>
      <c r="J2711" s="40" t="s">
        <v>3197</v>
      </c>
      <c r="K2711" s="40" t="s">
        <v>591</v>
      </c>
      <c r="L2711" s="11" t="s">
        <v>914</v>
      </c>
      <c r="M2711" s="93">
        <v>1</v>
      </c>
      <c r="N2711" s="94">
        <v>624400</v>
      </c>
      <c r="O2711" s="94">
        <v>624400</v>
      </c>
      <c r="P2711" s="40" t="s">
        <v>502</v>
      </c>
      <c r="Q2711" s="40" t="s">
        <v>766</v>
      </c>
      <c r="R2711" s="84">
        <v>474630100</v>
      </c>
      <c r="S2711" s="40">
        <v>0</v>
      </c>
    </row>
    <row r="2712" spans="1:19" s="92" customFormat="1" ht="51">
      <c r="A2712" s="5">
        <v>2697</v>
      </c>
      <c r="B2712" s="15" t="s">
        <v>710</v>
      </c>
      <c r="C2712" s="40" t="s">
        <v>597</v>
      </c>
      <c r="D2712" s="11" t="s">
        <v>850</v>
      </c>
      <c r="E2712" s="76" t="s">
        <v>1736</v>
      </c>
      <c r="F2712" s="76" t="s">
        <v>851</v>
      </c>
      <c r="G2712" s="76" t="s">
        <v>1737</v>
      </c>
      <c r="H2712" s="76" t="s">
        <v>852</v>
      </c>
      <c r="I2712" s="76" t="s">
        <v>3199</v>
      </c>
      <c r="J2712" s="76" t="s">
        <v>3200</v>
      </c>
      <c r="K2712" s="40" t="s">
        <v>591</v>
      </c>
      <c r="L2712" s="11" t="s">
        <v>914</v>
      </c>
      <c r="M2712" s="97">
        <v>1</v>
      </c>
      <c r="N2712" s="94">
        <f>10000*5</f>
        <v>50000</v>
      </c>
      <c r="O2712" s="94">
        <f>N2712</f>
        <v>50000</v>
      </c>
      <c r="P2712" s="40" t="s">
        <v>698</v>
      </c>
      <c r="Q2712" s="40" t="s">
        <v>766</v>
      </c>
      <c r="R2712" s="84">
        <v>474630100</v>
      </c>
      <c r="S2712" s="40">
        <v>0</v>
      </c>
    </row>
    <row r="2713" spans="1:19" s="92" customFormat="1" ht="51">
      <c r="A2713" s="5">
        <v>2698</v>
      </c>
      <c r="B2713" s="15" t="s">
        <v>710</v>
      </c>
      <c r="C2713" s="40" t="s">
        <v>597</v>
      </c>
      <c r="D2713" s="40" t="s">
        <v>2594</v>
      </c>
      <c r="E2713" s="31" t="s">
        <v>2618</v>
      </c>
      <c r="F2713" s="31" t="s">
        <v>2595</v>
      </c>
      <c r="G2713" s="31" t="s">
        <v>2618</v>
      </c>
      <c r="H2713" s="40" t="s">
        <v>2595</v>
      </c>
      <c r="I2713" s="40" t="s">
        <v>3201</v>
      </c>
      <c r="J2713" s="40" t="s">
        <v>3202</v>
      </c>
      <c r="K2713" s="40" t="s">
        <v>591</v>
      </c>
      <c r="L2713" s="11" t="s">
        <v>914</v>
      </c>
      <c r="M2713" s="93">
        <v>1</v>
      </c>
      <c r="N2713" s="94">
        <f>10500*3</f>
        <v>31500</v>
      </c>
      <c r="O2713" s="94">
        <f>N2713</f>
        <v>31500</v>
      </c>
      <c r="P2713" s="40" t="s">
        <v>3116</v>
      </c>
      <c r="Q2713" s="40" t="s">
        <v>766</v>
      </c>
      <c r="R2713" s="84">
        <v>474630100</v>
      </c>
      <c r="S2713" s="40">
        <v>30</v>
      </c>
    </row>
    <row r="2714" spans="1:19" s="92" customFormat="1" ht="89.25">
      <c r="A2714" s="5">
        <v>2699</v>
      </c>
      <c r="B2714" s="15" t="s">
        <v>710</v>
      </c>
      <c r="C2714" s="40" t="s">
        <v>711</v>
      </c>
      <c r="D2714" s="40" t="s">
        <v>976</v>
      </c>
      <c r="E2714" s="31" t="s">
        <v>730</v>
      </c>
      <c r="F2714" s="31" t="s">
        <v>731</v>
      </c>
      <c r="G2714" s="31" t="s">
        <v>977</v>
      </c>
      <c r="H2714" s="40" t="s">
        <v>978</v>
      </c>
      <c r="I2714" s="40" t="s">
        <v>3203</v>
      </c>
      <c r="J2714" s="40" t="s">
        <v>3204</v>
      </c>
      <c r="K2714" s="40" t="s">
        <v>591</v>
      </c>
      <c r="L2714" s="40" t="s">
        <v>644</v>
      </c>
      <c r="M2714" s="93">
        <v>2</v>
      </c>
      <c r="N2714" s="94">
        <v>26800</v>
      </c>
      <c r="O2714" s="94">
        <f>N2714*M2714</f>
        <v>53600</v>
      </c>
      <c r="P2714" s="40" t="s">
        <v>3116</v>
      </c>
      <c r="Q2714" s="40" t="s">
        <v>1051</v>
      </c>
      <c r="R2714" s="84">
        <v>474630100</v>
      </c>
      <c r="S2714" s="40">
        <v>100</v>
      </c>
    </row>
    <row r="2715" spans="1:19" s="92" customFormat="1" ht="63.75">
      <c r="A2715" s="5">
        <v>2700</v>
      </c>
      <c r="B2715" s="15" t="s">
        <v>710</v>
      </c>
      <c r="C2715" s="40" t="s">
        <v>711</v>
      </c>
      <c r="D2715" s="40" t="s">
        <v>744</v>
      </c>
      <c r="E2715" s="31" t="s">
        <v>745</v>
      </c>
      <c r="F2715" s="31" t="s">
        <v>109</v>
      </c>
      <c r="G2715" s="31" t="s">
        <v>746</v>
      </c>
      <c r="H2715" s="40" t="s">
        <v>3205</v>
      </c>
      <c r="I2715" s="40" t="s">
        <v>3206</v>
      </c>
      <c r="J2715" s="40" t="s">
        <v>3207</v>
      </c>
      <c r="K2715" s="40" t="s">
        <v>591</v>
      </c>
      <c r="L2715" s="40" t="s">
        <v>644</v>
      </c>
      <c r="M2715" s="93">
        <v>6</v>
      </c>
      <c r="N2715" s="94">
        <v>5590</v>
      </c>
      <c r="O2715" s="94">
        <f>M2715*N2715</f>
        <v>33540</v>
      </c>
      <c r="P2715" s="40" t="s">
        <v>3116</v>
      </c>
      <c r="Q2715" s="40" t="s">
        <v>1051</v>
      </c>
      <c r="R2715" s="84">
        <v>474630100</v>
      </c>
      <c r="S2715" s="40">
        <v>100</v>
      </c>
    </row>
    <row r="2716" spans="1:19" s="92" customFormat="1" ht="51">
      <c r="A2716" s="5">
        <v>2701</v>
      </c>
      <c r="B2716" s="15" t="s">
        <v>710</v>
      </c>
      <c r="C2716" s="40" t="s">
        <v>711</v>
      </c>
      <c r="D2716" s="98" t="s">
        <v>422</v>
      </c>
      <c r="E2716" s="76" t="s">
        <v>423</v>
      </c>
      <c r="F2716" s="76" t="s">
        <v>427</v>
      </c>
      <c r="G2716" s="76" t="s">
        <v>837</v>
      </c>
      <c r="H2716" s="76" t="s">
        <v>425</v>
      </c>
      <c r="I2716" s="76" t="s">
        <v>3208</v>
      </c>
      <c r="J2716" s="76" t="s">
        <v>3209</v>
      </c>
      <c r="K2716" s="76" t="s">
        <v>591</v>
      </c>
      <c r="L2716" s="11" t="s">
        <v>909</v>
      </c>
      <c r="M2716" s="53">
        <v>18</v>
      </c>
      <c r="N2716" s="94">
        <v>640</v>
      </c>
      <c r="O2716" s="94">
        <f>N2716*M2716</f>
        <v>11520</v>
      </c>
      <c r="P2716" s="40" t="s">
        <v>3116</v>
      </c>
      <c r="Q2716" s="40" t="s">
        <v>766</v>
      </c>
      <c r="R2716" s="84">
        <v>474630100</v>
      </c>
      <c r="S2716" s="40">
        <v>100</v>
      </c>
    </row>
    <row r="2717" spans="1:19" s="92" customFormat="1" ht="76.5">
      <c r="A2717" s="5">
        <v>2702</v>
      </c>
      <c r="B2717" s="15" t="s">
        <v>710</v>
      </c>
      <c r="C2717" s="40" t="s">
        <v>711</v>
      </c>
      <c r="D2717" s="40" t="s">
        <v>723</v>
      </c>
      <c r="E2717" s="31" t="s">
        <v>874</v>
      </c>
      <c r="F2717" s="31" t="s">
        <v>874</v>
      </c>
      <c r="G2717" s="31" t="s">
        <v>875</v>
      </c>
      <c r="H2717" s="40" t="s">
        <v>876</v>
      </c>
      <c r="I2717" s="40" t="s">
        <v>3210</v>
      </c>
      <c r="J2717" s="40" t="s">
        <v>3211</v>
      </c>
      <c r="K2717" s="40" t="s">
        <v>591</v>
      </c>
      <c r="L2717" s="40" t="s">
        <v>644</v>
      </c>
      <c r="M2717" s="93">
        <v>1</v>
      </c>
      <c r="N2717" s="94">
        <v>30000</v>
      </c>
      <c r="O2717" s="94">
        <f>N2717*M2717</f>
        <v>30000</v>
      </c>
      <c r="P2717" s="40" t="s">
        <v>3116</v>
      </c>
      <c r="Q2717" s="40" t="s">
        <v>1051</v>
      </c>
      <c r="R2717" s="84">
        <v>474630100</v>
      </c>
      <c r="S2717" s="40">
        <v>100</v>
      </c>
    </row>
    <row r="2718" spans="1:19" s="92" customFormat="1" ht="89.25">
      <c r="A2718" s="5">
        <v>2703</v>
      </c>
      <c r="B2718" s="15" t="s">
        <v>710</v>
      </c>
      <c r="C2718" s="40" t="s">
        <v>597</v>
      </c>
      <c r="D2718" s="40" t="s">
        <v>598</v>
      </c>
      <c r="E2718" s="31" t="s">
        <v>599</v>
      </c>
      <c r="F2718" s="31" t="s">
        <v>782</v>
      </c>
      <c r="G2718" s="31" t="s">
        <v>3195</v>
      </c>
      <c r="H2718" s="40" t="s">
        <v>602</v>
      </c>
      <c r="I2718" s="40" t="s">
        <v>3196</v>
      </c>
      <c r="J2718" s="40" t="s">
        <v>3197</v>
      </c>
      <c r="K2718" s="40" t="s">
        <v>591</v>
      </c>
      <c r="L2718" s="11" t="s">
        <v>914</v>
      </c>
      <c r="M2718" s="93">
        <v>1</v>
      </c>
      <c r="N2718" s="94">
        <v>624400</v>
      </c>
      <c r="O2718" s="94">
        <v>624400</v>
      </c>
      <c r="P2718" s="40" t="s">
        <v>502</v>
      </c>
      <c r="Q2718" s="40" t="s">
        <v>766</v>
      </c>
      <c r="R2718" s="84">
        <v>475030100</v>
      </c>
      <c r="S2718" s="40">
        <v>0</v>
      </c>
    </row>
    <row r="2719" spans="1:19" s="92" customFormat="1" ht="89.25">
      <c r="A2719" s="5">
        <v>2704</v>
      </c>
      <c r="B2719" s="15" t="s">
        <v>710</v>
      </c>
      <c r="C2719" s="40" t="s">
        <v>597</v>
      </c>
      <c r="D2719" s="40" t="s">
        <v>598</v>
      </c>
      <c r="E2719" s="31" t="s">
        <v>599</v>
      </c>
      <c r="F2719" s="31" t="s">
        <v>782</v>
      </c>
      <c r="G2719" s="31" t="s">
        <v>3195</v>
      </c>
      <c r="H2719" s="40" t="s">
        <v>602</v>
      </c>
      <c r="I2719" s="40" t="s">
        <v>3196</v>
      </c>
      <c r="J2719" s="40" t="s">
        <v>3197</v>
      </c>
      <c r="K2719" s="40" t="s">
        <v>591</v>
      </c>
      <c r="L2719" s="11" t="s">
        <v>914</v>
      </c>
      <c r="M2719" s="93">
        <v>1</v>
      </c>
      <c r="N2719" s="94">
        <v>624400</v>
      </c>
      <c r="O2719" s="94">
        <v>624400</v>
      </c>
      <c r="P2719" s="40" t="s">
        <v>502</v>
      </c>
      <c r="Q2719" s="40" t="s">
        <v>766</v>
      </c>
      <c r="R2719" s="84">
        <v>475030100</v>
      </c>
      <c r="S2719" s="40">
        <v>0</v>
      </c>
    </row>
    <row r="2720" spans="1:19" s="92" customFormat="1" ht="51">
      <c r="A2720" s="5">
        <v>2705</v>
      </c>
      <c r="B2720" s="15" t="s">
        <v>710</v>
      </c>
      <c r="C2720" s="40" t="s">
        <v>597</v>
      </c>
      <c r="D2720" s="11" t="s">
        <v>850</v>
      </c>
      <c r="E2720" s="76" t="s">
        <v>1736</v>
      </c>
      <c r="F2720" s="76" t="s">
        <v>851</v>
      </c>
      <c r="G2720" s="76" t="s">
        <v>1737</v>
      </c>
      <c r="H2720" s="76" t="s">
        <v>852</v>
      </c>
      <c r="I2720" s="76" t="s">
        <v>3199</v>
      </c>
      <c r="J2720" s="76" t="s">
        <v>3200</v>
      </c>
      <c r="K2720" s="40" t="s">
        <v>591</v>
      </c>
      <c r="L2720" s="11" t="s">
        <v>914</v>
      </c>
      <c r="M2720" s="97">
        <v>1</v>
      </c>
      <c r="N2720" s="94">
        <f>10000*5</f>
        <v>50000</v>
      </c>
      <c r="O2720" s="94">
        <f>N2720</f>
        <v>50000</v>
      </c>
      <c r="P2720" s="40" t="s">
        <v>698</v>
      </c>
      <c r="Q2720" s="40" t="s">
        <v>766</v>
      </c>
      <c r="R2720" s="84">
        <v>475030100</v>
      </c>
      <c r="S2720" s="40">
        <v>0</v>
      </c>
    </row>
    <row r="2721" spans="1:19" s="92" customFormat="1" ht="51">
      <c r="A2721" s="5">
        <v>2706</v>
      </c>
      <c r="B2721" s="15" t="s">
        <v>710</v>
      </c>
      <c r="C2721" s="40" t="s">
        <v>597</v>
      </c>
      <c r="D2721" s="40" t="s">
        <v>2594</v>
      </c>
      <c r="E2721" s="31" t="s">
        <v>2618</v>
      </c>
      <c r="F2721" s="31" t="s">
        <v>2595</v>
      </c>
      <c r="G2721" s="31" t="s">
        <v>2618</v>
      </c>
      <c r="H2721" s="40" t="s">
        <v>2595</v>
      </c>
      <c r="I2721" s="40" t="s">
        <v>3201</v>
      </c>
      <c r="J2721" s="40" t="s">
        <v>3202</v>
      </c>
      <c r="K2721" s="40" t="s">
        <v>591</v>
      </c>
      <c r="L2721" s="11" t="s">
        <v>914</v>
      </c>
      <c r="M2721" s="93">
        <v>1</v>
      </c>
      <c r="N2721" s="94">
        <f>10500*3</f>
        <v>31500</v>
      </c>
      <c r="O2721" s="94">
        <f>N2721</f>
        <v>31500</v>
      </c>
      <c r="P2721" s="40" t="s">
        <v>3116</v>
      </c>
      <c r="Q2721" s="40" t="s">
        <v>766</v>
      </c>
      <c r="R2721" s="84">
        <v>475030100</v>
      </c>
      <c r="S2721" s="40">
        <v>30</v>
      </c>
    </row>
    <row r="2722" spans="1:19" s="92" customFormat="1" ht="89.25">
      <c r="A2722" s="5">
        <v>2707</v>
      </c>
      <c r="B2722" s="15" t="s">
        <v>710</v>
      </c>
      <c r="C2722" s="40" t="s">
        <v>711</v>
      </c>
      <c r="D2722" s="40" t="s">
        <v>976</v>
      </c>
      <c r="E2722" s="31" t="s">
        <v>730</v>
      </c>
      <c r="F2722" s="31" t="s">
        <v>731</v>
      </c>
      <c r="G2722" s="31" t="s">
        <v>977</v>
      </c>
      <c r="H2722" s="40" t="s">
        <v>978</v>
      </c>
      <c r="I2722" s="40" t="s">
        <v>3203</v>
      </c>
      <c r="J2722" s="40" t="s">
        <v>3204</v>
      </c>
      <c r="K2722" s="40" t="s">
        <v>591</v>
      </c>
      <c r="L2722" s="40" t="s">
        <v>644</v>
      </c>
      <c r="M2722" s="93">
        <v>2</v>
      </c>
      <c r="N2722" s="94">
        <v>26800</v>
      </c>
      <c r="O2722" s="94">
        <f>N2722*M2722</f>
        <v>53600</v>
      </c>
      <c r="P2722" s="40" t="s">
        <v>3116</v>
      </c>
      <c r="Q2722" s="40" t="s">
        <v>1051</v>
      </c>
      <c r="R2722" s="84">
        <v>475030100</v>
      </c>
      <c r="S2722" s="40">
        <v>100</v>
      </c>
    </row>
    <row r="2723" spans="1:19" s="92" customFormat="1" ht="63.75">
      <c r="A2723" s="5">
        <v>2708</v>
      </c>
      <c r="B2723" s="15" t="s">
        <v>710</v>
      </c>
      <c r="C2723" s="40" t="s">
        <v>711</v>
      </c>
      <c r="D2723" s="40" t="s">
        <v>744</v>
      </c>
      <c r="E2723" s="31" t="s">
        <v>745</v>
      </c>
      <c r="F2723" s="31" t="s">
        <v>109</v>
      </c>
      <c r="G2723" s="31" t="s">
        <v>746</v>
      </c>
      <c r="H2723" s="40" t="s">
        <v>3205</v>
      </c>
      <c r="I2723" s="40" t="s">
        <v>3206</v>
      </c>
      <c r="J2723" s="40" t="s">
        <v>3207</v>
      </c>
      <c r="K2723" s="40" t="s">
        <v>591</v>
      </c>
      <c r="L2723" s="40" t="s">
        <v>644</v>
      </c>
      <c r="M2723" s="93">
        <v>6</v>
      </c>
      <c r="N2723" s="94">
        <v>5590</v>
      </c>
      <c r="O2723" s="94">
        <f>M2723*N2723</f>
        <v>33540</v>
      </c>
      <c r="P2723" s="40" t="s">
        <v>3116</v>
      </c>
      <c r="Q2723" s="40" t="s">
        <v>1051</v>
      </c>
      <c r="R2723" s="84">
        <v>475030100</v>
      </c>
      <c r="S2723" s="40">
        <v>100</v>
      </c>
    </row>
    <row r="2724" spans="1:19" s="92" customFormat="1" ht="51">
      <c r="A2724" s="5">
        <v>2709</v>
      </c>
      <c r="B2724" s="15" t="s">
        <v>710</v>
      </c>
      <c r="C2724" s="40" t="s">
        <v>711</v>
      </c>
      <c r="D2724" s="98" t="s">
        <v>422</v>
      </c>
      <c r="E2724" s="76" t="s">
        <v>423</v>
      </c>
      <c r="F2724" s="76" t="s">
        <v>427</v>
      </c>
      <c r="G2724" s="76" t="s">
        <v>837</v>
      </c>
      <c r="H2724" s="76" t="s">
        <v>425</v>
      </c>
      <c r="I2724" s="76" t="s">
        <v>3208</v>
      </c>
      <c r="J2724" s="76" t="s">
        <v>3209</v>
      </c>
      <c r="K2724" s="76" t="s">
        <v>591</v>
      </c>
      <c r="L2724" s="11" t="s">
        <v>909</v>
      </c>
      <c r="M2724" s="53">
        <v>18</v>
      </c>
      <c r="N2724" s="94">
        <v>640</v>
      </c>
      <c r="O2724" s="94">
        <f>N2724*M2724</f>
        <v>11520</v>
      </c>
      <c r="P2724" s="40" t="s">
        <v>3116</v>
      </c>
      <c r="Q2724" s="40" t="s">
        <v>766</v>
      </c>
      <c r="R2724" s="84">
        <v>475030100</v>
      </c>
      <c r="S2724" s="40">
        <v>100</v>
      </c>
    </row>
    <row r="2725" spans="1:19" s="92" customFormat="1" ht="76.5">
      <c r="A2725" s="5">
        <v>2710</v>
      </c>
      <c r="B2725" s="15" t="s">
        <v>710</v>
      </c>
      <c r="C2725" s="40" t="s">
        <v>711</v>
      </c>
      <c r="D2725" s="40" t="s">
        <v>723</v>
      </c>
      <c r="E2725" s="31" t="s">
        <v>874</v>
      </c>
      <c r="F2725" s="31" t="s">
        <v>874</v>
      </c>
      <c r="G2725" s="31" t="s">
        <v>875</v>
      </c>
      <c r="H2725" s="40" t="s">
        <v>876</v>
      </c>
      <c r="I2725" s="40" t="s">
        <v>3210</v>
      </c>
      <c r="J2725" s="40" t="s">
        <v>3211</v>
      </c>
      <c r="K2725" s="40" t="s">
        <v>591</v>
      </c>
      <c r="L2725" s="40" t="s">
        <v>644</v>
      </c>
      <c r="M2725" s="93">
        <v>1</v>
      </c>
      <c r="N2725" s="94">
        <v>30000</v>
      </c>
      <c r="O2725" s="94">
        <f>N2725*M2725</f>
        <v>30000</v>
      </c>
      <c r="P2725" s="40" t="s">
        <v>3116</v>
      </c>
      <c r="Q2725" s="40" t="s">
        <v>1051</v>
      </c>
      <c r="R2725" s="84">
        <v>475030100</v>
      </c>
      <c r="S2725" s="40">
        <v>100</v>
      </c>
    </row>
    <row r="2726" spans="1:19" s="92" customFormat="1" ht="89.25">
      <c r="A2726" s="5">
        <v>2711</v>
      </c>
      <c r="B2726" s="15" t="s">
        <v>710</v>
      </c>
      <c r="C2726" s="40" t="s">
        <v>597</v>
      </c>
      <c r="D2726" s="40" t="s">
        <v>598</v>
      </c>
      <c r="E2726" s="31" t="s">
        <v>599</v>
      </c>
      <c r="F2726" s="31" t="s">
        <v>782</v>
      </c>
      <c r="G2726" s="31" t="s">
        <v>3195</v>
      </c>
      <c r="H2726" s="40" t="s">
        <v>602</v>
      </c>
      <c r="I2726" s="40" t="s">
        <v>3196</v>
      </c>
      <c r="J2726" s="40" t="s">
        <v>3197</v>
      </c>
      <c r="K2726" s="40" t="s">
        <v>591</v>
      </c>
      <c r="L2726" s="11" t="s">
        <v>914</v>
      </c>
      <c r="M2726" s="93">
        <v>1</v>
      </c>
      <c r="N2726" s="94">
        <v>624400</v>
      </c>
      <c r="O2726" s="94">
        <v>624400</v>
      </c>
      <c r="P2726" s="40" t="s">
        <v>502</v>
      </c>
      <c r="Q2726" s="40" t="s">
        <v>766</v>
      </c>
      <c r="R2726" s="84">
        <v>475220100</v>
      </c>
      <c r="S2726" s="40">
        <v>0</v>
      </c>
    </row>
    <row r="2727" spans="1:19" s="92" customFormat="1" ht="89.25">
      <c r="A2727" s="5">
        <v>2712</v>
      </c>
      <c r="B2727" s="15" t="s">
        <v>710</v>
      </c>
      <c r="C2727" s="40" t="s">
        <v>597</v>
      </c>
      <c r="D2727" s="40" t="s">
        <v>598</v>
      </c>
      <c r="E2727" s="31" t="s">
        <v>599</v>
      </c>
      <c r="F2727" s="31" t="s">
        <v>782</v>
      </c>
      <c r="G2727" s="31" t="s">
        <v>3195</v>
      </c>
      <c r="H2727" s="40" t="s">
        <v>602</v>
      </c>
      <c r="I2727" s="40" t="s">
        <v>3196</v>
      </c>
      <c r="J2727" s="40" t="s">
        <v>3197</v>
      </c>
      <c r="K2727" s="40" t="s">
        <v>591</v>
      </c>
      <c r="L2727" s="11" t="s">
        <v>914</v>
      </c>
      <c r="M2727" s="93">
        <v>1</v>
      </c>
      <c r="N2727" s="94">
        <v>624400</v>
      </c>
      <c r="O2727" s="94">
        <v>624400</v>
      </c>
      <c r="P2727" s="40" t="s">
        <v>502</v>
      </c>
      <c r="Q2727" s="40" t="s">
        <v>766</v>
      </c>
      <c r="R2727" s="84">
        <v>475220100</v>
      </c>
      <c r="S2727" s="40">
        <v>0</v>
      </c>
    </row>
    <row r="2728" spans="1:19" s="92" customFormat="1" ht="51">
      <c r="A2728" s="5">
        <v>2713</v>
      </c>
      <c r="B2728" s="15" t="s">
        <v>710</v>
      </c>
      <c r="C2728" s="40" t="s">
        <v>597</v>
      </c>
      <c r="D2728" s="11" t="s">
        <v>850</v>
      </c>
      <c r="E2728" s="76" t="s">
        <v>1736</v>
      </c>
      <c r="F2728" s="76" t="s">
        <v>851</v>
      </c>
      <c r="G2728" s="76" t="s">
        <v>1737</v>
      </c>
      <c r="H2728" s="76" t="s">
        <v>852</v>
      </c>
      <c r="I2728" s="76" t="s">
        <v>3199</v>
      </c>
      <c r="J2728" s="76" t="s">
        <v>3200</v>
      </c>
      <c r="K2728" s="40" t="s">
        <v>591</v>
      </c>
      <c r="L2728" s="11" t="s">
        <v>914</v>
      </c>
      <c r="M2728" s="97">
        <v>1</v>
      </c>
      <c r="N2728" s="94">
        <f>10000*5</f>
        <v>50000</v>
      </c>
      <c r="O2728" s="94">
        <f>N2728</f>
        <v>50000</v>
      </c>
      <c r="P2728" s="40" t="s">
        <v>698</v>
      </c>
      <c r="Q2728" s="40" t="s">
        <v>766</v>
      </c>
      <c r="R2728" s="84">
        <v>475220100</v>
      </c>
      <c r="S2728" s="40">
        <v>0</v>
      </c>
    </row>
    <row r="2729" spans="1:19" s="92" customFormat="1" ht="51">
      <c r="A2729" s="5">
        <v>2714</v>
      </c>
      <c r="B2729" s="15" t="s">
        <v>710</v>
      </c>
      <c r="C2729" s="40" t="s">
        <v>597</v>
      </c>
      <c r="D2729" s="40" t="s">
        <v>2594</v>
      </c>
      <c r="E2729" s="31" t="s">
        <v>2618</v>
      </c>
      <c r="F2729" s="31" t="s">
        <v>2595</v>
      </c>
      <c r="G2729" s="31" t="s">
        <v>2618</v>
      </c>
      <c r="H2729" s="40" t="s">
        <v>2595</v>
      </c>
      <c r="I2729" s="40" t="s">
        <v>3201</v>
      </c>
      <c r="J2729" s="40" t="s">
        <v>3202</v>
      </c>
      <c r="K2729" s="40" t="s">
        <v>591</v>
      </c>
      <c r="L2729" s="11" t="s">
        <v>914</v>
      </c>
      <c r="M2729" s="93">
        <v>1</v>
      </c>
      <c r="N2729" s="94">
        <f>10500*3</f>
        <v>31500</v>
      </c>
      <c r="O2729" s="94">
        <f>N2729</f>
        <v>31500</v>
      </c>
      <c r="P2729" s="40" t="s">
        <v>3116</v>
      </c>
      <c r="Q2729" s="40" t="s">
        <v>766</v>
      </c>
      <c r="R2729" s="84">
        <v>475220100</v>
      </c>
      <c r="S2729" s="40">
        <v>30</v>
      </c>
    </row>
    <row r="2730" spans="1:19" s="92" customFormat="1" ht="89.25">
      <c r="A2730" s="5">
        <v>2715</v>
      </c>
      <c r="B2730" s="15" t="s">
        <v>710</v>
      </c>
      <c r="C2730" s="40" t="s">
        <v>711</v>
      </c>
      <c r="D2730" s="40" t="s">
        <v>976</v>
      </c>
      <c r="E2730" s="31" t="s">
        <v>730</v>
      </c>
      <c r="F2730" s="31" t="s">
        <v>731</v>
      </c>
      <c r="G2730" s="31" t="s">
        <v>977</v>
      </c>
      <c r="H2730" s="40" t="s">
        <v>978</v>
      </c>
      <c r="I2730" s="40" t="s">
        <v>3203</v>
      </c>
      <c r="J2730" s="40" t="s">
        <v>3204</v>
      </c>
      <c r="K2730" s="40" t="s">
        <v>591</v>
      </c>
      <c r="L2730" s="40" t="s">
        <v>644</v>
      </c>
      <c r="M2730" s="93">
        <v>2</v>
      </c>
      <c r="N2730" s="94">
        <v>26800</v>
      </c>
      <c r="O2730" s="94">
        <f>N2730*M2730</f>
        <v>53600</v>
      </c>
      <c r="P2730" s="40" t="s">
        <v>3116</v>
      </c>
      <c r="Q2730" s="40" t="s">
        <v>1051</v>
      </c>
      <c r="R2730" s="84">
        <v>475220100</v>
      </c>
      <c r="S2730" s="40">
        <v>100</v>
      </c>
    </row>
    <row r="2731" spans="1:19" s="92" customFormat="1" ht="63.75">
      <c r="A2731" s="5">
        <v>2716</v>
      </c>
      <c r="B2731" s="15" t="s">
        <v>710</v>
      </c>
      <c r="C2731" s="40" t="s">
        <v>711</v>
      </c>
      <c r="D2731" s="40" t="s">
        <v>744</v>
      </c>
      <c r="E2731" s="31" t="s">
        <v>745</v>
      </c>
      <c r="F2731" s="31" t="s">
        <v>109</v>
      </c>
      <c r="G2731" s="31" t="s">
        <v>746</v>
      </c>
      <c r="H2731" s="40" t="s">
        <v>3205</v>
      </c>
      <c r="I2731" s="40" t="s">
        <v>3206</v>
      </c>
      <c r="J2731" s="40" t="s">
        <v>3207</v>
      </c>
      <c r="K2731" s="40" t="s">
        <v>591</v>
      </c>
      <c r="L2731" s="40" t="s">
        <v>644</v>
      </c>
      <c r="M2731" s="93">
        <v>6</v>
      </c>
      <c r="N2731" s="94">
        <v>5590</v>
      </c>
      <c r="O2731" s="94">
        <f>M2731*N2731</f>
        <v>33540</v>
      </c>
      <c r="P2731" s="40" t="s">
        <v>3116</v>
      </c>
      <c r="Q2731" s="40" t="s">
        <v>1051</v>
      </c>
      <c r="R2731" s="84">
        <v>475220100</v>
      </c>
      <c r="S2731" s="40">
        <v>100</v>
      </c>
    </row>
    <row r="2732" spans="1:19" s="92" customFormat="1" ht="51">
      <c r="A2732" s="5">
        <v>2717</v>
      </c>
      <c r="B2732" s="15" t="s">
        <v>710</v>
      </c>
      <c r="C2732" s="40" t="s">
        <v>711</v>
      </c>
      <c r="D2732" s="98" t="s">
        <v>422</v>
      </c>
      <c r="E2732" s="76" t="s">
        <v>423</v>
      </c>
      <c r="F2732" s="76" t="s">
        <v>427</v>
      </c>
      <c r="G2732" s="76" t="s">
        <v>837</v>
      </c>
      <c r="H2732" s="76" t="s">
        <v>425</v>
      </c>
      <c r="I2732" s="76" t="s">
        <v>3208</v>
      </c>
      <c r="J2732" s="76" t="s">
        <v>3209</v>
      </c>
      <c r="K2732" s="76" t="s">
        <v>591</v>
      </c>
      <c r="L2732" s="11" t="s">
        <v>909</v>
      </c>
      <c r="M2732" s="53">
        <v>18</v>
      </c>
      <c r="N2732" s="94">
        <v>640</v>
      </c>
      <c r="O2732" s="94">
        <f>N2732*M2732</f>
        <v>11520</v>
      </c>
      <c r="P2732" s="40" t="s">
        <v>3116</v>
      </c>
      <c r="Q2732" s="40" t="s">
        <v>766</v>
      </c>
      <c r="R2732" s="84">
        <v>475220100</v>
      </c>
      <c r="S2732" s="40">
        <v>100</v>
      </c>
    </row>
    <row r="2733" spans="1:19" s="92" customFormat="1" ht="76.5">
      <c r="A2733" s="5">
        <v>2718</v>
      </c>
      <c r="B2733" s="15" t="s">
        <v>710</v>
      </c>
      <c r="C2733" s="40" t="s">
        <v>711</v>
      </c>
      <c r="D2733" s="40" t="s">
        <v>723</v>
      </c>
      <c r="E2733" s="31" t="s">
        <v>874</v>
      </c>
      <c r="F2733" s="31" t="s">
        <v>874</v>
      </c>
      <c r="G2733" s="31" t="s">
        <v>875</v>
      </c>
      <c r="H2733" s="40" t="s">
        <v>876</v>
      </c>
      <c r="I2733" s="40" t="s">
        <v>3210</v>
      </c>
      <c r="J2733" s="40" t="s">
        <v>3211</v>
      </c>
      <c r="K2733" s="40" t="s">
        <v>591</v>
      </c>
      <c r="L2733" s="40" t="s">
        <v>644</v>
      </c>
      <c r="M2733" s="93">
        <v>1</v>
      </c>
      <c r="N2733" s="94">
        <v>30000</v>
      </c>
      <c r="O2733" s="94">
        <f>N2733*M2733</f>
        <v>30000</v>
      </c>
      <c r="P2733" s="40" t="s">
        <v>3116</v>
      </c>
      <c r="Q2733" s="40" t="s">
        <v>1051</v>
      </c>
      <c r="R2733" s="84">
        <v>475220100</v>
      </c>
      <c r="S2733" s="40">
        <v>100</v>
      </c>
    </row>
    <row r="2734" spans="1:19" s="92" customFormat="1" ht="51">
      <c r="A2734" s="5">
        <v>2719</v>
      </c>
      <c r="B2734" s="15" t="s">
        <v>710</v>
      </c>
      <c r="C2734" s="40" t="s">
        <v>597</v>
      </c>
      <c r="D2734" s="40" t="s">
        <v>3128</v>
      </c>
      <c r="E2734" s="31" t="s">
        <v>2620</v>
      </c>
      <c r="F2734" s="31" t="s">
        <v>1304</v>
      </c>
      <c r="G2734" s="31" t="s">
        <v>3129</v>
      </c>
      <c r="H2734" s="40" t="s">
        <v>3130</v>
      </c>
      <c r="I2734" s="40" t="s">
        <v>3131</v>
      </c>
      <c r="J2734" s="40" t="s">
        <v>3132</v>
      </c>
      <c r="K2734" s="40" t="s">
        <v>591</v>
      </c>
      <c r="L2734" s="11" t="s">
        <v>914</v>
      </c>
      <c r="M2734" s="93">
        <v>1</v>
      </c>
      <c r="N2734" s="94">
        <f>59000*10</f>
        <v>590000</v>
      </c>
      <c r="O2734" s="94">
        <f>N2734*M2734</f>
        <v>590000</v>
      </c>
      <c r="P2734" s="40" t="s">
        <v>3116</v>
      </c>
      <c r="Q2734" s="40" t="s">
        <v>766</v>
      </c>
      <c r="R2734" s="84">
        <v>551010000</v>
      </c>
      <c r="S2734" s="40">
        <v>50</v>
      </c>
    </row>
    <row r="2735" spans="1:19" s="92" customFormat="1" ht="76.5">
      <c r="A2735" s="5">
        <v>2720</v>
      </c>
      <c r="B2735" s="15" t="s">
        <v>710</v>
      </c>
      <c r="C2735" s="40" t="s">
        <v>3117</v>
      </c>
      <c r="D2735" s="40" t="s">
        <v>532</v>
      </c>
      <c r="E2735" s="31" t="s">
        <v>3133</v>
      </c>
      <c r="F2735" s="31" t="s">
        <v>534</v>
      </c>
      <c r="G2735" s="31" t="s">
        <v>3133</v>
      </c>
      <c r="H2735" s="31" t="s">
        <v>534</v>
      </c>
      <c r="I2735" s="40" t="s">
        <v>3134</v>
      </c>
      <c r="J2735" s="40" t="s">
        <v>3135</v>
      </c>
      <c r="K2735" s="40" t="s">
        <v>591</v>
      </c>
      <c r="L2735" s="11" t="s">
        <v>914</v>
      </c>
      <c r="M2735" s="93">
        <v>1</v>
      </c>
      <c r="N2735" s="94">
        <f>10*30000</f>
        <v>300000</v>
      </c>
      <c r="O2735" s="94">
        <f>N2735*M2735</f>
        <v>300000</v>
      </c>
      <c r="P2735" s="40" t="s">
        <v>3116</v>
      </c>
      <c r="Q2735" s="40" t="s">
        <v>1051</v>
      </c>
      <c r="R2735" s="84">
        <v>551010000</v>
      </c>
      <c r="S2735" s="40">
        <v>50</v>
      </c>
    </row>
    <row r="2736" spans="1:19" s="92" customFormat="1" ht="51">
      <c r="A2736" s="5">
        <v>2721</v>
      </c>
      <c r="B2736" s="15" t="s">
        <v>710</v>
      </c>
      <c r="C2736" s="40" t="s">
        <v>2433</v>
      </c>
      <c r="D2736" s="40" t="s">
        <v>3136</v>
      </c>
      <c r="E2736" s="40" t="s">
        <v>466</v>
      </c>
      <c r="F2736" s="40" t="s">
        <v>25</v>
      </c>
      <c r="G2736" s="40" t="s">
        <v>3212</v>
      </c>
      <c r="H2736" s="40" t="s">
        <v>467</v>
      </c>
      <c r="I2736" s="40" t="s">
        <v>3137</v>
      </c>
      <c r="J2736" s="40" t="s">
        <v>3138</v>
      </c>
      <c r="K2736" s="40" t="s">
        <v>591</v>
      </c>
      <c r="L2736" s="95" t="s">
        <v>644</v>
      </c>
      <c r="M2736" s="93">
        <f>20*5</f>
        <v>100</v>
      </c>
      <c r="N2736" s="94">
        <v>40</v>
      </c>
      <c r="O2736" s="94">
        <f>N2736*M2736</f>
        <v>4000</v>
      </c>
      <c r="P2736" s="40" t="s">
        <v>3139</v>
      </c>
      <c r="Q2736" s="40" t="s">
        <v>766</v>
      </c>
      <c r="R2736" s="84">
        <v>551010000</v>
      </c>
      <c r="S2736" s="40">
        <v>0</v>
      </c>
    </row>
    <row r="2737" spans="1:19" s="92" customFormat="1" ht="51">
      <c r="A2737" s="5">
        <v>2722</v>
      </c>
      <c r="B2737" s="15" t="s">
        <v>710</v>
      </c>
      <c r="C2737" s="40" t="s">
        <v>2433</v>
      </c>
      <c r="D2737" s="40" t="s">
        <v>3140</v>
      </c>
      <c r="E2737" s="40" t="s">
        <v>3141</v>
      </c>
      <c r="F2737" s="40" t="s">
        <v>3142</v>
      </c>
      <c r="G2737" s="40" t="s">
        <v>3213</v>
      </c>
      <c r="H2737" s="40" t="s">
        <v>3214</v>
      </c>
      <c r="I2737" s="40" t="s">
        <v>3143</v>
      </c>
      <c r="J2737" s="40" t="s">
        <v>3144</v>
      </c>
      <c r="K2737" s="40" t="s">
        <v>591</v>
      </c>
      <c r="L2737" s="95" t="s">
        <v>644</v>
      </c>
      <c r="M2737" s="93">
        <f>20*2</f>
        <v>40</v>
      </c>
      <c r="N2737" s="94">
        <v>170</v>
      </c>
      <c r="O2737" s="94">
        <f t="shared" ref="O2737:O2754" si="70">N2737*M2737</f>
        <v>6800</v>
      </c>
      <c r="P2737" s="40" t="s">
        <v>3139</v>
      </c>
      <c r="Q2737" s="40" t="s">
        <v>766</v>
      </c>
      <c r="R2737" s="84">
        <v>551010000</v>
      </c>
      <c r="S2737" s="40">
        <v>0</v>
      </c>
    </row>
    <row r="2738" spans="1:19" s="92" customFormat="1" ht="51">
      <c r="A2738" s="5">
        <v>2723</v>
      </c>
      <c r="B2738" s="15" t="s">
        <v>710</v>
      </c>
      <c r="C2738" s="40" t="s">
        <v>2433</v>
      </c>
      <c r="D2738" s="40" t="s">
        <v>452</v>
      </c>
      <c r="E2738" s="40" t="s">
        <v>453</v>
      </c>
      <c r="F2738" s="40" t="s">
        <v>454</v>
      </c>
      <c r="G2738" s="40" t="s">
        <v>455</v>
      </c>
      <c r="H2738" s="40" t="s">
        <v>456</v>
      </c>
      <c r="I2738" s="40" t="s">
        <v>3145</v>
      </c>
      <c r="J2738" s="40" t="s">
        <v>3146</v>
      </c>
      <c r="K2738" s="40" t="s">
        <v>591</v>
      </c>
      <c r="L2738" s="95" t="s">
        <v>480</v>
      </c>
      <c r="M2738" s="93">
        <f>20*5</f>
        <v>100</v>
      </c>
      <c r="N2738" s="94">
        <v>155</v>
      </c>
      <c r="O2738" s="94">
        <f t="shared" si="70"/>
        <v>15500</v>
      </c>
      <c r="P2738" s="40" t="s">
        <v>3139</v>
      </c>
      <c r="Q2738" s="40" t="s">
        <v>766</v>
      </c>
      <c r="R2738" s="84">
        <v>551010000</v>
      </c>
      <c r="S2738" s="40">
        <v>0</v>
      </c>
    </row>
    <row r="2739" spans="1:19" s="92" customFormat="1" ht="51">
      <c r="A2739" s="5">
        <v>2724</v>
      </c>
      <c r="B2739" s="15" t="s">
        <v>710</v>
      </c>
      <c r="C2739" s="40" t="s">
        <v>2433</v>
      </c>
      <c r="D2739" s="40" t="s">
        <v>452</v>
      </c>
      <c r="E2739" s="40" t="s">
        <v>453</v>
      </c>
      <c r="F2739" s="40" t="s">
        <v>454</v>
      </c>
      <c r="G2739" s="40" t="s">
        <v>455</v>
      </c>
      <c r="H2739" s="40" t="s">
        <v>456</v>
      </c>
      <c r="I2739" s="40" t="s">
        <v>3147</v>
      </c>
      <c r="J2739" s="40" t="s">
        <v>3148</v>
      </c>
      <c r="K2739" s="40" t="s">
        <v>591</v>
      </c>
      <c r="L2739" s="95" t="s">
        <v>480</v>
      </c>
      <c r="M2739" s="93">
        <f>20*5</f>
        <v>100</v>
      </c>
      <c r="N2739" s="94">
        <v>200</v>
      </c>
      <c r="O2739" s="94">
        <f t="shared" si="70"/>
        <v>20000</v>
      </c>
      <c r="P2739" s="40" t="s">
        <v>3139</v>
      </c>
      <c r="Q2739" s="40" t="s">
        <v>766</v>
      </c>
      <c r="R2739" s="84">
        <v>551010000</v>
      </c>
      <c r="S2739" s="40">
        <v>0</v>
      </c>
    </row>
    <row r="2740" spans="1:19" s="92" customFormat="1" ht="51">
      <c r="A2740" s="5">
        <v>2725</v>
      </c>
      <c r="B2740" s="15" t="s">
        <v>710</v>
      </c>
      <c r="C2740" s="40" t="s">
        <v>2433</v>
      </c>
      <c r="D2740" s="40" t="s">
        <v>432</v>
      </c>
      <c r="E2740" s="40" t="s">
        <v>433</v>
      </c>
      <c r="F2740" s="40" t="s">
        <v>434</v>
      </c>
      <c r="G2740" s="40" t="s">
        <v>435</v>
      </c>
      <c r="H2740" s="40" t="s">
        <v>436</v>
      </c>
      <c r="I2740" s="40" t="s">
        <v>3149</v>
      </c>
      <c r="J2740" s="40" t="s">
        <v>3150</v>
      </c>
      <c r="K2740" s="40" t="s">
        <v>591</v>
      </c>
      <c r="L2740" s="95" t="s">
        <v>644</v>
      </c>
      <c r="M2740" s="93">
        <f>20*5</f>
        <v>100</v>
      </c>
      <c r="N2740" s="94">
        <v>250</v>
      </c>
      <c r="O2740" s="94">
        <f t="shared" si="70"/>
        <v>25000</v>
      </c>
      <c r="P2740" s="40" t="s">
        <v>3139</v>
      </c>
      <c r="Q2740" s="40" t="s">
        <v>766</v>
      </c>
      <c r="R2740" s="84">
        <v>551010000</v>
      </c>
      <c r="S2740" s="40">
        <v>0</v>
      </c>
    </row>
    <row r="2741" spans="1:19" s="92" customFormat="1" ht="51">
      <c r="A2741" s="5">
        <v>2726</v>
      </c>
      <c r="B2741" s="15" t="s">
        <v>710</v>
      </c>
      <c r="C2741" s="40" t="s">
        <v>2433</v>
      </c>
      <c r="D2741" s="40" t="s">
        <v>447</v>
      </c>
      <c r="E2741" s="40" t="s">
        <v>24</v>
      </c>
      <c r="F2741" s="40" t="s">
        <v>24</v>
      </c>
      <c r="G2741" s="40" t="s">
        <v>3215</v>
      </c>
      <c r="H2741" s="40" t="s">
        <v>448</v>
      </c>
      <c r="I2741" s="40" t="s">
        <v>3151</v>
      </c>
      <c r="J2741" s="40" t="s">
        <v>3152</v>
      </c>
      <c r="K2741" s="40" t="s">
        <v>591</v>
      </c>
      <c r="L2741" s="95" t="s">
        <v>644</v>
      </c>
      <c r="M2741" s="93">
        <f>20*3</f>
        <v>60</v>
      </c>
      <c r="N2741" s="94">
        <v>250</v>
      </c>
      <c r="O2741" s="94">
        <f t="shared" si="70"/>
        <v>15000</v>
      </c>
      <c r="P2741" s="40" t="s">
        <v>3139</v>
      </c>
      <c r="Q2741" s="40" t="s">
        <v>766</v>
      </c>
      <c r="R2741" s="84">
        <v>551010000</v>
      </c>
      <c r="S2741" s="40">
        <v>0</v>
      </c>
    </row>
    <row r="2742" spans="1:19" s="92" customFormat="1" ht="51">
      <c r="A2742" s="5">
        <v>2727</v>
      </c>
      <c r="B2742" s="15" t="s">
        <v>710</v>
      </c>
      <c r="C2742" s="40" t="s">
        <v>2433</v>
      </c>
      <c r="D2742" s="40" t="s">
        <v>449</v>
      </c>
      <c r="E2742" s="40" t="s">
        <v>450</v>
      </c>
      <c r="F2742" s="40" t="s">
        <v>450</v>
      </c>
      <c r="G2742" s="40" t="s">
        <v>3216</v>
      </c>
      <c r="H2742" s="40" t="s">
        <v>451</v>
      </c>
      <c r="I2742" s="40" t="s">
        <v>3153</v>
      </c>
      <c r="J2742" s="40" t="s">
        <v>3154</v>
      </c>
      <c r="K2742" s="40" t="s">
        <v>591</v>
      </c>
      <c r="L2742" s="95" t="s">
        <v>480</v>
      </c>
      <c r="M2742" s="93">
        <v>54</v>
      </c>
      <c r="N2742" s="94">
        <v>250</v>
      </c>
      <c r="O2742" s="94">
        <f t="shared" si="70"/>
        <v>13500</v>
      </c>
      <c r="P2742" s="40" t="s">
        <v>3139</v>
      </c>
      <c r="Q2742" s="40" t="s">
        <v>766</v>
      </c>
      <c r="R2742" s="84">
        <v>551010000</v>
      </c>
      <c r="S2742" s="40">
        <v>0</v>
      </c>
    </row>
    <row r="2743" spans="1:19" s="92" customFormat="1" ht="51">
      <c r="A2743" s="5">
        <v>2728</v>
      </c>
      <c r="B2743" s="15" t="s">
        <v>710</v>
      </c>
      <c r="C2743" s="40" t="s">
        <v>2433</v>
      </c>
      <c r="D2743" s="40" t="s">
        <v>3155</v>
      </c>
      <c r="E2743" s="40" t="s">
        <v>3156</v>
      </c>
      <c r="F2743" s="40" t="s">
        <v>3157</v>
      </c>
      <c r="G2743" s="40" t="s">
        <v>3217</v>
      </c>
      <c r="H2743" s="40" t="s">
        <v>3218</v>
      </c>
      <c r="I2743" s="40" t="s">
        <v>3158</v>
      </c>
      <c r="J2743" s="40" t="s">
        <v>3159</v>
      </c>
      <c r="K2743" s="40" t="s">
        <v>591</v>
      </c>
      <c r="L2743" s="95" t="s">
        <v>644</v>
      </c>
      <c r="M2743" s="93">
        <v>54</v>
      </c>
      <c r="N2743" s="94">
        <v>150</v>
      </c>
      <c r="O2743" s="94">
        <f t="shared" si="70"/>
        <v>8100</v>
      </c>
      <c r="P2743" s="40" t="s">
        <v>3139</v>
      </c>
      <c r="Q2743" s="40" t="s">
        <v>766</v>
      </c>
      <c r="R2743" s="84">
        <v>551010000</v>
      </c>
      <c r="S2743" s="40">
        <v>0</v>
      </c>
    </row>
    <row r="2744" spans="1:19" s="92" customFormat="1" ht="51">
      <c r="A2744" s="5">
        <v>2729</v>
      </c>
      <c r="B2744" s="15" t="s">
        <v>710</v>
      </c>
      <c r="C2744" s="40" t="s">
        <v>2433</v>
      </c>
      <c r="D2744" s="40" t="s">
        <v>437</v>
      </c>
      <c r="E2744" s="40" t="s">
        <v>20</v>
      </c>
      <c r="F2744" s="40" t="s">
        <v>20</v>
      </c>
      <c r="G2744" s="40" t="s">
        <v>438</v>
      </c>
      <c r="H2744" s="40" t="s">
        <v>439</v>
      </c>
      <c r="I2744" s="40" t="s">
        <v>3160</v>
      </c>
      <c r="J2744" s="40" t="s">
        <v>3161</v>
      </c>
      <c r="K2744" s="40" t="s">
        <v>591</v>
      </c>
      <c r="L2744" s="95" t="s">
        <v>644</v>
      </c>
      <c r="M2744" s="93">
        <f>20*5</f>
        <v>100</v>
      </c>
      <c r="N2744" s="94">
        <v>100</v>
      </c>
      <c r="O2744" s="94">
        <f t="shared" si="70"/>
        <v>10000</v>
      </c>
      <c r="P2744" s="40" t="s">
        <v>3139</v>
      </c>
      <c r="Q2744" s="40" t="s">
        <v>766</v>
      </c>
      <c r="R2744" s="84">
        <v>551010000</v>
      </c>
      <c r="S2744" s="40">
        <v>0</v>
      </c>
    </row>
    <row r="2745" spans="1:19" s="92" customFormat="1" ht="51">
      <c r="A2745" s="5">
        <v>2730</v>
      </c>
      <c r="B2745" s="15" t="s">
        <v>710</v>
      </c>
      <c r="C2745" s="40" t="s">
        <v>2433</v>
      </c>
      <c r="D2745" s="40" t="s">
        <v>3162</v>
      </c>
      <c r="E2745" s="40" t="s">
        <v>3163</v>
      </c>
      <c r="F2745" s="40" t="s">
        <v>3164</v>
      </c>
      <c r="G2745" s="31" t="s">
        <v>3219</v>
      </c>
      <c r="H2745" s="40" t="s">
        <v>3220</v>
      </c>
      <c r="I2745" s="40" t="s">
        <v>3165</v>
      </c>
      <c r="J2745" s="40" t="s">
        <v>3166</v>
      </c>
      <c r="K2745" s="40" t="s">
        <v>591</v>
      </c>
      <c r="L2745" s="95" t="s">
        <v>480</v>
      </c>
      <c r="M2745" s="93">
        <f>20*5</f>
        <v>100</v>
      </c>
      <c r="N2745" s="94">
        <v>500</v>
      </c>
      <c r="O2745" s="94">
        <f t="shared" si="70"/>
        <v>50000</v>
      </c>
      <c r="P2745" s="40" t="s">
        <v>3139</v>
      </c>
      <c r="Q2745" s="40" t="s">
        <v>766</v>
      </c>
      <c r="R2745" s="84">
        <v>551010000</v>
      </c>
      <c r="S2745" s="40">
        <v>0</v>
      </c>
    </row>
    <row r="2746" spans="1:19" s="92" customFormat="1" ht="51">
      <c r="A2746" s="5">
        <v>2731</v>
      </c>
      <c r="B2746" s="15" t="s">
        <v>710</v>
      </c>
      <c r="C2746" s="40" t="s">
        <v>2433</v>
      </c>
      <c r="D2746" s="40" t="s">
        <v>440</v>
      </c>
      <c r="E2746" s="40" t="s">
        <v>21</v>
      </c>
      <c r="F2746" s="40" t="s">
        <v>21</v>
      </c>
      <c r="G2746" s="31" t="s">
        <v>441</v>
      </c>
      <c r="H2746" s="40" t="s">
        <v>442</v>
      </c>
      <c r="I2746" s="40" t="s">
        <v>3167</v>
      </c>
      <c r="J2746" s="40" t="s">
        <v>3168</v>
      </c>
      <c r="K2746" s="40" t="s">
        <v>591</v>
      </c>
      <c r="L2746" s="95" t="s">
        <v>644</v>
      </c>
      <c r="M2746" s="93">
        <f t="shared" ref="M2746:M2751" si="71">20*1</f>
        <v>20</v>
      </c>
      <c r="N2746" s="94">
        <v>1500</v>
      </c>
      <c r="O2746" s="94">
        <f t="shared" si="70"/>
        <v>30000</v>
      </c>
      <c r="P2746" s="40" t="s">
        <v>3139</v>
      </c>
      <c r="Q2746" s="40" t="s">
        <v>766</v>
      </c>
      <c r="R2746" s="84">
        <v>551010000</v>
      </c>
      <c r="S2746" s="40">
        <v>0</v>
      </c>
    </row>
    <row r="2747" spans="1:19" s="92" customFormat="1" ht="127.5">
      <c r="A2747" s="5">
        <v>2732</v>
      </c>
      <c r="B2747" s="15" t="s">
        <v>710</v>
      </c>
      <c r="C2747" s="40" t="s">
        <v>2433</v>
      </c>
      <c r="D2747" s="40" t="s">
        <v>470</v>
      </c>
      <c r="E2747" s="40" t="s">
        <v>27</v>
      </c>
      <c r="F2747" s="40" t="s">
        <v>27</v>
      </c>
      <c r="G2747" s="31" t="s">
        <v>471</v>
      </c>
      <c r="H2747" s="40" t="s">
        <v>472</v>
      </c>
      <c r="I2747" s="40" t="s">
        <v>3169</v>
      </c>
      <c r="J2747" s="40" t="s">
        <v>3170</v>
      </c>
      <c r="K2747" s="40" t="s">
        <v>591</v>
      </c>
      <c r="L2747" s="95" t="s">
        <v>644</v>
      </c>
      <c r="M2747" s="93">
        <f t="shared" si="71"/>
        <v>20</v>
      </c>
      <c r="N2747" s="94">
        <v>3500</v>
      </c>
      <c r="O2747" s="94">
        <f t="shared" si="70"/>
        <v>70000</v>
      </c>
      <c r="P2747" s="40" t="s">
        <v>3139</v>
      </c>
      <c r="Q2747" s="40" t="s">
        <v>766</v>
      </c>
      <c r="R2747" s="84">
        <v>551010000</v>
      </c>
      <c r="S2747" s="40">
        <v>0</v>
      </c>
    </row>
    <row r="2748" spans="1:19" s="92" customFormat="1" ht="76.5">
      <c r="A2748" s="5">
        <v>2733</v>
      </c>
      <c r="B2748" s="15" t="s">
        <v>710</v>
      </c>
      <c r="C2748" s="40" t="s">
        <v>2433</v>
      </c>
      <c r="D2748" s="40" t="s">
        <v>3171</v>
      </c>
      <c r="E2748" s="40" t="s">
        <v>3172</v>
      </c>
      <c r="F2748" s="40" t="s">
        <v>3172</v>
      </c>
      <c r="G2748" s="40" t="s">
        <v>3173</v>
      </c>
      <c r="H2748" s="40" t="s">
        <v>3174</v>
      </c>
      <c r="I2748" s="40" t="s">
        <v>3175</v>
      </c>
      <c r="J2748" s="40" t="s">
        <v>3176</v>
      </c>
      <c r="K2748" s="40" t="s">
        <v>591</v>
      </c>
      <c r="L2748" s="95" t="s">
        <v>644</v>
      </c>
      <c r="M2748" s="93">
        <f t="shared" si="71"/>
        <v>20</v>
      </c>
      <c r="N2748" s="94">
        <v>150</v>
      </c>
      <c r="O2748" s="94">
        <f t="shared" si="70"/>
        <v>3000</v>
      </c>
      <c r="P2748" s="40" t="s">
        <v>3139</v>
      </c>
      <c r="Q2748" s="40" t="s">
        <v>766</v>
      </c>
      <c r="R2748" s="84">
        <v>551010000</v>
      </c>
      <c r="S2748" s="40">
        <v>0</v>
      </c>
    </row>
    <row r="2749" spans="1:19" s="92" customFormat="1" ht="51">
      <c r="A2749" s="5">
        <v>2734</v>
      </c>
      <c r="B2749" s="15" t="s">
        <v>710</v>
      </c>
      <c r="C2749" s="40" t="s">
        <v>2433</v>
      </c>
      <c r="D2749" s="40" t="s">
        <v>457</v>
      </c>
      <c r="E2749" s="40" t="s">
        <v>17</v>
      </c>
      <c r="F2749" s="40" t="s">
        <v>17</v>
      </c>
      <c r="G2749" s="40" t="s">
        <v>3177</v>
      </c>
      <c r="H2749" s="40" t="s">
        <v>458</v>
      </c>
      <c r="I2749" s="40" t="s">
        <v>3178</v>
      </c>
      <c r="J2749" s="40" t="s">
        <v>3179</v>
      </c>
      <c r="K2749" s="40" t="s">
        <v>591</v>
      </c>
      <c r="L2749" s="95" t="s">
        <v>644</v>
      </c>
      <c r="M2749" s="93">
        <f t="shared" si="71"/>
        <v>20</v>
      </c>
      <c r="N2749" s="94">
        <v>600</v>
      </c>
      <c r="O2749" s="94">
        <f t="shared" si="70"/>
        <v>12000</v>
      </c>
      <c r="P2749" s="40" t="s">
        <v>3139</v>
      </c>
      <c r="Q2749" s="40" t="s">
        <v>766</v>
      </c>
      <c r="R2749" s="84">
        <v>551010000</v>
      </c>
      <c r="S2749" s="40">
        <v>0</v>
      </c>
    </row>
    <row r="2750" spans="1:19" s="92" customFormat="1" ht="51">
      <c r="A2750" s="5">
        <v>2735</v>
      </c>
      <c r="B2750" s="15" t="s">
        <v>710</v>
      </c>
      <c r="C2750" s="40" t="s">
        <v>2433</v>
      </c>
      <c r="D2750" s="40" t="s">
        <v>457</v>
      </c>
      <c r="E2750" s="40" t="s">
        <v>17</v>
      </c>
      <c r="F2750" s="40" t="s">
        <v>17</v>
      </c>
      <c r="G2750" s="40" t="s">
        <v>3177</v>
      </c>
      <c r="H2750" s="40" t="s">
        <v>458</v>
      </c>
      <c r="I2750" s="40" t="s">
        <v>3180</v>
      </c>
      <c r="J2750" s="40" t="s">
        <v>3181</v>
      </c>
      <c r="K2750" s="40" t="s">
        <v>591</v>
      </c>
      <c r="L2750" s="95" t="s">
        <v>644</v>
      </c>
      <c r="M2750" s="93">
        <f t="shared" si="71"/>
        <v>20</v>
      </c>
      <c r="N2750" s="94">
        <v>800</v>
      </c>
      <c r="O2750" s="94">
        <f t="shared" si="70"/>
        <v>16000</v>
      </c>
      <c r="P2750" s="40" t="s">
        <v>3139</v>
      </c>
      <c r="Q2750" s="40" t="s">
        <v>766</v>
      </c>
      <c r="R2750" s="84">
        <v>551010000</v>
      </c>
      <c r="S2750" s="40">
        <v>0</v>
      </c>
    </row>
    <row r="2751" spans="1:19" s="92" customFormat="1" ht="51">
      <c r="A2751" s="5">
        <v>2736</v>
      </c>
      <c r="B2751" s="15" t="s">
        <v>710</v>
      </c>
      <c r="C2751" s="40" t="s">
        <v>2433</v>
      </c>
      <c r="D2751" s="40" t="s">
        <v>476</v>
      </c>
      <c r="E2751" s="40" t="s">
        <v>477</v>
      </c>
      <c r="F2751" s="40" t="s">
        <v>28</v>
      </c>
      <c r="G2751" s="40" t="s">
        <v>478</v>
      </c>
      <c r="H2751" s="40" t="s">
        <v>479</v>
      </c>
      <c r="I2751" s="40" t="s">
        <v>3182</v>
      </c>
      <c r="J2751" s="40" t="s">
        <v>3183</v>
      </c>
      <c r="K2751" s="40" t="s">
        <v>591</v>
      </c>
      <c r="L2751" s="95" t="s">
        <v>644</v>
      </c>
      <c r="M2751" s="93">
        <f t="shared" si="71"/>
        <v>20</v>
      </c>
      <c r="N2751" s="94">
        <v>1500</v>
      </c>
      <c r="O2751" s="94">
        <f t="shared" si="70"/>
        <v>30000</v>
      </c>
      <c r="P2751" s="40" t="s">
        <v>3139</v>
      </c>
      <c r="Q2751" s="40" t="s">
        <v>766</v>
      </c>
      <c r="R2751" s="84">
        <v>551010000</v>
      </c>
      <c r="S2751" s="40">
        <v>0</v>
      </c>
    </row>
    <row r="2752" spans="1:19" s="92" customFormat="1" ht="51">
      <c r="A2752" s="5">
        <v>2737</v>
      </c>
      <c r="B2752" s="15" t="s">
        <v>710</v>
      </c>
      <c r="C2752" s="40" t="s">
        <v>2433</v>
      </c>
      <c r="D2752" s="40" t="s">
        <v>468</v>
      </c>
      <c r="E2752" s="40" t="s">
        <v>3184</v>
      </c>
      <c r="F2752" s="40" t="s">
        <v>26</v>
      </c>
      <c r="G2752" s="40" t="s">
        <v>3185</v>
      </c>
      <c r="H2752" s="40" t="s">
        <v>469</v>
      </c>
      <c r="I2752" s="40" t="s">
        <v>3186</v>
      </c>
      <c r="J2752" s="40" t="s">
        <v>3187</v>
      </c>
      <c r="K2752" s="40" t="s">
        <v>591</v>
      </c>
      <c r="L2752" s="95" t="s">
        <v>644</v>
      </c>
      <c r="M2752" s="93">
        <f>20*5</f>
        <v>100</v>
      </c>
      <c r="N2752" s="94">
        <v>250</v>
      </c>
      <c r="O2752" s="94">
        <f t="shared" si="70"/>
        <v>25000</v>
      </c>
      <c r="P2752" s="40" t="s">
        <v>3139</v>
      </c>
      <c r="Q2752" s="40" t="s">
        <v>766</v>
      </c>
      <c r="R2752" s="84">
        <v>551010000</v>
      </c>
      <c r="S2752" s="40">
        <v>0</v>
      </c>
    </row>
    <row r="2753" spans="1:19" s="92" customFormat="1" ht="51">
      <c r="A2753" s="5">
        <v>2738</v>
      </c>
      <c r="B2753" s="15" t="s">
        <v>710</v>
      </c>
      <c r="C2753" s="40" t="s">
        <v>2433</v>
      </c>
      <c r="D2753" s="40" t="s">
        <v>443</v>
      </c>
      <c r="E2753" s="40" t="s">
        <v>444</v>
      </c>
      <c r="F2753" s="40" t="s">
        <v>444</v>
      </c>
      <c r="G2753" s="40" t="s">
        <v>445</v>
      </c>
      <c r="H2753" s="40" t="s">
        <v>446</v>
      </c>
      <c r="I2753" s="40" t="s">
        <v>3188</v>
      </c>
      <c r="J2753" s="40" t="s">
        <v>3189</v>
      </c>
      <c r="K2753" s="40" t="s">
        <v>591</v>
      </c>
      <c r="L2753" s="95" t="s">
        <v>644</v>
      </c>
      <c r="M2753" s="93">
        <f>20*5</f>
        <v>100</v>
      </c>
      <c r="N2753" s="94">
        <v>500</v>
      </c>
      <c r="O2753" s="94">
        <f t="shared" si="70"/>
        <v>50000</v>
      </c>
      <c r="P2753" s="40" t="s">
        <v>3139</v>
      </c>
      <c r="Q2753" s="40" t="s">
        <v>766</v>
      </c>
      <c r="R2753" s="84">
        <v>551010000</v>
      </c>
      <c r="S2753" s="40">
        <v>0</v>
      </c>
    </row>
    <row r="2754" spans="1:19" s="92" customFormat="1" ht="51">
      <c r="A2754" s="5">
        <v>2739</v>
      </c>
      <c r="B2754" s="15" t="s">
        <v>710</v>
      </c>
      <c r="C2754" s="40" t="s">
        <v>711</v>
      </c>
      <c r="D2754" s="40" t="s">
        <v>3190</v>
      </c>
      <c r="E2754" s="31" t="s">
        <v>3191</v>
      </c>
      <c r="F2754" s="31" t="s">
        <v>3192</v>
      </c>
      <c r="G2754" s="40" t="s">
        <v>3264</v>
      </c>
      <c r="H2754" s="40" t="s">
        <v>3264</v>
      </c>
      <c r="I2754" s="31" t="s">
        <v>3193</v>
      </c>
      <c r="J2754" s="31" t="s">
        <v>3194</v>
      </c>
      <c r="K2754" s="40" t="s">
        <v>591</v>
      </c>
      <c r="L2754" s="95" t="s">
        <v>644</v>
      </c>
      <c r="M2754" s="93">
        <f>20*1</f>
        <v>20</v>
      </c>
      <c r="N2754" s="94">
        <v>1200</v>
      </c>
      <c r="O2754" s="94">
        <f t="shared" si="70"/>
        <v>24000</v>
      </c>
      <c r="P2754" s="40" t="s">
        <v>3139</v>
      </c>
      <c r="Q2754" s="40" t="s">
        <v>766</v>
      </c>
      <c r="R2754" s="84">
        <v>551010000</v>
      </c>
      <c r="S2754" s="40">
        <v>0</v>
      </c>
    </row>
    <row r="2755" spans="1:19" s="92" customFormat="1" ht="89.25">
      <c r="A2755" s="5">
        <v>2740</v>
      </c>
      <c r="B2755" s="15" t="s">
        <v>710</v>
      </c>
      <c r="C2755" s="40" t="s">
        <v>597</v>
      </c>
      <c r="D2755" s="40" t="s">
        <v>598</v>
      </c>
      <c r="E2755" s="31" t="s">
        <v>599</v>
      </c>
      <c r="F2755" s="31" t="s">
        <v>782</v>
      </c>
      <c r="G2755" s="31" t="s">
        <v>3195</v>
      </c>
      <c r="H2755" s="40" t="s">
        <v>602</v>
      </c>
      <c r="I2755" s="40" t="s">
        <v>3196</v>
      </c>
      <c r="J2755" s="40" t="s">
        <v>3197</v>
      </c>
      <c r="K2755" s="40" t="s">
        <v>591</v>
      </c>
      <c r="L2755" s="11" t="s">
        <v>914</v>
      </c>
      <c r="M2755" s="93">
        <v>1</v>
      </c>
      <c r="N2755" s="94">
        <v>624400</v>
      </c>
      <c r="O2755" s="94">
        <v>624400</v>
      </c>
      <c r="P2755" s="40" t="s">
        <v>502</v>
      </c>
      <c r="Q2755" s="40" t="s">
        <v>766</v>
      </c>
      <c r="R2755" s="84">
        <v>553230100</v>
      </c>
      <c r="S2755" s="40">
        <v>0</v>
      </c>
    </row>
    <row r="2756" spans="1:19" s="92" customFormat="1" ht="89.25">
      <c r="A2756" s="5">
        <v>2741</v>
      </c>
      <c r="B2756" s="15" t="s">
        <v>710</v>
      </c>
      <c r="C2756" s="40" t="s">
        <v>597</v>
      </c>
      <c r="D2756" s="40" t="s">
        <v>598</v>
      </c>
      <c r="E2756" s="31" t="s">
        <v>599</v>
      </c>
      <c r="F2756" s="31" t="s">
        <v>782</v>
      </c>
      <c r="G2756" s="31" t="s">
        <v>3195</v>
      </c>
      <c r="H2756" s="40" t="s">
        <v>602</v>
      </c>
      <c r="I2756" s="40" t="s">
        <v>3196</v>
      </c>
      <c r="J2756" s="40" t="s">
        <v>3197</v>
      </c>
      <c r="K2756" s="40" t="s">
        <v>591</v>
      </c>
      <c r="L2756" s="11" t="s">
        <v>914</v>
      </c>
      <c r="M2756" s="93">
        <v>1</v>
      </c>
      <c r="N2756" s="94">
        <v>624400</v>
      </c>
      <c r="O2756" s="94">
        <v>624400</v>
      </c>
      <c r="P2756" s="40" t="s">
        <v>502</v>
      </c>
      <c r="Q2756" s="40" t="s">
        <v>766</v>
      </c>
      <c r="R2756" s="84">
        <v>553230100</v>
      </c>
      <c r="S2756" s="40">
        <v>0</v>
      </c>
    </row>
    <row r="2757" spans="1:19" s="92" customFormat="1" ht="51">
      <c r="A2757" s="5">
        <v>2742</v>
      </c>
      <c r="B2757" s="15" t="s">
        <v>710</v>
      </c>
      <c r="C2757" s="40" t="s">
        <v>597</v>
      </c>
      <c r="D2757" s="11" t="s">
        <v>850</v>
      </c>
      <c r="E2757" s="76" t="s">
        <v>1736</v>
      </c>
      <c r="F2757" s="76" t="s">
        <v>851</v>
      </c>
      <c r="G2757" s="76" t="s">
        <v>1737</v>
      </c>
      <c r="H2757" s="76" t="s">
        <v>852</v>
      </c>
      <c r="I2757" s="76" t="s">
        <v>3199</v>
      </c>
      <c r="J2757" s="76" t="s">
        <v>3200</v>
      </c>
      <c r="K2757" s="40" t="s">
        <v>591</v>
      </c>
      <c r="L2757" s="11" t="s">
        <v>914</v>
      </c>
      <c r="M2757" s="97">
        <v>1</v>
      </c>
      <c r="N2757" s="94">
        <f>10000*5</f>
        <v>50000</v>
      </c>
      <c r="O2757" s="94">
        <f>N2757</f>
        <v>50000</v>
      </c>
      <c r="P2757" s="40" t="s">
        <v>698</v>
      </c>
      <c r="Q2757" s="40" t="s">
        <v>766</v>
      </c>
      <c r="R2757" s="84">
        <v>553230100</v>
      </c>
      <c r="S2757" s="40">
        <v>0</v>
      </c>
    </row>
    <row r="2758" spans="1:19" s="92" customFormat="1" ht="51">
      <c r="A2758" s="5">
        <v>2743</v>
      </c>
      <c r="B2758" s="15" t="s">
        <v>710</v>
      </c>
      <c r="C2758" s="40" t="s">
        <v>597</v>
      </c>
      <c r="D2758" s="40" t="s">
        <v>2594</v>
      </c>
      <c r="E2758" s="31" t="s">
        <v>2618</v>
      </c>
      <c r="F2758" s="31" t="s">
        <v>2595</v>
      </c>
      <c r="G2758" s="31" t="s">
        <v>2618</v>
      </c>
      <c r="H2758" s="40" t="s">
        <v>2595</v>
      </c>
      <c r="I2758" s="40" t="s">
        <v>3201</v>
      </c>
      <c r="J2758" s="40" t="s">
        <v>3202</v>
      </c>
      <c r="K2758" s="40" t="s">
        <v>591</v>
      </c>
      <c r="L2758" s="11" t="s">
        <v>914</v>
      </c>
      <c r="M2758" s="93">
        <v>1</v>
      </c>
      <c r="N2758" s="94">
        <f>10500*3</f>
        <v>31500</v>
      </c>
      <c r="O2758" s="94">
        <f>N2758</f>
        <v>31500</v>
      </c>
      <c r="P2758" s="40" t="s">
        <v>3116</v>
      </c>
      <c r="Q2758" s="40" t="s">
        <v>766</v>
      </c>
      <c r="R2758" s="84">
        <v>553230100</v>
      </c>
      <c r="S2758" s="40">
        <v>30</v>
      </c>
    </row>
    <row r="2759" spans="1:19" s="92" customFormat="1" ht="89.25">
      <c r="A2759" s="5">
        <v>2744</v>
      </c>
      <c r="B2759" s="15" t="s">
        <v>710</v>
      </c>
      <c r="C2759" s="40" t="s">
        <v>711</v>
      </c>
      <c r="D2759" s="40" t="s">
        <v>976</v>
      </c>
      <c r="E2759" s="31" t="s">
        <v>730</v>
      </c>
      <c r="F2759" s="31" t="s">
        <v>731</v>
      </c>
      <c r="G2759" s="31" t="s">
        <v>977</v>
      </c>
      <c r="H2759" s="40" t="s">
        <v>978</v>
      </c>
      <c r="I2759" s="40" t="s">
        <v>3203</v>
      </c>
      <c r="J2759" s="40" t="s">
        <v>3204</v>
      </c>
      <c r="K2759" s="40" t="s">
        <v>591</v>
      </c>
      <c r="L2759" s="40" t="s">
        <v>644</v>
      </c>
      <c r="M2759" s="93">
        <v>2</v>
      </c>
      <c r="N2759" s="94">
        <v>26800</v>
      </c>
      <c r="O2759" s="94">
        <f>N2759*M2759</f>
        <v>53600</v>
      </c>
      <c r="P2759" s="40" t="s">
        <v>3116</v>
      </c>
      <c r="Q2759" s="40" t="s">
        <v>1051</v>
      </c>
      <c r="R2759" s="84">
        <v>553230100</v>
      </c>
      <c r="S2759" s="40">
        <v>100</v>
      </c>
    </row>
    <row r="2760" spans="1:19" s="92" customFormat="1" ht="63.75">
      <c r="A2760" s="5">
        <v>2745</v>
      </c>
      <c r="B2760" s="15" t="s">
        <v>710</v>
      </c>
      <c r="C2760" s="40" t="s">
        <v>711</v>
      </c>
      <c r="D2760" s="40" t="s">
        <v>744</v>
      </c>
      <c r="E2760" s="31" t="s">
        <v>745</v>
      </c>
      <c r="F2760" s="31" t="s">
        <v>109</v>
      </c>
      <c r="G2760" s="31" t="s">
        <v>746</v>
      </c>
      <c r="H2760" s="40" t="s">
        <v>3205</v>
      </c>
      <c r="I2760" s="40" t="s">
        <v>3206</v>
      </c>
      <c r="J2760" s="40" t="s">
        <v>3207</v>
      </c>
      <c r="K2760" s="40" t="s">
        <v>591</v>
      </c>
      <c r="L2760" s="40" t="s">
        <v>644</v>
      </c>
      <c r="M2760" s="93">
        <v>6</v>
      </c>
      <c r="N2760" s="94">
        <v>4000</v>
      </c>
      <c r="O2760" s="94">
        <f>M2760*N2760</f>
        <v>24000</v>
      </c>
      <c r="P2760" s="40" t="s">
        <v>3116</v>
      </c>
      <c r="Q2760" s="40" t="s">
        <v>1051</v>
      </c>
      <c r="R2760" s="84">
        <v>553230100</v>
      </c>
      <c r="S2760" s="40">
        <v>100</v>
      </c>
    </row>
    <row r="2761" spans="1:19" s="92" customFormat="1" ht="51">
      <c r="A2761" s="5">
        <v>2746</v>
      </c>
      <c r="B2761" s="15" t="s">
        <v>710</v>
      </c>
      <c r="C2761" s="40" t="s">
        <v>711</v>
      </c>
      <c r="D2761" s="98" t="s">
        <v>422</v>
      </c>
      <c r="E2761" s="76" t="s">
        <v>423</v>
      </c>
      <c r="F2761" s="76" t="s">
        <v>427</v>
      </c>
      <c r="G2761" s="76" t="s">
        <v>837</v>
      </c>
      <c r="H2761" s="76" t="s">
        <v>425</v>
      </c>
      <c r="I2761" s="76" t="s">
        <v>3208</v>
      </c>
      <c r="J2761" s="76" t="s">
        <v>3209</v>
      </c>
      <c r="K2761" s="76" t="s">
        <v>591</v>
      </c>
      <c r="L2761" s="11" t="s">
        <v>909</v>
      </c>
      <c r="M2761" s="53">
        <v>18</v>
      </c>
      <c r="N2761" s="94">
        <v>640</v>
      </c>
      <c r="O2761" s="94">
        <f>N2761*M2761</f>
        <v>11520</v>
      </c>
      <c r="P2761" s="40" t="s">
        <v>3116</v>
      </c>
      <c r="Q2761" s="40" t="s">
        <v>766</v>
      </c>
      <c r="R2761" s="84">
        <v>553230100</v>
      </c>
      <c r="S2761" s="40">
        <v>100</v>
      </c>
    </row>
    <row r="2762" spans="1:19" s="92" customFormat="1" ht="76.5">
      <c r="A2762" s="5">
        <v>2747</v>
      </c>
      <c r="B2762" s="15" t="s">
        <v>710</v>
      </c>
      <c r="C2762" s="40" t="s">
        <v>711</v>
      </c>
      <c r="D2762" s="40" t="s">
        <v>723</v>
      </c>
      <c r="E2762" s="31" t="s">
        <v>874</v>
      </c>
      <c r="F2762" s="31" t="s">
        <v>874</v>
      </c>
      <c r="G2762" s="31" t="s">
        <v>875</v>
      </c>
      <c r="H2762" s="40" t="s">
        <v>876</v>
      </c>
      <c r="I2762" s="40" t="s">
        <v>3210</v>
      </c>
      <c r="J2762" s="40" t="s">
        <v>3211</v>
      </c>
      <c r="K2762" s="40" t="s">
        <v>591</v>
      </c>
      <c r="L2762" s="40" t="s">
        <v>644</v>
      </c>
      <c r="M2762" s="93">
        <v>1</v>
      </c>
      <c r="N2762" s="94">
        <v>30000</v>
      </c>
      <c r="O2762" s="94">
        <f>N2762*M2762</f>
        <v>30000</v>
      </c>
      <c r="P2762" s="40" t="s">
        <v>3116</v>
      </c>
      <c r="Q2762" s="40" t="s">
        <v>1051</v>
      </c>
      <c r="R2762" s="84">
        <v>553230100</v>
      </c>
      <c r="S2762" s="40">
        <v>100</v>
      </c>
    </row>
    <row r="2763" spans="1:19" s="92" customFormat="1" ht="89.25">
      <c r="A2763" s="5">
        <v>2748</v>
      </c>
      <c r="B2763" s="15" t="s">
        <v>710</v>
      </c>
      <c r="C2763" s="40" t="s">
        <v>597</v>
      </c>
      <c r="D2763" s="40" t="s">
        <v>598</v>
      </c>
      <c r="E2763" s="31" t="s">
        <v>599</v>
      </c>
      <c r="F2763" s="31" t="s">
        <v>782</v>
      </c>
      <c r="G2763" s="31" t="s">
        <v>3195</v>
      </c>
      <c r="H2763" s="40" t="s">
        <v>602</v>
      </c>
      <c r="I2763" s="40" t="s">
        <v>3196</v>
      </c>
      <c r="J2763" s="40" t="s">
        <v>3197</v>
      </c>
      <c r="K2763" s="40" t="s">
        <v>591</v>
      </c>
      <c r="L2763" s="11" t="s">
        <v>914</v>
      </c>
      <c r="M2763" s="93">
        <v>1</v>
      </c>
      <c r="N2763" s="94">
        <v>624400</v>
      </c>
      <c r="O2763" s="94">
        <v>624400</v>
      </c>
      <c r="P2763" s="40" t="s">
        <v>502</v>
      </c>
      <c r="Q2763" s="40" t="s">
        <v>766</v>
      </c>
      <c r="R2763" s="84">
        <v>553630100</v>
      </c>
      <c r="S2763" s="40">
        <v>0</v>
      </c>
    </row>
    <row r="2764" spans="1:19" s="92" customFormat="1" ht="89.25">
      <c r="A2764" s="5">
        <v>2749</v>
      </c>
      <c r="B2764" s="15" t="s">
        <v>710</v>
      </c>
      <c r="C2764" s="40" t="s">
        <v>597</v>
      </c>
      <c r="D2764" s="40" t="s">
        <v>598</v>
      </c>
      <c r="E2764" s="31" t="s">
        <v>599</v>
      </c>
      <c r="F2764" s="31" t="s">
        <v>782</v>
      </c>
      <c r="G2764" s="31" t="s">
        <v>3195</v>
      </c>
      <c r="H2764" s="40" t="s">
        <v>602</v>
      </c>
      <c r="I2764" s="40" t="s">
        <v>3196</v>
      </c>
      <c r="J2764" s="40" t="s">
        <v>3197</v>
      </c>
      <c r="K2764" s="40" t="s">
        <v>591</v>
      </c>
      <c r="L2764" s="11" t="s">
        <v>914</v>
      </c>
      <c r="M2764" s="93">
        <v>1</v>
      </c>
      <c r="N2764" s="94">
        <v>624400</v>
      </c>
      <c r="O2764" s="94">
        <v>624400</v>
      </c>
      <c r="P2764" s="40" t="s">
        <v>502</v>
      </c>
      <c r="Q2764" s="40" t="s">
        <v>766</v>
      </c>
      <c r="R2764" s="84">
        <v>553630100</v>
      </c>
      <c r="S2764" s="40">
        <v>0</v>
      </c>
    </row>
    <row r="2765" spans="1:19" s="92" customFormat="1" ht="51">
      <c r="A2765" s="5">
        <v>2750</v>
      </c>
      <c r="B2765" s="15" t="s">
        <v>710</v>
      </c>
      <c r="C2765" s="40" t="s">
        <v>597</v>
      </c>
      <c r="D2765" s="11" t="s">
        <v>850</v>
      </c>
      <c r="E2765" s="76" t="s">
        <v>1736</v>
      </c>
      <c r="F2765" s="76" t="s">
        <v>851</v>
      </c>
      <c r="G2765" s="76" t="s">
        <v>1737</v>
      </c>
      <c r="H2765" s="76" t="s">
        <v>852</v>
      </c>
      <c r="I2765" s="76" t="s">
        <v>3199</v>
      </c>
      <c r="J2765" s="76" t="s">
        <v>3200</v>
      </c>
      <c r="K2765" s="40" t="s">
        <v>591</v>
      </c>
      <c r="L2765" s="11" t="s">
        <v>914</v>
      </c>
      <c r="M2765" s="97">
        <v>1</v>
      </c>
      <c r="N2765" s="94">
        <f>10000*5</f>
        <v>50000</v>
      </c>
      <c r="O2765" s="94">
        <f>N2765</f>
        <v>50000</v>
      </c>
      <c r="P2765" s="40" t="s">
        <v>698</v>
      </c>
      <c r="Q2765" s="40" t="s">
        <v>766</v>
      </c>
      <c r="R2765" s="84">
        <v>553630100</v>
      </c>
      <c r="S2765" s="40">
        <v>0</v>
      </c>
    </row>
    <row r="2766" spans="1:19" s="92" customFormat="1" ht="51">
      <c r="A2766" s="5">
        <v>2751</v>
      </c>
      <c r="B2766" s="15" t="s">
        <v>710</v>
      </c>
      <c r="C2766" s="40" t="s">
        <v>597</v>
      </c>
      <c r="D2766" s="40" t="s">
        <v>2594</v>
      </c>
      <c r="E2766" s="31" t="s">
        <v>2618</v>
      </c>
      <c r="F2766" s="31" t="s">
        <v>2595</v>
      </c>
      <c r="G2766" s="31" t="s">
        <v>2618</v>
      </c>
      <c r="H2766" s="40" t="s">
        <v>2595</v>
      </c>
      <c r="I2766" s="40" t="s">
        <v>3201</v>
      </c>
      <c r="J2766" s="40" t="s">
        <v>3202</v>
      </c>
      <c r="K2766" s="40" t="s">
        <v>591</v>
      </c>
      <c r="L2766" s="11" t="s">
        <v>914</v>
      </c>
      <c r="M2766" s="93">
        <v>1</v>
      </c>
      <c r="N2766" s="94">
        <f>10500*3</f>
        <v>31500</v>
      </c>
      <c r="O2766" s="94">
        <f>N2766</f>
        <v>31500</v>
      </c>
      <c r="P2766" s="40" t="s">
        <v>3116</v>
      </c>
      <c r="Q2766" s="40" t="s">
        <v>766</v>
      </c>
      <c r="R2766" s="84">
        <v>553630100</v>
      </c>
      <c r="S2766" s="40">
        <v>30</v>
      </c>
    </row>
    <row r="2767" spans="1:19" s="92" customFormat="1" ht="89.25">
      <c r="A2767" s="5">
        <v>2752</v>
      </c>
      <c r="B2767" s="15" t="s">
        <v>710</v>
      </c>
      <c r="C2767" s="40" t="s">
        <v>711</v>
      </c>
      <c r="D2767" s="40" t="s">
        <v>976</v>
      </c>
      <c r="E2767" s="31" t="s">
        <v>730</v>
      </c>
      <c r="F2767" s="31" t="s">
        <v>731</v>
      </c>
      <c r="G2767" s="31" t="s">
        <v>977</v>
      </c>
      <c r="H2767" s="40" t="s">
        <v>978</v>
      </c>
      <c r="I2767" s="40" t="s">
        <v>3203</v>
      </c>
      <c r="J2767" s="40" t="s">
        <v>3204</v>
      </c>
      <c r="K2767" s="40" t="s">
        <v>591</v>
      </c>
      <c r="L2767" s="40" t="s">
        <v>644</v>
      </c>
      <c r="M2767" s="93">
        <v>2</v>
      </c>
      <c r="N2767" s="94">
        <v>26800</v>
      </c>
      <c r="O2767" s="94">
        <f>N2767*M2767</f>
        <v>53600</v>
      </c>
      <c r="P2767" s="40" t="s">
        <v>3116</v>
      </c>
      <c r="Q2767" s="40" t="s">
        <v>1051</v>
      </c>
      <c r="R2767" s="84">
        <v>553630100</v>
      </c>
      <c r="S2767" s="40">
        <v>100</v>
      </c>
    </row>
    <row r="2768" spans="1:19" s="92" customFormat="1" ht="63.75">
      <c r="A2768" s="5">
        <v>2753</v>
      </c>
      <c r="B2768" s="15" t="s">
        <v>710</v>
      </c>
      <c r="C2768" s="40" t="s">
        <v>711</v>
      </c>
      <c r="D2768" s="40" t="s">
        <v>744</v>
      </c>
      <c r="E2768" s="31" t="s">
        <v>745</v>
      </c>
      <c r="F2768" s="31" t="s">
        <v>109</v>
      </c>
      <c r="G2768" s="31" t="s">
        <v>746</v>
      </c>
      <c r="H2768" s="40" t="s">
        <v>3205</v>
      </c>
      <c r="I2768" s="40" t="s">
        <v>3206</v>
      </c>
      <c r="J2768" s="40" t="s">
        <v>3207</v>
      </c>
      <c r="K2768" s="40" t="s">
        <v>591</v>
      </c>
      <c r="L2768" s="40" t="s">
        <v>644</v>
      </c>
      <c r="M2768" s="93">
        <v>6</v>
      </c>
      <c r="N2768" s="94">
        <v>4000</v>
      </c>
      <c r="O2768" s="94">
        <f>M2768*N2768</f>
        <v>24000</v>
      </c>
      <c r="P2768" s="40" t="s">
        <v>3116</v>
      </c>
      <c r="Q2768" s="40" t="s">
        <v>1051</v>
      </c>
      <c r="R2768" s="84">
        <v>553630100</v>
      </c>
      <c r="S2768" s="40">
        <v>100</v>
      </c>
    </row>
    <row r="2769" spans="1:19" s="92" customFormat="1" ht="51">
      <c r="A2769" s="5">
        <v>2754</v>
      </c>
      <c r="B2769" s="15" t="s">
        <v>710</v>
      </c>
      <c r="C2769" s="40" t="s">
        <v>711</v>
      </c>
      <c r="D2769" s="98" t="s">
        <v>422</v>
      </c>
      <c r="E2769" s="76" t="s">
        <v>423</v>
      </c>
      <c r="F2769" s="76" t="s">
        <v>427</v>
      </c>
      <c r="G2769" s="76" t="s">
        <v>837</v>
      </c>
      <c r="H2769" s="76" t="s">
        <v>425</v>
      </c>
      <c r="I2769" s="76" t="s">
        <v>3208</v>
      </c>
      <c r="J2769" s="76" t="s">
        <v>3209</v>
      </c>
      <c r="K2769" s="76" t="s">
        <v>591</v>
      </c>
      <c r="L2769" s="11" t="s">
        <v>909</v>
      </c>
      <c r="M2769" s="53">
        <v>18</v>
      </c>
      <c r="N2769" s="94">
        <v>640</v>
      </c>
      <c r="O2769" s="94">
        <f>N2769*M2769</f>
        <v>11520</v>
      </c>
      <c r="P2769" s="40" t="s">
        <v>3116</v>
      </c>
      <c r="Q2769" s="40" t="s">
        <v>766</v>
      </c>
      <c r="R2769" s="84">
        <v>553630100</v>
      </c>
      <c r="S2769" s="40">
        <v>100</v>
      </c>
    </row>
    <row r="2770" spans="1:19" s="92" customFormat="1" ht="76.5">
      <c r="A2770" s="5">
        <v>2755</v>
      </c>
      <c r="B2770" s="15" t="s">
        <v>710</v>
      </c>
      <c r="C2770" s="40" t="s">
        <v>711</v>
      </c>
      <c r="D2770" s="40" t="s">
        <v>723</v>
      </c>
      <c r="E2770" s="31" t="s">
        <v>874</v>
      </c>
      <c r="F2770" s="31" t="s">
        <v>874</v>
      </c>
      <c r="G2770" s="31" t="s">
        <v>875</v>
      </c>
      <c r="H2770" s="40" t="s">
        <v>876</v>
      </c>
      <c r="I2770" s="40" t="s">
        <v>3210</v>
      </c>
      <c r="J2770" s="40" t="s">
        <v>3211</v>
      </c>
      <c r="K2770" s="40" t="s">
        <v>591</v>
      </c>
      <c r="L2770" s="40" t="s">
        <v>644</v>
      </c>
      <c r="M2770" s="93">
        <v>1</v>
      </c>
      <c r="N2770" s="94">
        <v>30000</v>
      </c>
      <c r="O2770" s="94">
        <f>N2770*M2770</f>
        <v>30000</v>
      </c>
      <c r="P2770" s="40" t="s">
        <v>3116</v>
      </c>
      <c r="Q2770" s="40" t="s">
        <v>1051</v>
      </c>
      <c r="R2770" s="84">
        <v>553630100</v>
      </c>
      <c r="S2770" s="40">
        <v>100</v>
      </c>
    </row>
    <row r="2771" spans="1:19" s="92" customFormat="1" ht="89.25">
      <c r="A2771" s="5">
        <v>2756</v>
      </c>
      <c r="B2771" s="15" t="s">
        <v>710</v>
      </c>
      <c r="C2771" s="40" t="s">
        <v>597</v>
      </c>
      <c r="D2771" s="40" t="s">
        <v>598</v>
      </c>
      <c r="E2771" s="31" t="s">
        <v>599</v>
      </c>
      <c r="F2771" s="31" t="s">
        <v>782</v>
      </c>
      <c r="G2771" s="31" t="s">
        <v>3195</v>
      </c>
      <c r="H2771" s="40" t="s">
        <v>602</v>
      </c>
      <c r="I2771" s="40" t="s">
        <v>3196</v>
      </c>
      <c r="J2771" s="40" t="s">
        <v>3197</v>
      </c>
      <c r="K2771" s="40" t="s">
        <v>591</v>
      </c>
      <c r="L2771" s="11" t="s">
        <v>914</v>
      </c>
      <c r="M2771" s="93">
        <v>1</v>
      </c>
      <c r="N2771" s="94">
        <v>624400</v>
      </c>
      <c r="O2771" s="94">
        <v>624400</v>
      </c>
      <c r="P2771" s="40" t="s">
        <v>502</v>
      </c>
      <c r="Q2771" s="40" t="s">
        <v>766</v>
      </c>
      <c r="R2771" s="84">
        <v>554230100</v>
      </c>
      <c r="S2771" s="40">
        <v>0</v>
      </c>
    </row>
    <row r="2772" spans="1:19" s="92" customFormat="1" ht="89.25">
      <c r="A2772" s="5">
        <v>2757</v>
      </c>
      <c r="B2772" s="15" t="s">
        <v>710</v>
      </c>
      <c r="C2772" s="40" t="s">
        <v>597</v>
      </c>
      <c r="D2772" s="40" t="s">
        <v>598</v>
      </c>
      <c r="E2772" s="31" t="s">
        <v>599</v>
      </c>
      <c r="F2772" s="31" t="s">
        <v>782</v>
      </c>
      <c r="G2772" s="31" t="s">
        <v>3195</v>
      </c>
      <c r="H2772" s="40" t="s">
        <v>602</v>
      </c>
      <c r="I2772" s="40" t="s">
        <v>3196</v>
      </c>
      <c r="J2772" s="40" t="s">
        <v>3197</v>
      </c>
      <c r="K2772" s="40" t="s">
        <v>591</v>
      </c>
      <c r="L2772" s="11" t="s">
        <v>914</v>
      </c>
      <c r="M2772" s="93">
        <v>1</v>
      </c>
      <c r="N2772" s="94">
        <v>624400</v>
      </c>
      <c r="O2772" s="94">
        <v>624400</v>
      </c>
      <c r="P2772" s="40" t="s">
        <v>502</v>
      </c>
      <c r="Q2772" s="40" t="s">
        <v>766</v>
      </c>
      <c r="R2772" s="84">
        <v>554230100</v>
      </c>
      <c r="S2772" s="40">
        <v>0</v>
      </c>
    </row>
    <row r="2773" spans="1:19" s="92" customFormat="1" ht="51">
      <c r="A2773" s="5">
        <v>2758</v>
      </c>
      <c r="B2773" s="15" t="s">
        <v>710</v>
      </c>
      <c r="C2773" s="40" t="s">
        <v>597</v>
      </c>
      <c r="D2773" s="11" t="s">
        <v>850</v>
      </c>
      <c r="E2773" s="76" t="s">
        <v>1736</v>
      </c>
      <c r="F2773" s="76" t="s">
        <v>851</v>
      </c>
      <c r="G2773" s="76" t="s">
        <v>1737</v>
      </c>
      <c r="H2773" s="76" t="s">
        <v>852</v>
      </c>
      <c r="I2773" s="76" t="s">
        <v>3199</v>
      </c>
      <c r="J2773" s="76" t="s">
        <v>3200</v>
      </c>
      <c r="K2773" s="40" t="s">
        <v>591</v>
      </c>
      <c r="L2773" s="11" t="s">
        <v>914</v>
      </c>
      <c r="M2773" s="97">
        <v>1</v>
      </c>
      <c r="N2773" s="94">
        <f>10000*5</f>
        <v>50000</v>
      </c>
      <c r="O2773" s="94">
        <f>N2773</f>
        <v>50000</v>
      </c>
      <c r="P2773" s="40" t="s">
        <v>698</v>
      </c>
      <c r="Q2773" s="40" t="s">
        <v>766</v>
      </c>
      <c r="R2773" s="84">
        <v>554230100</v>
      </c>
      <c r="S2773" s="40">
        <v>0</v>
      </c>
    </row>
    <row r="2774" spans="1:19" s="92" customFormat="1" ht="51">
      <c r="A2774" s="5">
        <v>2759</v>
      </c>
      <c r="B2774" s="15" t="s">
        <v>710</v>
      </c>
      <c r="C2774" s="40" t="s">
        <v>597</v>
      </c>
      <c r="D2774" s="40" t="s">
        <v>2594</v>
      </c>
      <c r="E2774" s="31" t="s">
        <v>2618</v>
      </c>
      <c r="F2774" s="31" t="s">
        <v>2595</v>
      </c>
      <c r="G2774" s="31" t="s">
        <v>2618</v>
      </c>
      <c r="H2774" s="40" t="s">
        <v>2595</v>
      </c>
      <c r="I2774" s="40" t="s">
        <v>3201</v>
      </c>
      <c r="J2774" s="40" t="s">
        <v>3202</v>
      </c>
      <c r="K2774" s="40" t="s">
        <v>591</v>
      </c>
      <c r="L2774" s="11" t="s">
        <v>914</v>
      </c>
      <c r="M2774" s="93">
        <v>1</v>
      </c>
      <c r="N2774" s="94">
        <f>10500*3</f>
        <v>31500</v>
      </c>
      <c r="O2774" s="94">
        <f>N2774</f>
        <v>31500</v>
      </c>
      <c r="P2774" s="40" t="s">
        <v>3116</v>
      </c>
      <c r="Q2774" s="40" t="s">
        <v>766</v>
      </c>
      <c r="R2774" s="84">
        <v>554230100</v>
      </c>
      <c r="S2774" s="40">
        <v>30</v>
      </c>
    </row>
    <row r="2775" spans="1:19" s="92" customFormat="1" ht="89.25">
      <c r="A2775" s="5">
        <v>2760</v>
      </c>
      <c r="B2775" s="15" t="s">
        <v>710</v>
      </c>
      <c r="C2775" s="40" t="s">
        <v>711</v>
      </c>
      <c r="D2775" s="40" t="s">
        <v>976</v>
      </c>
      <c r="E2775" s="31" t="s">
        <v>730</v>
      </c>
      <c r="F2775" s="31" t="s">
        <v>731</v>
      </c>
      <c r="G2775" s="31" t="s">
        <v>977</v>
      </c>
      <c r="H2775" s="40" t="s">
        <v>978</v>
      </c>
      <c r="I2775" s="40" t="s">
        <v>3203</v>
      </c>
      <c r="J2775" s="40" t="s">
        <v>3204</v>
      </c>
      <c r="K2775" s="40" t="s">
        <v>591</v>
      </c>
      <c r="L2775" s="40" t="s">
        <v>644</v>
      </c>
      <c r="M2775" s="93">
        <v>2</v>
      </c>
      <c r="N2775" s="94">
        <v>26800</v>
      </c>
      <c r="O2775" s="94">
        <f>N2775*M2775</f>
        <v>53600</v>
      </c>
      <c r="P2775" s="40" t="s">
        <v>3116</v>
      </c>
      <c r="Q2775" s="40" t="s">
        <v>1051</v>
      </c>
      <c r="R2775" s="84">
        <v>554230100</v>
      </c>
      <c r="S2775" s="40">
        <v>100</v>
      </c>
    </row>
    <row r="2776" spans="1:19" s="92" customFormat="1" ht="63.75">
      <c r="A2776" s="5">
        <v>2761</v>
      </c>
      <c r="B2776" s="15" t="s">
        <v>710</v>
      </c>
      <c r="C2776" s="40" t="s">
        <v>711</v>
      </c>
      <c r="D2776" s="40" t="s">
        <v>744</v>
      </c>
      <c r="E2776" s="31" t="s">
        <v>745</v>
      </c>
      <c r="F2776" s="31" t="s">
        <v>109</v>
      </c>
      <c r="G2776" s="31" t="s">
        <v>746</v>
      </c>
      <c r="H2776" s="40" t="s">
        <v>3205</v>
      </c>
      <c r="I2776" s="40" t="s">
        <v>3206</v>
      </c>
      <c r="J2776" s="40" t="s">
        <v>3207</v>
      </c>
      <c r="K2776" s="40" t="s">
        <v>591</v>
      </c>
      <c r="L2776" s="40" t="s">
        <v>644</v>
      </c>
      <c r="M2776" s="93">
        <v>6</v>
      </c>
      <c r="N2776" s="94">
        <v>4000</v>
      </c>
      <c r="O2776" s="94">
        <f>M2776*N2776</f>
        <v>24000</v>
      </c>
      <c r="P2776" s="40" t="s">
        <v>3116</v>
      </c>
      <c r="Q2776" s="40" t="s">
        <v>1051</v>
      </c>
      <c r="R2776" s="84">
        <v>554230100</v>
      </c>
      <c r="S2776" s="40">
        <v>100</v>
      </c>
    </row>
    <row r="2777" spans="1:19" s="92" customFormat="1" ht="51">
      <c r="A2777" s="5">
        <v>2762</v>
      </c>
      <c r="B2777" s="15" t="s">
        <v>710</v>
      </c>
      <c r="C2777" s="40" t="s">
        <v>711</v>
      </c>
      <c r="D2777" s="98" t="s">
        <v>422</v>
      </c>
      <c r="E2777" s="76" t="s">
        <v>423</v>
      </c>
      <c r="F2777" s="76" t="s">
        <v>427</v>
      </c>
      <c r="G2777" s="76" t="s">
        <v>837</v>
      </c>
      <c r="H2777" s="76" t="s">
        <v>425</v>
      </c>
      <c r="I2777" s="76" t="s">
        <v>3208</v>
      </c>
      <c r="J2777" s="76" t="s">
        <v>3209</v>
      </c>
      <c r="K2777" s="76" t="s">
        <v>591</v>
      </c>
      <c r="L2777" s="11" t="s">
        <v>909</v>
      </c>
      <c r="M2777" s="53">
        <v>18</v>
      </c>
      <c r="N2777" s="94">
        <v>640</v>
      </c>
      <c r="O2777" s="94">
        <f>N2777*M2777</f>
        <v>11520</v>
      </c>
      <c r="P2777" s="40" t="s">
        <v>3116</v>
      </c>
      <c r="Q2777" s="40" t="s">
        <v>766</v>
      </c>
      <c r="R2777" s="84">
        <v>554230100</v>
      </c>
      <c r="S2777" s="40">
        <v>100</v>
      </c>
    </row>
    <row r="2778" spans="1:19" s="92" customFormat="1" ht="76.5">
      <c r="A2778" s="5">
        <v>2763</v>
      </c>
      <c r="B2778" s="15" t="s">
        <v>710</v>
      </c>
      <c r="C2778" s="40" t="s">
        <v>711</v>
      </c>
      <c r="D2778" s="40" t="s">
        <v>723</v>
      </c>
      <c r="E2778" s="31" t="s">
        <v>874</v>
      </c>
      <c r="F2778" s="31" t="s">
        <v>874</v>
      </c>
      <c r="G2778" s="31" t="s">
        <v>875</v>
      </c>
      <c r="H2778" s="40" t="s">
        <v>876</v>
      </c>
      <c r="I2778" s="40" t="s">
        <v>3210</v>
      </c>
      <c r="J2778" s="40" t="s">
        <v>3211</v>
      </c>
      <c r="K2778" s="40" t="s">
        <v>591</v>
      </c>
      <c r="L2778" s="40" t="s">
        <v>644</v>
      </c>
      <c r="M2778" s="93">
        <v>1</v>
      </c>
      <c r="N2778" s="94">
        <v>30000</v>
      </c>
      <c r="O2778" s="94">
        <f>N2778*M2778</f>
        <v>30000</v>
      </c>
      <c r="P2778" s="40" t="s">
        <v>3116</v>
      </c>
      <c r="Q2778" s="40" t="s">
        <v>1051</v>
      </c>
      <c r="R2778" s="84">
        <v>554230100</v>
      </c>
      <c r="S2778" s="40">
        <v>100</v>
      </c>
    </row>
    <row r="2779" spans="1:19" s="92" customFormat="1" ht="89.25">
      <c r="A2779" s="5">
        <v>2764</v>
      </c>
      <c r="B2779" s="15" t="s">
        <v>710</v>
      </c>
      <c r="C2779" s="40" t="s">
        <v>597</v>
      </c>
      <c r="D2779" s="40" t="s">
        <v>598</v>
      </c>
      <c r="E2779" s="31" t="s">
        <v>599</v>
      </c>
      <c r="F2779" s="31" t="s">
        <v>782</v>
      </c>
      <c r="G2779" s="31" t="s">
        <v>3195</v>
      </c>
      <c r="H2779" s="40" t="s">
        <v>602</v>
      </c>
      <c r="I2779" s="40" t="s">
        <v>3196</v>
      </c>
      <c r="J2779" s="40" t="s">
        <v>3197</v>
      </c>
      <c r="K2779" s="40" t="s">
        <v>591</v>
      </c>
      <c r="L2779" s="11" t="s">
        <v>914</v>
      </c>
      <c r="M2779" s="93">
        <v>1</v>
      </c>
      <c r="N2779" s="94">
        <v>624400</v>
      </c>
      <c r="O2779" s="94">
        <v>624400</v>
      </c>
      <c r="P2779" s="40" t="s">
        <v>502</v>
      </c>
      <c r="Q2779" s="40" t="s">
        <v>766</v>
      </c>
      <c r="R2779" s="84">
        <v>554630100</v>
      </c>
      <c r="S2779" s="40">
        <v>0</v>
      </c>
    </row>
    <row r="2780" spans="1:19" s="92" customFormat="1" ht="89.25">
      <c r="A2780" s="5">
        <v>2765</v>
      </c>
      <c r="B2780" s="15" t="s">
        <v>710</v>
      </c>
      <c r="C2780" s="40" t="s">
        <v>597</v>
      </c>
      <c r="D2780" s="40" t="s">
        <v>598</v>
      </c>
      <c r="E2780" s="31" t="s">
        <v>599</v>
      </c>
      <c r="F2780" s="31" t="s">
        <v>782</v>
      </c>
      <c r="G2780" s="31" t="s">
        <v>3195</v>
      </c>
      <c r="H2780" s="40" t="s">
        <v>602</v>
      </c>
      <c r="I2780" s="40" t="s">
        <v>3196</v>
      </c>
      <c r="J2780" s="40" t="s">
        <v>3197</v>
      </c>
      <c r="K2780" s="40" t="s">
        <v>591</v>
      </c>
      <c r="L2780" s="11" t="s">
        <v>914</v>
      </c>
      <c r="M2780" s="93">
        <v>1</v>
      </c>
      <c r="N2780" s="94">
        <v>624400</v>
      </c>
      <c r="O2780" s="94">
        <v>624400</v>
      </c>
      <c r="P2780" s="40" t="s">
        <v>502</v>
      </c>
      <c r="Q2780" s="40" t="s">
        <v>766</v>
      </c>
      <c r="R2780" s="84">
        <v>554630100</v>
      </c>
      <c r="S2780" s="40">
        <v>0</v>
      </c>
    </row>
    <row r="2781" spans="1:19" s="92" customFormat="1" ht="51">
      <c r="A2781" s="5">
        <v>2766</v>
      </c>
      <c r="B2781" s="15" t="s">
        <v>710</v>
      </c>
      <c r="C2781" s="40" t="s">
        <v>597</v>
      </c>
      <c r="D2781" s="11" t="s">
        <v>850</v>
      </c>
      <c r="E2781" s="76" t="s">
        <v>1736</v>
      </c>
      <c r="F2781" s="76" t="s">
        <v>851</v>
      </c>
      <c r="G2781" s="76" t="s">
        <v>1737</v>
      </c>
      <c r="H2781" s="76" t="s">
        <v>852</v>
      </c>
      <c r="I2781" s="76" t="s">
        <v>3199</v>
      </c>
      <c r="J2781" s="76" t="s">
        <v>3200</v>
      </c>
      <c r="K2781" s="40" t="s">
        <v>591</v>
      </c>
      <c r="L2781" s="11" t="s">
        <v>914</v>
      </c>
      <c r="M2781" s="97">
        <v>1</v>
      </c>
      <c r="N2781" s="94">
        <f>10000*5</f>
        <v>50000</v>
      </c>
      <c r="O2781" s="94">
        <f>N2781</f>
        <v>50000</v>
      </c>
      <c r="P2781" s="40" t="s">
        <v>698</v>
      </c>
      <c r="Q2781" s="40" t="s">
        <v>766</v>
      </c>
      <c r="R2781" s="84">
        <v>554630100</v>
      </c>
      <c r="S2781" s="40">
        <v>0</v>
      </c>
    </row>
    <row r="2782" spans="1:19" s="92" customFormat="1" ht="51">
      <c r="A2782" s="5">
        <v>2767</v>
      </c>
      <c r="B2782" s="15" t="s">
        <v>710</v>
      </c>
      <c r="C2782" s="40" t="s">
        <v>597</v>
      </c>
      <c r="D2782" s="40" t="s">
        <v>2594</v>
      </c>
      <c r="E2782" s="31" t="s">
        <v>2618</v>
      </c>
      <c r="F2782" s="31" t="s">
        <v>2595</v>
      </c>
      <c r="G2782" s="31" t="s">
        <v>2618</v>
      </c>
      <c r="H2782" s="40" t="s">
        <v>2595</v>
      </c>
      <c r="I2782" s="40" t="s">
        <v>3201</v>
      </c>
      <c r="J2782" s="40" t="s">
        <v>3202</v>
      </c>
      <c r="K2782" s="40" t="s">
        <v>591</v>
      </c>
      <c r="L2782" s="11" t="s">
        <v>914</v>
      </c>
      <c r="M2782" s="93">
        <v>1</v>
      </c>
      <c r="N2782" s="94">
        <f>10500*3</f>
        <v>31500</v>
      </c>
      <c r="O2782" s="94">
        <f>N2782</f>
        <v>31500</v>
      </c>
      <c r="P2782" s="40" t="s">
        <v>3116</v>
      </c>
      <c r="Q2782" s="40" t="s">
        <v>766</v>
      </c>
      <c r="R2782" s="84">
        <v>554630100</v>
      </c>
      <c r="S2782" s="40">
        <v>30</v>
      </c>
    </row>
    <row r="2783" spans="1:19" s="92" customFormat="1" ht="89.25">
      <c r="A2783" s="5">
        <v>2768</v>
      </c>
      <c r="B2783" s="15" t="s">
        <v>710</v>
      </c>
      <c r="C2783" s="40" t="s">
        <v>711</v>
      </c>
      <c r="D2783" s="40" t="s">
        <v>976</v>
      </c>
      <c r="E2783" s="31" t="s">
        <v>730</v>
      </c>
      <c r="F2783" s="31" t="s">
        <v>731</v>
      </c>
      <c r="G2783" s="31" t="s">
        <v>977</v>
      </c>
      <c r="H2783" s="40" t="s">
        <v>978</v>
      </c>
      <c r="I2783" s="40" t="s">
        <v>3203</v>
      </c>
      <c r="J2783" s="40" t="s">
        <v>3204</v>
      </c>
      <c r="K2783" s="40" t="s">
        <v>591</v>
      </c>
      <c r="L2783" s="40" t="s">
        <v>644</v>
      </c>
      <c r="M2783" s="93">
        <v>2</v>
      </c>
      <c r="N2783" s="94">
        <v>26800</v>
      </c>
      <c r="O2783" s="94">
        <f>N2783*M2783</f>
        <v>53600</v>
      </c>
      <c r="P2783" s="40" t="s">
        <v>3116</v>
      </c>
      <c r="Q2783" s="40" t="s">
        <v>1051</v>
      </c>
      <c r="R2783" s="84">
        <v>554630100</v>
      </c>
      <c r="S2783" s="40">
        <v>100</v>
      </c>
    </row>
    <row r="2784" spans="1:19" s="92" customFormat="1" ht="63.75">
      <c r="A2784" s="5">
        <v>2769</v>
      </c>
      <c r="B2784" s="15" t="s">
        <v>710</v>
      </c>
      <c r="C2784" s="40" t="s">
        <v>711</v>
      </c>
      <c r="D2784" s="40" t="s">
        <v>744</v>
      </c>
      <c r="E2784" s="31" t="s">
        <v>745</v>
      </c>
      <c r="F2784" s="31" t="s">
        <v>109</v>
      </c>
      <c r="G2784" s="31" t="s">
        <v>746</v>
      </c>
      <c r="H2784" s="40" t="s">
        <v>3205</v>
      </c>
      <c r="I2784" s="40" t="s">
        <v>3206</v>
      </c>
      <c r="J2784" s="40" t="s">
        <v>3207</v>
      </c>
      <c r="K2784" s="40" t="s">
        <v>591</v>
      </c>
      <c r="L2784" s="40" t="s">
        <v>644</v>
      </c>
      <c r="M2784" s="93">
        <v>6</v>
      </c>
      <c r="N2784" s="94">
        <v>4000</v>
      </c>
      <c r="O2784" s="94">
        <f>M2784*N2784</f>
        <v>24000</v>
      </c>
      <c r="P2784" s="40" t="s">
        <v>3116</v>
      </c>
      <c r="Q2784" s="40" t="s">
        <v>1051</v>
      </c>
      <c r="R2784" s="84">
        <v>554630100</v>
      </c>
      <c r="S2784" s="40">
        <v>100</v>
      </c>
    </row>
    <row r="2785" spans="1:19" s="92" customFormat="1" ht="51">
      <c r="A2785" s="5">
        <v>2770</v>
      </c>
      <c r="B2785" s="15" t="s">
        <v>710</v>
      </c>
      <c r="C2785" s="40" t="s">
        <v>711</v>
      </c>
      <c r="D2785" s="98" t="s">
        <v>422</v>
      </c>
      <c r="E2785" s="76" t="s">
        <v>423</v>
      </c>
      <c r="F2785" s="76" t="s">
        <v>427</v>
      </c>
      <c r="G2785" s="76" t="s">
        <v>837</v>
      </c>
      <c r="H2785" s="76" t="s">
        <v>425</v>
      </c>
      <c r="I2785" s="76" t="s">
        <v>3208</v>
      </c>
      <c r="J2785" s="76" t="s">
        <v>3209</v>
      </c>
      <c r="K2785" s="76" t="s">
        <v>591</v>
      </c>
      <c r="L2785" s="11" t="s">
        <v>909</v>
      </c>
      <c r="M2785" s="53">
        <v>18</v>
      </c>
      <c r="N2785" s="94">
        <v>640</v>
      </c>
      <c r="O2785" s="94">
        <f>N2785*M2785</f>
        <v>11520</v>
      </c>
      <c r="P2785" s="40" t="s">
        <v>3116</v>
      </c>
      <c r="Q2785" s="40" t="s">
        <v>766</v>
      </c>
      <c r="R2785" s="84">
        <v>554630100</v>
      </c>
      <c r="S2785" s="40">
        <v>100</v>
      </c>
    </row>
    <row r="2786" spans="1:19" s="92" customFormat="1" ht="76.5">
      <c r="A2786" s="5">
        <v>2771</v>
      </c>
      <c r="B2786" s="15" t="s">
        <v>710</v>
      </c>
      <c r="C2786" s="40" t="s">
        <v>711</v>
      </c>
      <c r="D2786" s="40" t="s">
        <v>723</v>
      </c>
      <c r="E2786" s="31" t="s">
        <v>874</v>
      </c>
      <c r="F2786" s="31" t="s">
        <v>874</v>
      </c>
      <c r="G2786" s="31" t="s">
        <v>875</v>
      </c>
      <c r="H2786" s="40" t="s">
        <v>876</v>
      </c>
      <c r="I2786" s="40" t="s">
        <v>3210</v>
      </c>
      <c r="J2786" s="40" t="s">
        <v>3211</v>
      </c>
      <c r="K2786" s="40" t="s">
        <v>591</v>
      </c>
      <c r="L2786" s="40" t="s">
        <v>644</v>
      </c>
      <c r="M2786" s="93">
        <v>1</v>
      </c>
      <c r="N2786" s="94">
        <v>30000</v>
      </c>
      <c r="O2786" s="94">
        <f>N2786*M2786</f>
        <v>30000</v>
      </c>
      <c r="P2786" s="40" t="s">
        <v>3116</v>
      </c>
      <c r="Q2786" s="40" t="s">
        <v>1051</v>
      </c>
      <c r="R2786" s="84">
        <v>554630100</v>
      </c>
      <c r="S2786" s="40">
        <v>100</v>
      </c>
    </row>
    <row r="2787" spans="1:19" s="92" customFormat="1" ht="89.25">
      <c r="A2787" s="5">
        <v>2772</v>
      </c>
      <c r="B2787" s="15" t="s">
        <v>710</v>
      </c>
      <c r="C2787" s="40" t="s">
        <v>597</v>
      </c>
      <c r="D2787" s="40" t="s">
        <v>598</v>
      </c>
      <c r="E2787" s="31" t="s">
        <v>599</v>
      </c>
      <c r="F2787" s="31" t="s">
        <v>782</v>
      </c>
      <c r="G2787" s="31" t="s">
        <v>3195</v>
      </c>
      <c r="H2787" s="40" t="s">
        <v>602</v>
      </c>
      <c r="I2787" s="40" t="s">
        <v>3196</v>
      </c>
      <c r="J2787" s="40" t="s">
        <v>3197</v>
      </c>
      <c r="K2787" s="40" t="s">
        <v>591</v>
      </c>
      <c r="L2787" s="11" t="s">
        <v>914</v>
      </c>
      <c r="M2787" s="93">
        <v>1</v>
      </c>
      <c r="N2787" s="94">
        <v>624400</v>
      </c>
      <c r="O2787" s="94">
        <v>624400</v>
      </c>
      <c r="P2787" s="40" t="s">
        <v>502</v>
      </c>
      <c r="Q2787" s="40" t="s">
        <v>766</v>
      </c>
      <c r="R2787" s="84">
        <v>554830100</v>
      </c>
      <c r="S2787" s="40">
        <v>0</v>
      </c>
    </row>
    <row r="2788" spans="1:19" s="92" customFormat="1" ht="89.25">
      <c r="A2788" s="5">
        <v>2773</v>
      </c>
      <c r="B2788" s="15" t="s">
        <v>710</v>
      </c>
      <c r="C2788" s="40" t="s">
        <v>597</v>
      </c>
      <c r="D2788" s="40" t="s">
        <v>598</v>
      </c>
      <c r="E2788" s="31" t="s">
        <v>599</v>
      </c>
      <c r="F2788" s="31" t="s">
        <v>782</v>
      </c>
      <c r="G2788" s="31" t="s">
        <v>3195</v>
      </c>
      <c r="H2788" s="40" t="s">
        <v>602</v>
      </c>
      <c r="I2788" s="40" t="s">
        <v>3196</v>
      </c>
      <c r="J2788" s="40" t="s">
        <v>3197</v>
      </c>
      <c r="K2788" s="40" t="s">
        <v>591</v>
      </c>
      <c r="L2788" s="11" t="s">
        <v>914</v>
      </c>
      <c r="M2788" s="93">
        <v>1</v>
      </c>
      <c r="N2788" s="94">
        <v>624400</v>
      </c>
      <c r="O2788" s="94">
        <v>624400</v>
      </c>
      <c r="P2788" s="40" t="s">
        <v>502</v>
      </c>
      <c r="Q2788" s="40" t="s">
        <v>766</v>
      </c>
      <c r="R2788" s="84">
        <v>554830100</v>
      </c>
      <c r="S2788" s="40">
        <v>0</v>
      </c>
    </row>
    <row r="2789" spans="1:19" s="92" customFormat="1" ht="51">
      <c r="A2789" s="5">
        <v>2774</v>
      </c>
      <c r="B2789" s="15" t="s">
        <v>710</v>
      </c>
      <c r="C2789" s="40" t="s">
        <v>597</v>
      </c>
      <c r="D2789" s="11" t="s">
        <v>850</v>
      </c>
      <c r="E2789" s="76" t="s">
        <v>1736</v>
      </c>
      <c r="F2789" s="76" t="s">
        <v>851</v>
      </c>
      <c r="G2789" s="76" t="s">
        <v>1737</v>
      </c>
      <c r="H2789" s="76" t="s">
        <v>852</v>
      </c>
      <c r="I2789" s="76" t="s">
        <v>3199</v>
      </c>
      <c r="J2789" s="76" t="s">
        <v>3200</v>
      </c>
      <c r="K2789" s="40" t="s">
        <v>591</v>
      </c>
      <c r="L2789" s="11" t="s">
        <v>914</v>
      </c>
      <c r="M2789" s="97">
        <v>1</v>
      </c>
      <c r="N2789" s="94">
        <f>10000*5</f>
        <v>50000</v>
      </c>
      <c r="O2789" s="94">
        <f>N2789</f>
        <v>50000</v>
      </c>
      <c r="P2789" s="40" t="s">
        <v>698</v>
      </c>
      <c r="Q2789" s="40" t="s">
        <v>766</v>
      </c>
      <c r="R2789" s="84">
        <v>554830100</v>
      </c>
      <c r="S2789" s="40">
        <v>0</v>
      </c>
    </row>
    <row r="2790" spans="1:19" s="92" customFormat="1" ht="51">
      <c r="A2790" s="5">
        <v>2775</v>
      </c>
      <c r="B2790" s="15" t="s">
        <v>710</v>
      </c>
      <c r="C2790" s="40" t="s">
        <v>597</v>
      </c>
      <c r="D2790" s="40" t="s">
        <v>2594</v>
      </c>
      <c r="E2790" s="31" t="s">
        <v>2618</v>
      </c>
      <c r="F2790" s="31" t="s">
        <v>2595</v>
      </c>
      <c r="G2790" s="31" t="s">
        <v>2618</v>
      </c>
      <c r="H2790" s="40" t="s">
        <v>2595</v>
      </c>
      <c r="I2790" s="40" t="s">
        <v>3201</v>
      </c>
      <c r="J2790" s="40" t="s">
        <v>3202</v>
      </c>
      <c r="K2790" s="40" t="s">
        <v>591</v>
      </c>
      <c r="L2790" s="11" t="s">
        <v>914</v>
      </c>
      <c r="M2790" s="93">
        <v>1</v>
      </c>
      <c r="N2790" s="94">
        <f>10500*3</f>
        <v>31500</v>
      </c>
      <c r="O2790" s="94">
        <f>N2790</f>
        <v>31500</v>
      </c>
      <c r="P2790" s="40" t="s">
        <v>3116</v>
      </c>
      <c r="Q2790" s="40" t="s">
        <v>766</v>
      </c>
      <c r="R2790" s="84">
        <v>554830100</v>
      </c>
      <c r="S2790" s="40">
        <v>30</v>
      </c>
    </row>
    <row r="2791" spans="1:19" s="92" customFormat="1" ht="89.25">
      <c r="A2791" s="5">
        <v>2776</v>
      </c>
      <c r="B2791" s="15" t="s">
        <v>710</v>
      </c>
      <c r="C2791" s="40" t="s">
        <v>711</v>
      </c>
      <c r="D2791" s="40" t="s">
        <v>976</v>
      </c>
      <c r="E2791" s="31" t="s">
        <v>730</v>
      </c>
      <c r="F2791" s="31" t="s">
        <v>731</v>
      </c>
      <c r="G2791" s="31" t="s">
        <v>977</v>
      </c>
      <c r="H2791" s="40" t="s">
        <v>978</v>
      </c>
      <c r="I2791" s="40" t="s">
        <v>3203</v>
      </c>
      <c r="J2791" s="40" t="s">
        <v>3204</v>
      </c>
      <c r="K2791" s="40" t="s">
        <v>591</v>
      </c>
      <c r="L2791" s="40" t="s">
        <v>644</v>
      </c>
      <c r="M2791" s="93">
        <v>2</v>
      </c>
      <c r="N2791" s="94">
        <v>26800</v>
      </c>
      <c r="O2791" s="94">
        <f>N2791*M2791</f>
        <v>53600</v>
      </c>
      <c r="P2791" s="40" t="s">
        <v>3116</v>
      </c>
      <c r="Q2791" s="40" t="s">
        <v>1051</v>
      </c>
      <c r="R2791" s="84">
        <v>554830100</v>
      </c>
      <c r="S2791" s="40">
        <v>100</v>
      </c>
    </row>
    <row r="2792" spans="1:19" s="92" customFormat="1" ht="63.75">
      <c r="A2792" s="5">
        <v>2777</v>
      </c>
      <c r="B2792" s="15" t="s">
        <v>710</v>
      </c>
      <c r="C2792" s="40" t="s">
        <v>711</v>
      </c>
      <c r="D2792" s="40" t="s">
        <v>744</v>
      </c>
      <c r="E2792" s="31" t="s">
        <v>745</v>
      </c>
      <c r="F2792" s="31" t="s">
        <v>109</v>
      </c>
      <c r="G2792" s="31" t="s">
        <v>746</v>
      </c>
      <c r="H2792" s="40" t="s">
        <v>3205</v>
      </c>
      <c r="I2792" s="40" t="s">
        <v>3206</v>
      </c>
      <c r="J2792" s="40" t="s">
        <v>3207</v>
      </c>
      <c r="K2792" s="40" t="s">
        <v>591</v>
      </c>
      <c r="L2792" s="40" t="s">
        <v>644</v>
      </c>
      <c r="M2792" s="93">
        <v>6</v>
      </c>
      <c r="N2792" s="94">
        <v>4000</v>
      </c>
      <c r="O2792" s="94">
        <f>M2792*N2792</f>
        <v>24000</v>
      </c>
      <c r="P2792" s="40" t="s">
        <v>3116</v>
      </c>
      <c r="Q2792" s="40" t="s">
        <v>1051</v>
      </c>
      <c r="R2792" s="84">
        <v>554830100</v>
      </c>
      <c r="S2792" s="40">
        <v>100</v>
      </c>
    </row>
    <row r="2793" spans="1:19" s="92" customFormat="1" ht="51">
      <c r="A2793" s="5">
        <v>2778</v>
      </c>
      <c r="B2793" s="15" t="s">
        <v>710</v>
      </c>
      <c r="C2793" s="40" t="s">
        <v>711</v>
      </c>
      <c r="D2793" s="98" t="s">
        <v>422</v>
      </c>
      <c r="E2793" s="76" t="s">
        <v>423</v>
      </c>
      <c r="F2793" s="76" t="s">
        <v>427</v>
      </c>
      <c r="G2793" s="76" t="s">
        <v>837</v>
      </c>
      <c r="H2793" s="76" t="s">
        <v>425</v>
      </c>
      <c r="I2793" s="76" t="s">
        <v>3208</v>
      </c>
      <c r="J2793" s="76" t="s">
        <v>3209</v>
      </c>
      <c r="K2793" s="76" t="s">
        <v>591</v>
      </c>
      <c r="L2793" s="11" t="s">
        <v>909</v>
      </c>
      <c r="M2793" s="53">
        <v>18</v>
      </c>
      <c r="N2793" s="94">
        <v>640</v>
      </c>
      <c r="O2793" s="94">
        <f>N2793*M2793</f>
        <v>11520</v>
      </c>
      <c r="P2793" s="40" t="s">
        <v>3116</v>
      </c>
      <c r="Q2793" s="40" t="s">
        <v>766</v>
      </c>
      <c r="R2793" s="84">
        <v>554830100</v>
      </c>
      <c r="S2793" s="40">
        <v>100</v>
      </c>
    </row>
    <row r="2794" spans="1:19" s="92" customFormat="1" ht="76.5">
      <c r="A2794" s="5">
        <v>2779</v>
      </c>
      <c r="B2794" s="15" t="s">
        <v>710</v>
      </c>
      <c r="C2794" s="40" t="s">
        <v>711</v>
      </c>
      <c r="D2794" s="40" t="s">
        <v>723</v>
      </c>
      <c r="E2794" s="31" t="s">
        <v>874</v>
      </c>
      <c r="F2794" s="31" t="s">
        <v>874</v>
      </c>
      <c r="G2794" s="31" t="s">
        <v>875</v>
      </c>
      <c r="H2794" s="40" t="s">
        <v>876</v>
      </c>
      <c r="I2794" s="40" t="s">
        <v>3210</v>
      </c>
      <c r="J2794" s="40" t="s">
        <v>3211</v>
      </c>
      <c r="K2794" s="40" t="s">
        <v>591</v>
      </c>
      <c r="L2794" s="40" t="s">
        <v>644</v>
      </c>
      <c r="M2794" s="93">
        <v>1</v>
      </c>
      <c r="N2794" s="94">
        <v>30000</v>
      </c>
      <c r="O2794" s="94">
        <f>N2794*M2794</f>
        <v>30000</v>
      </c>
      <c r="P2794" s="40" t="s">
        <v>3116</v>
      </c>
      <c r="Q2794" s="40" t="s">
        <v>1051</v>
      </c>
      <c r="R2794" s="84">
        <v>554830100</v>
      </c>
      <c r="S2794" s="40">
        <v>100</v>
      </c>
    </row>
    <row r="2795" spans="1:19" s="92" customFormat="1" ht="89.25">
      <c r="A2795" s="5">
        <v>2780</v>
      </c>
      <c r="B2795" s="15" t="s">
        <v>710</v>
      </c>
      <c r="C2795" s="40" t="s">
        <v>597</v>
      </c>
      <c r="D2795" s="40" t="s">
        <v>598</v>
      </c>
      <c r="E2795" s="31" t="s">
        <v>599</v>
      </c>
      <c r="F2795" s="31" t="s">
        <v>782</v>
      </c>
      <c r="G2795" s="31" t="s">
        <v>3195</v>
      </c>
      <c r="H2795" s="40" t="s">
        <v>602</v>
      </c>
      <c r="I2795" s="40" t="s">
        <v>3196</v>
      </c>
      <c r="J2795" s="40" t="s">
        <v>3197</v>
      </c>
      <c r="K2795" s="40" t="s">
        <v>591</v>
      </c>
      <c r="L2795" s="11" t="s">
        <v>914</v>
      </c>
      <c r="M2795" s="93">
        <v>1</v>
      </c>
      <c r="N2795" s="94">
        <v>624400</v>
      </c>
      <c r="O2795" s="94">
        <v>624400</v>
      </c>
      <c r="P2795" s="40" t="s">
        <v>502</v>
      </c>
      <c r="Q2795" s="40" t="s">
        <v>766</v>
      </c>
      <c r="R2795" s="84">
        <v>555230100</v>
      </c>
      <c r="S2795" s="40">
        <v>0</v>
      </c>
    </row>
    <row r="2796" spans="1:19" s="92" customFormat="1" ht="89.25">
      <c r="A2796" s="5">
        <v>2781</v>
      </c>
      <c r="B2796" s="15" t="s">
        <v>710</v>
      </c>
      <c r="C2796" s="40" t="s">
        <v>597</v>
      </c>
      <c r="D2796" s="40" t="s">
        <v>598</v>
      </c>
      <c r="E2796" s="31" t="s">
        <v>599</v>
      </c>
      <c r="F2796" s="31" t="s">
        <v>782</v>
      </c>
      <c r="G2796" s="31" t="s">
        <v>3195</v>
      </c>
      <c r="H2796" s="40" t="s">
        <v>602</v>
      </c>
      <c r="I2796" s="40" t="s">
        <v>3196</v>
      </c>
      <c r="J2796" s="40" t="s">
        <v>3197</v>
      </c>
      <c r="K2796" s="40" t="s">
        <v>591</v>
      </c>
      <c r="L2796" s="11" t="s">
        <v>914</v>
      </c>
      <c r="M2796" s="93">
        <v>1</v>
      </c>
      <c r="N2796" s="94">
        <v>624400</v>
      </c>
      <c r="O2796" s="94">
        <v>624400</v>
      </c>
      <c r="P2796" s="40" t="s">
        <v>502</v>
      </c>
      <c r="Q2796" s="40" t="s">
        <v>766</v>
      </c>
      <c r="R2796" s="84">
        <v>555230100</v>
      </c>
      <c r="S2796" s="40">
        <v>0</v>
      </c>
    </row>
    <row r="2797" spans="1:19" s="92" customFormat="1" ht="51">
      <c r="A2797" s="5">
        <v>2782</v>
      </c>
      <c r="B2797" s="15" t="s">
        <v>710</v>
      </c>
      <c r="C2797" s="40" t="s">
        <v>597</v>
      </c>
      <c r="D2797" s="11" t="s">
        <v>850</v>
      </c>
      <c r="E2797" s="76" t="s">
        <v>1736</v>
      </c>
      <c r="F2797" s="76" t="s">
        <v>851</v>
      </c>
      <c r="G2797" s="76" t="s">
        <v>1737</v>
      </c>
      <c r="H2797" s="76" t="s">
        <v>852</v>
      </c>
      <c r="I2797" s="76" t="s">
        <v>3199</v>
      </c>
      <c r="J2797" s="76" t="s">
        <v>3200</v>
      </c>
      <c r="K2797" s="40" t="s">
        <v>591</v>
      </c>
      <c r="L2797" s="11" t="s">
        <v>914</v>
      </c>
      <c r="M2797" s="97">
        <v>1</v>
      </c>
      <c r="N2797" s="94">
        <f>10000*5</f>
        <v>50000</v>
      </c>
      <c r="O2797" s="94">
        <f>N2797</f>
        <v>50000</v>
      </c>
      <c r="P2797" s="40" t="s">
        <v>698</v>
      </c>
      <c r="Q2797" s="40" t="s">
        <v>766</v>
      </c>
      <c r="R2797" s="84">
        <v>555230100</v>
      </c>
      <c r="S2797" s="40">
        <v>0</v>
      </c>
    </row>
    <row r="2798" spans="1:19" s="92" customFormat="1" ht="51">
      <c r="A2798" s="5">
        <v>2783</v>
      </c>
      <c r="B2798" s="15" t="s">
        <v>710</v>
      </c>
      <c r="C2798" s="40" t="s">
        <v>597</v>
      </c>
      <c r="D2798" s="40" t="s">
        <v>2594</v>
      </c>
      <c r="E2798" s="31" t="s">
        <v>2618</v>
      </c>
      <c r="F2798" s="31" t="s">
        <v>2595</v>
      </c>
      <c r="G2798" s="31" t="s">
        <v>2618</v>
      </c>
      <c r="H2798" s="40" t="s">
        <v>2595</v>
      </c>
      <c r="I2798" s="40" t="s">
        <v>3201</v>
      </c>
      <c r="J2798" s="40" t="s">
        <v>3202</v>
      </c>
      <c r="K2798" s="40" t="s">
        <v>591</v>
      </c>
      <c r="L2798" s="11" t="s">
        <v>914</v>
      </c>
      <c r="M2798" s="93">
        <v>1</v>
      </c>
      <c r="N2798" s="94">
        <f>10500*3</f>
        <v>31500</v>
      </c>
      <c r="O2798" s="94">
        <f>N2798</f>
        <v>31500</v>
      </c>
      <c r="P2798" s="40" t="s">
        <v>3116</v>
      </c>
      <c r="Q2798" s="40" t="s">
        <v>766</v>
      </c>
      <c r="R2798" s="84">
        <v>555230100</v>
      </c>
      <c r="S2798" s="40">
        <v>30</v>
      </c>
    </row>
    <row r="2799" spans="1:19" s="92" customFormat="1" ht="89.25">
      <c r="A2799" s="5">
        <v>2784</v>
      </c>
      <c r="B2799" s="15" t="s">
        <v>710</v>
      </c>
      <c r="C2799" s="40" t="s">
        <v>711</v>
      </c>
      <c r="D2799" s="40" t="s">
        <v>976</v>
      </c>
      <c r="E2799" s="31" t="s">
        <v>730</v>
      </c>
      <c r="F2799" s="31" t="s">
        <v>731</v>
      </c>
      <c r="G2799" s="31" t="s">
        <v>977</v>
      </c>
      <c r="H2799" s="40" t="s">
        <v>978</v>
      </c>
      <c r="I2799" s="40" t="s">
        <v>3203</v>
      </c>
      <c r="J2799" s="40" t="s">
        <v>3204</v>
      </c>
      <c r="K2799" s="40" t="s">
        <v>591</v>
      </c>
      <c r="L2799" s="40" t="s">
        <v>644</v>
      </c>
      <c r="M2799" s="93">
        <v>2</v>
      </c>
      <c r="N2799" s="94">
        <v>26800</v>
      </c>
      <c r="O2799" s="94">
        <f>N2799*M2799</f>
        <v>53600</v>
      </c>
      <c r="P2799" s="40" t="s">
        <v>3116</v>
      </c>
      <c r="Q2799" s="40" t="s">
        <v>1051</v>
      </c>
      <c r="R2799" s="84">
        <v>555230100</v>
      </c>
      <c r="S2799" s="40">
        <v>100</v>
      </c>
    </row>
    <row r="2800" spans="1:19" s="92" customFormat="1" ht="63.75">
      <c r="A2800" s="5">
        <v>2785</v>
      </c>
      <c r="B2800" s="15" t="s">
        <v>710</v>
      </c>
      <c r="C2800" s="40" t="s">
        <v>711</v>
      </c>
      <c r="D2800" s="40" t="s">
        <v>744</v>
      </c>
      <c r="E2800" s="31" t="s">
        <v>745</v>
      </c>
      <c r="F2800" s="31" t="s">
        <v>109</v>
      </c>
      <c r="G2800" s="31" t="s">
        <v>746</v>
      </c>
      <c r="H2800" s="40" t="s">
        <v>3205</v>
      </c>
      <c r="I2800" s="40" t="s">
        <v>3206</v>
      </c>
      <c r="J2800" s="40" t="s">
        <v>3207</v>
      </c>
      <c r="K2800" s="40" t="s">
        <v>591</v>
      </c>
      <c r="L2800" s="40" t="s">
        <v>644</v>
      </c>
      <c r="M2800" s="93">
        <v>6</v>
      </c>
      <c r="N2800" s="94">
        <v>4000</v>
      </c>
      <c r="O2800" s="94">
        <f>M2800*N2800</f>
        <v>24000</v>
      </c>
      <c r="P2800" s="40" t="s">
        <v>3116</v>
      </c>
      <c r="Q2800" s="40" t="s">
        <v>1051</v>
      </c>
      <c r="R2800" s="84">
        <v>555230100</v>
      </c>
      <c r="S2800" s="40">
        <v>100</v>
      </c>
    </row>
    <row r="2801" spans="1:19" s="92" customFormat="1" ht="51">
      <c r="A2801" s="5">
        <v>2786</v>
      </c>
      <c r="B2801" s="15" t="s">
        <v>710</v>
      </c>
      <c r="C2801" s="40" t="s">
        <v>711</v>
      </c>
      <c r="D2801" s="98" t="s">
        <v>422</v>
      </c>
      <c r="E2801" s="76" t="s">
        <v>423</v>
      </c>
      <c r="F2801" s="76" t="s">
        <v>427</v>
      </c>
      <c r="G2801" s="76" t="s">
        <v>837</v>
      </c>
      <c r="H2801" s="76" t="s">
        <v>425</v>
      </c>
      <c r="I2801" s="76" t="s">
        <v>3208</v>
      </c>
      <c r="J2801" s="76" t="s">
        <v>3209</v>
      </c>
      <c r="K2801" s="76" t="s">
        <v>591</v>
      </c>
      <c r="L2801" s="11" t="s">
        <v>909</v>
      </c>
      <c r="M2801" s="53">
        <v>18</v>
      </c>
      <c r="N2801" s="94">
        <v>640</v>
      </c>
      <c r="O2801" s="94">
        <f>N2801*M2801</f>
        <v>11520</v>
      </c>
      <c r="P2801" s="40" t="s">
        <v>3116</v>
      </c>
      <c r="Q2801" s="40" t="s">
        <v>766</v>
      </c>
      <c r="R2801" s="84">
        <v>555230100</v>
      </c>
      <c r="S2801" s="40">
        <v>100</v>
      </c>
    </row>
    <row r="2802" spans="1:19" s="92" customFormat="1" ht="76.5">
      <c r="A2802" s="5">
        <v>2787</v>
      </c>
      <c r="B2802" s="15" t="s">
        <v>710</v>
      </c>
      <c r="C2802" s="40" t="s">
        <v>711</v>
      </c>
      <c r="D2802" s="40" t="s">
        <v>723</v>
      </c>
      <c r="E2802" s="31" t="s">
        <v>874</v>
      </c>
      <c r="F2802" s="31" t="s">
        <v>874</v>
      </c>
      <c r="G2802" s="31" t="s">
        <v>875</v>
      </c>
      <c r="H2802" s="40" t="s">
        <v>876</v>
      </c>
      <c r="I2802" s="40" t="s">
        <v>3210</v>
      </c>
      <c r="J2802" s="40" t="s">
        <v>3211</v>
      </c>
      <c r="K2802" s="40" t="s">
        <v>591</v>
      </c>
      <c r="L2802" s="40" t="s">
        <v>644</v>
      </c>
      <c r="M2802" s="93">
        <v>1</v>
      </c>
      <c r="N2802" s="94">
        <v>30000</v>
      </c>
      <c r="O2802" s="94">
        <f>N2802*M2802</f>
        <v>30000</v>
      </c>
      <c r="P2802" s="40" t="s">
        <v>3116</v>
      </c>
      <c r="Q2802" s="40" t="s">
        <v>1051</v>
      </c>
      <c r="R2802" s="84">
        <v>555230100</v>
      </c>
      <c r="S2802" s="40">
        <v>100</v>
      </c>
    </row>
    <row r="2803" spans="1:19" s="92" customFormat="1" ht="89.25">
      <c r="A2803" s="5">
        <v>2788</v>
      </c>
      <c r="B2803" s="15" t="s">
        <v>710</v>
      </c>
      <c r="C2803" s="40" t="s">
        <v>597</v>
      </c>
      <c r="D2803" s="40" t="s">
        <v>598</v>
      </c>
      <c r="E2803" s="31" t="s">
        <v>599</v>
      </c>
      <c r="F2803" s="31" t="s">
        <v>782</v>
      </c>
      <c r="G2803" s="31" t="s">
        <v>3195</v>
      </c>
      <c r="H2803" s="40" t="s">
        <v>602</v>
      </c>
      <c r="I2803" s="40" t="s">
        <v>3196</v>
      </c>
      <c r="J2803" s="40" t="s">
        <v>3197</v>
      </c>
      <c r="K2803" s="40" t="s">
        <v>591</v>
      </c>
      <c r="L2803" s="11" t="s">
        <v>914</v>
      </c>
      <c r="M2803" s="93">
        <v>1</v>
      </c>
      <c r="N2803" s="94">
        <v>624400</v>
      </c>
      <c r="O2803" s="94">
        <v>624400</v>
      </c>
      <c r="P2803" s="40" t="s">
        <v>502</v>
      </c>
      <c r="Q2803" s="40" t="s">
        <v>766</v>
      </c>
      <c r="R2803" s="84">
        <v>556069300</v>
      </c>
      <c r="S2803" s="40">
        <v>0</v>
      </c>
    </row>
    <row r="2804" spans="1:19" s="92" customFormat="1" ht="89.25">
      <c r="A2804" s="5">
        <v>2789</v>
      </c>
      <c r="B2804" s="15" t="s">
        <v>710</v>
      </c>
      <c r="C2804" s="40" t="s">
        <v>597</v>
      </c>
      <c r="D2804" s="40" t="s">
        <v>598</v>
      </c>
      <c r="E2804" s="31" t="s">
        <v>599</v>
      </c>
      <c r="F2804" s="31" t="s">
        <v>782</v>
      </c>
      <c r="G2804" s="31" t="s">
        <v>3195</v>
      </c>
      <c r="H2804" s="40" t="s">
        <v>602</v>
      </c>
      <c r="I2804" s="40" t="s">
        <v>3196</v>
      </c>
      <c r="J2804" s="40" t="s">
        <v>3197</v>
      </c>
      <c r="K2804" s="40" t="s">
        <v>591</v>
      </c>
      <c r="L2804" s="11" t="s">
        <v>914</v>
      </c>
      <c r="M2804" s="93">
        <v>1</v>
      </c>
      <c r="N2804" s="94">
        <v>624400</v>
      </c>
      <c r="O2804" s="94">
        <v>624400</v>
      </c>
      <c r="P2804" s="40" t="s">
        <v>502</v>
      </c>
      <c r="Q2804" s="40" t="s">
        <v>766</v>
      </c>
      <c r="R2804" s="84">
        <v>556069300</v>
      </c>
      <c r="S2804" s="40">
        <v>0</v>
      </c>
    </row>
    <row r="2805" spans="1:19" s="92" customFormat="1" ht="51">
      <c r="A2805" s="5">
        <v>2790</v>
      </c>
      <c r="B2805" s="15" t="s">
        <v>710</v>
      </c>
      <c r="C2805" s="40" t="s">
        <v>597</v>
      </c>
      <c r="D2805" s="11" t="s">
        <v>850</v>
      </c>
      <c r="E2805" s="76" t="s">
        <v>1736</v>
      </c>
      <c r="F2805" s="76" t="s">
        <v>851</v>
      </c>
      <c r="G2805" s="76" t="s">
        <v>1737</v>
      </c>
      <c r="H2805" s="76" t="s">
        <v>852</v>
      </c>
      <c r="I2805" s="76" t="s">
        <v>3199</v>
      </c>
      <c r="J2805" s="76" t="s">
        <v>3200</v>
      </c>
      <c r="K2805" s="40" t="s">
        <v>591</v>
      </c>
      <c r="L2805" s="11" t="s">
        <v>914</v>
      </c>
      <c r="M2805" s="97">
        <v>1</v>
      </c>
      <c r="N2805" s="94">
        <f>10000*5</f>
        <v>50000</v>
      </c>
      <c r="O2805" s="94">
        <f>N2805</f>
        <v>50000</v>
      </c>
      <c r="P2805" s="40" t="s">
        <v>698</v>
      </c>
      <c r="Q2805" s="40" t="s">
        <v>766</v>
      </c>
      <c r="R2805" s="84">
        <v>556069300</v>
      </c>
      <c r="S2805" s="40">
        <v>0</v>
      </c>
    </row>
    <row r="2806" spans="1:19" s="92" customFormat="1" ht="51">
      <c r="A2806" s="5">
        <v>2791</v>
      </c>
      <c r="B2806" s="15" t="s">
        <v>710</v>
      </c>
      <c r="C2806" s="40" t="s">
        <v>597</v>
      </c>
      <c r="D2806" s="40" t="s">
        <v>2594</v>
      </c>
      <c r="E2806" s="31" t="s">
        <v>2618</v>
      </c>
      <c r="F2806" s="31" t="s">
        <v>2595</v>
      </c>
      <c r="G2806" s="31" t="s">
        <v>2618</v>
      </c>
      <c r="H2806" s="40" t="s">
        <v>2595</v>
      </c>
      <c r="I2806" s="40" t="s">
        <v>3201</v>
      </c>
      <c r="J2806" s="40" t="s">
        <v>3202</v>
      </c>
      <c r="K2806" s="40" t="s">
        <v>591</v>
      </c>
      <c r="L2806" s="11" t="s">
        <v>914</v>
      </c>
      <c r="M2806" s="93">
        <v>1</v>
      </c>
      <c r="N2806" s="94">
        <f>10500*3</f>
        <v>31500</v>
      </c>
      <c r="O2806" s="94">
        <f>N2806</f>
        <v>31500</v>
      </c>
      <c r="P2806" s="40" t="s">
        <v>3116</v>
      </c>
      <c r="Q2806" s="40" t="s">
        <v>766</v>
      </c>
      <c r="R2806" s="84">
        <v>556069300</v>
      </c>
      <c r="S2806" s="40">
        <v>30</v>
      </c>
    </row>
    <row r="2807" spans="1:19" s="92" customFormat="1" ht="89.25">
      <c r="A2807" s="5">
        <v>2792</v>
      </c>
      <c r="B2807" s="15" t="s">
        <v>710</v>
      </c>
      <c r="C2807" s="40" t="s">
        <v>711</v>
      </c>
      <c r="D2807" s="40" t="s">
        <v>976</v>
      </c>
      <c r="E2807" s="31" t="s">
        <v>730</v>
      </c>
      <c r="F2807" s="31" t="s">
        <v>731</v>
      </c>
      <c r="G2807" s="31" t="s">
        <v>977</v>
      </c>
      <c r="H2807" s="40" t="s">
        <v>978</v>
      </c>
      <c r="I2807" s="40" t="s">
        <v>3203</v>
      </c>
      <c r="J2807" s="40" t="s">
        <v>3204</v>
      </c>
      <c r="K2807" s="40" t="s">
        <v>591</v>
      </c>
      <c r="L2807" s="40" t="s">
        <v>644</v>
      </c>
      <c r="M2807" s="93">
        <v>2</v>
      </c>
      <c r="N2807" s="94">
        <v>26800</v>
      </c>
      <c r="O2807" s="94">
        <f>N2807*M2807</f>
        <v>53600</v>
      </c>
      <c r="P2807" s="40" t="s">
        <v>3116</v>
      </c>
      <c r="Q2807" s="40" t="s">
        <v>1051</v>
      </c>
      <c r="R2807" s="84">
        <v>556069300</v>
      </c>
      <c r="S2807" s="40">
        <v>100</v>
      </c>
    </row>
    <row r="2808" spans="1:19" s="92" customFormat="1" ht="63.75">
      <c r="A2808" s="5">
        <v>2793</v>
      </c>
      <c r="B2808" s="15" t="s">
        <v>710</v>
      </c>
      <c r="C2808" s="40" t="s">
        <v>711</v>
      </c>
      <c r="D2808" s="40" t="s">
        <v>744</v>
      </c>
      <c r="E2808" s="31" t="s">
        <v>745</v>
      </c>
      <c r="F2808" s="31" t="s">
        <v>109</v>
      </c>
      <c r="G2808" s="31" t="s">
        <v>746</v>
      </c>
      <c r="H2808" s="40" t="s">
        <v>3205</v>
      </c>
      <c r="I2808" s="40" t="s">
        <v>3206</v>
      </c>
      <c r="J2808" s="40" t="s">
        <v>3207</v>
      </c>
      <c r="K2808" s="40" t="s">
        <v>591</v>
      </c>
      <c r="L2808" s="40" t="s">
        <v>644</v>
      </c>
      <c r="M2808" s="93">
        <v>6</v>
      </c>
      <c r="N2808" s="94">
        <v>4000</v>
      </c>
      <c r="O2808" s="94">
        <f>M2808*N2808</f>
        <v>24000</v>
      </c>
      <c r="P2808" s="40" t="s">
        <v>3116</v>
      </c>
      <c r="Q2808" s="40" t="s">
        <v>1051</v>
      </c>
      <c r="R2808" s="84">
        <v>556069300</v>
      </c>
      <c r="S2808" s="40">
        <v>100</v>
      </c>
    </row>
    <row r="2809" spans="1:19" s="92" customFormat="1" ht="51">
      <c r="A2809" s="5">
        <v>2794</v>
      </c>
      <c r="B2809" s="15" t="s">
        <v>710</v>
      </c>
      <c r="C2809" s="40" t="s">
        <v>711</v>
      </c>
      <c r="D2809" s="98" t="s">
        <v>422</v>
      </c>
      <c r="E2809" s="76" t="s">
        <v>423</v>
      </c>
      <c r="F2809" s="76" t="s">
        <v>427</v>
      </c>
      <c r="G2809" s="76" t="s">
        <v>837</v>
      </c>
      <c r="H2809" s="76" t="s">
        <v>425</v>
      </c>
      <c r="I2809" s="76" t="s">
        <v>3208</v>
      </c>
      <c r="J2809" s="76" t="s">
        <v>3209</v>
      </c>
      <c r="K2809" s="76" t="s">
        <v>591</v>
      </c>
      <c r="L2809" s="11" t="s">
        <v>909</v>
      </c>
      <c r="M2809" s="53">
        <v>18</v>
      </c>
      <c r="N2809" s="94">
        <v>640</v>
      </c>
      <c r="O2809" s="94">
        <f>N2809*M2809</f>
        <v>11520</v>
      </c>
      <c r="P2809" s="40" t="s">
        <v>3116</v>
      </c>
      <c r="Q2809" s="40" t="s">
        <v>766</v>
      </c>
      <c r="R2809" s="84">
        <v>556069300</v>
      </c>
      <c r="S2809" s="40">
        <v>100</v>
      </c>
    </row>
    <row r="2810" spans="1:19" s="92" customFormat="1" ht="76.5">
      <c r="A2810" s="5">
        <v>2795</v>
      </c>
      <c r="B2810" s="15" t="s">
        <v>710</v>
      </c>
      <c r="C2810" s="40" t="s">
        <v>711</v>
      </c>
      <c r="D2810" s="40" t="s">
        <v>723</v>
      </c>
      <c r="E2810" s="31" t="s">
        <v>874</v>
      </c>
      <c r="F2810" s="31" t="s">
        <v>874</v>
      </c>
      <c r="G2810" s="31" t="s">
        <v>875</v>
      </c>
      <c r="H2810" s="40" t="s">
        <v>876</v>
      </c>
      <c r="I2810" s="40" t="s">
        <v>3210</v>
      </c>
      <c r="J2810" s="40" t="s">
        <v>3211</v>
      </c>
      <c r="K2810" s="40" t="s">
        <v>591</v>
      </c>
      <c r="L2810" s="40" t="s">
        <v>644</v>
      </c>
      <c r="M2810" s="93">
        <v>1</v>
      </c>
      <c r="N2810" s="94">
        <v>30000</v>
      </c>
      <c r="O2810" s="94">
        <f>N2810*M2810</f>
        <v>30000</v>
      </c>
      <c r="P2810" s="40" t="s">
        <v>3116</v>
      </c>
      <c r="Q2810" s="40" t="s">
        <v>1051</v>
      </c>
      <c r="R2810" s="84">
        <v>556069300</v>
      </c>
      <c r="S2810" s="40">
        <v>100</v>
      </c>
    </row>
    <row r="2811" spans="1:19" s="92" customFormat="1" ht="89.25">
      <c r="A2811" s="5">
        <v>2796</v>
      </c>
      <c r="B2811" s="15" t="s">
        <v>710</v>
      </c>
      <c r="C2811" s="40" t="s">
        <v>597</v>
      </c>
      <c r="D2811" s="40" t="s">
        <v>598</v>
      </c>
      <c r="E2811" s="31" t="s">
        <v>599</v>
      </c>
      <c r="F2811" s="31" t="s">
        <v>782</v>
      </c>
      <c r="G2811" s="31" t="s">
        <v>3195</v>
      </c>
      <c r="H2811" s="40" t="s">
        <v>602</v>
      </c>
      <c r="I2811" s="40" t="s">
        <v>3196</v>
      </c>
      <c r="J2811" s="40" t="s">
        <v>3197</v>
      </c>
      <c r="K2811" s="40" t="s">
        <v>591</v>
      </c>
      <c r="L2811" s="11" t="s">
        <v>914</v>
      </c>
      <c r="M2811" s="93">
        <v>1</v>
      </c>
      <c r="N2811" s="94">
        <v>624400</v>
      </c>
      <c r="O2811" s="94">
        <v>624400</v>
      </c>
      <c r="P2811" s="40" t="s">
        <v>502</v>
      </c>
      <c r="Q2811" s="40" t="s">
        <v>766</v>
      </c>
      <c r="R2811" s="84">
        <v>556430100</v>
      </c>
      <c r="S2811" s="40">
        <v>0</v>
      </c>
    </row>
    <row r="2812" spans="1:19" s="92" customFormat="1" ht="89.25">
      <c r="A2812" s="5">
        <v>2797</v>
      </c>
      <c r="B2812" s="15" t="s">
        <v>710</v>
      </c>
      <c r="C2812" s="40" t="s">
        <v>597</v>
      </c>
      <c r="D2812" s="40" t="s">
        <v>598</v>
      </c>
      <c r="E2812" s="31" t="s">
        <v>599</v>
      </c>
      <c r="F2812" s="31" t="s">
        <v>782</v>
      </c>
      <c r="G2812" s="31" t="s">
        <v>3195</v>
      </c>
      <c r="H2812" s="40" t="s">
        <v>602</v>
      </c>
      <c r="I2812" s="40" t="s">
        <v>3196</v>
      </c>
      <c r="J2812" s="40" t="s">
        <v>3197</v>
      </c>
      <c r="K2812" s="40" t="s">
        <v>591</v>
      </c>
      <c r="L2812" s="11" t="s">
        <v>914</v>
      </c>
      <c r="M2812" s="93">
        <v>1</v>
      </c>
      <c r="N2812" s="94">
        <v>624400</v>
      </c>
      <c r="O2812" s="94">
        <v>624400</v>
      </c>
      <c r="P2812" s="40" t="s">
        <v>502</v>
      </c>
      <c r="Q2812" s="40" t="s">
        <v>766</v>
      </c>
      <c r="R2812" s="84">
        <v>556430100</v>
      </c>
      <c r="S2812" s="40">
        <v>0</v>
      </c>
    </row>
    <row r="2813" spans="1:19" s="92" customFormat="1" ht="51">
      <c r="A2813" s="5">
        <v>2798</v>
      </c>
      <c r="B2813" s="15" t="s">
        <v>710</v>
      </c>
      <c r="C2813" s="40" t="s">
        <v>597</v>
      </c>
      <c r="D2813" s="11" t="s">
        <v>850</v>
      </c>
      <c r="E2813" s="76" t="s">
        <v>1736</v>
      </c>
      <c r="F2813" s="76" t="s">
        <v>851</v>
      </c>
      <c r="G2813" s="76" t="s">
        <v>1737</v>
      </c>
      <c r="H2813" s="76" t="s">
        <v>852</v>
      </c>
      <c r="I2813" s="76" t="s">
        <v>3199</v>
      </c>
      <c r="J2813" s="76" t="s">
        <v>3200</v>
      </c>
      <c r="K2813" s="40" t="s">
        <v>591</v>
      </c>
      <c r="L2813" s="11" t="s">
        <v>914</v>
      </c>
      <c r="M2813" s="97">
        <v>1</v>
      </c>
      <c r="N2813" s="94">
        <f>10000*5</f>
        <v>50000</v>
      </c>
      <c r="O2813" s="94">
        <f>N2813</f>
        <v>50000</v>
      </c>
      <c r="P2813" s="40" t="s">
        <v>698</v>
      </c>
      <c r="Q2813" s="40" t="s">
        <v>766</v>
      </c>
      <c r="R2813" s="84">
        <v>556430100</v>
      </c>
      <c r="S2813" s="40">
        <v>0</v>
      </c>
    </row>
    <row r="2814" spans="1:19" s="92" customFormat="1" ht="51">
      <c r="A2814" s="5">
        <v>2799</v>
      </c>
      <c r="B2814" s="15" t="s">
        <v>710</v>
      </c>
      <c r="C2814" s="40" t="s">
        <v>597</v>
      </c>
      <c r="D2814" s="40" t="s">
        <v>2594</v>
      </c>
      <c r="E2814" s="31" t="s">
        <v>2618</v>
      </c>
      <c r="F2814" s="31" t="s">
        <v>2595</v>
      </c>
      <c r="G2814" s="31" t="s">
        <v>2618</v>
      </c>
      <c r="H2814" s="40" t="s">
        <v>2595</v>
      </c>
      <c r="I2814" s="40" t="s">
        <v>3201</v>
      </c>
      <c r="J2814" s="40" t="s">
        <v>3202</v>
      </c>
      <c r="K2814" s="40" t="s">
        <v>591</v>
      </c>
      <c r="L2814" s="11" t="s">
        <v>914</v>
      </c>
      <c r="M2814" s="93">
        <v>1</v>
      </c>
      <c r="N2814" s="94">
        <f>10500*3</f>
        <v>31500</v>
      </c>
      <c r="O2814" s="94">
        <f>N2814</f>
        <v>31500</v>
      </c>
      <c r="P2814" s="40" t="s">
        <v>3116</v>
      </c>
      <c r="Q2814" s="40" t="s">
        <v>766</v>
      </c>
      <c r="R2814" s="84">
        <v>556430100</v>
      </c>
      <c r="S2814" s="40">
        <v>30</v>
      </c>
    </row>
    <row r="2815" spans="1:19" s="92" customFormat="1" ht="89.25">
      <c r="A2815" s="5">
        <v>2800</v>
      </c>
      <c r="B2815" s="15" t="s">
        <v>710</v>
      </c>
      <c r="C2815" s="40" t="s">
        <v>711</v>
      </c>
      <c r="D2815" s="40" t="s">
        <v>976</v>
      </c>
      <c r="E2815" s="31" t="s">
        <v>730</v>
      </c>
      <c r="F2815" s="31" t="s">
        <v>731</v>
      </c>
      <c r="G2815" s="31" t="s">
        <v>977</v>
      </c>
      <c r="H2815" s="40" t="s">
        <v>978</v>
      </c>
      <c r="I2815" s="40" t="s">
        <v>3203</v>
      </c>
      <c r="J2815" s="40" t="s">
        <v>3204</v>
      </c>
      <c r="K2815" s="40" t="s">
        <v>591</v>
      </c>
      <c r="L2815" s="40" t="s">
        <v>644</v>
      </c>
      <c r="M2815" s="93">
        <v>2</v>
      </c>
      <c r="N2815" s="94">
        <v>26800</v>
      </c>
      <c r="O2815" s="94">
        <f>N2815*M2815</f>
        <v>53600</v>
      </c>
      <c r="P2815" s="40" t="s">
        <v>3116</v>
      </c>
      <c r="Q2815" s="40" t="s">
        <v>1051</v>
      </c>
      <c r="R2815" s="84">
        <v>556430100</v>
      </c>
      <c r="S2815" s="40">
        <v>100</v>
      </c>
    </row>
    <row r="2816" spans="1:19" s="92" customFormat="1" ht="63.75">
      <c r="A2816" s="5">
        <v>2801</v>
      </c>
      <c r="B2816" s="15" t="s">
        <v>710</v>
      </c>
      <c r="C2816" s="40" t="s">
        <v>711</v>
      </c>
      <c r="D2816" s="40" t="s">
        <v>744</v>
      </c>
      <c r="E2816" s="31" t="s">
        <v>745</v>
      </c>
      <c r="F2816" s="31" t="s">
        <v>109</v>
      </c>
      <c r="G2816" s="31" t="s">
        <v>746</v>
      </c>
      <c r="H2816" s="40" t="s">
        <v>3205</v>
      </c>
      <c r="I2816" s="40" t="s">
        <v>3206</v>
      </c>
      <c r="J2816" s="40" t="s">
        <v>3207</v>
      </c>
      <c r="K2816" s="40" t="s">
        <v>591</v>
      </c>
      <c r="L2816" s="40" t="s">
        <v>644</v>
      </c>
      <c r="M2816" s="93">
        <v>6</v>
      </c>
      <c r="N2816" s="94">
        <v>4000</v>
      </c>
      <c r="O2816" s="94">
        <f>M2816*N2816</f>
        <v>24000</v>
      </c>
      <c r="P2816" s="40" t="s">
        <v>3116</v>
      </c>
      <c r="Q2816" s="40" t="s">
        <v>1051</v>
      </c>
      <c r="R2816" s="84">
        <v>556430100</v>
      </c>
      <c r="S2816" s="40">
        <v>100</v>
      </c>
    </row>
    <row r="2817" spans="1:19" s="92" customFormat="1" ht="51">
      <c r="A2817" s="5">
        <v>2802</v>
      </c>
      <c r="B2817" s="15" t="s">
        <v>710</v>
      </c>
      <c r="C2817" s="40" t="s">
        <v>711</v>
      </c>
      <c r="D2817" s="98" t="s">
        <v>422</v>
      </c>
      <c r="E2817" s="76" t="s">
        <v>423</v>
      </c>
      <c r="F2817" s="76" t="s">
        <v>427</v>
      </c>
      <c r="G2817" s="76" t="s">
        <v>837</v>
      </c>
      <c r="H2817" s="76" t="s">
        <v>425</v>
      </c>
      <c r="I2817" s="76" t="s">
        <v>3208</v>
      </c>
      <c r="J2817" s="76" t="s">
        <v>3209</v>
      </c>
      <c r="K2817" s="76" t="s">
        <v>591</v>
      </c>
      <c r="L2817" s="11" t="s">
        <v>909</v>
      </c>
      <c r="M2817" s="53">
        <v>18</v>
      </c>
      <c r="N2817" s="94">
        <v>640</v>
      </c>
      <c r="O2817" s="94">
        <f>N2817*M2817</f>
        <v>11520</v>
      </c>
      <c r="P2817" s="40" t="s">
        <v>3116</v>
      </c>
      <c r="Q2817" s="40" t="s">
        <v>766</v>
      </c>
      <c r="R2817" s="84">
        <v>556430100</v>
      </c>
      <c r="S2817" s="40">
        <v>100</v>
      </c>
    </row>
    <row r="2818" spans="1:19" s="92" customFormat="1" ht="76.5">
      <c r="A2818" s="5">
        <v>2803</v>
      </c>
      <c r="B2818" s="15" t="s">
        <v>710</v>
      </c>
      <c r="C2818" s="40" t="s">
        <v>711</v>
      </c>
      <c r="D2818" s="40" t="s">
        <v>723</v>
      </c>
      <c r="E2818" s="31" t="s">
        <v>874</v>
      </c>
      <c r="F2818" s="31" t="s">
        <v>874</v>
      </c>
      <c r="G2818" s="31" t="s">
        <v>875</v>
      </c>
      <c r="H2818" s="40" t="s">
        <v>876</v>
      </c>
      <c r="I2818" s="40" t="s">
        <v>3210</v>
      </c>
      <c r="J2818" s="40" t="s">
        <v>3211</v>
      </c>
      <c r="K2818" s="40" t="s">
        <v>591</v>
      </c>
      <c r="L2818" s="40" t="s">
        <v>644</v>
      </c>
      <c r="M2818" s="93">
        <v>1</v>
      </c>
      <c r="N2818" s="94">
        <v>30000</v>
      </c>
      <c r="O2818" s="94">
        <f>N2818*M2818</f>
        <v>30000</v>
      </c>
      <c r="P2818" s="40" t="s">
        <v>3116</v>
      </c>
      <c r="Q2818" s="40" t="s">
        <v>1051</v>
      </c>
      <c r="R2818" s="84">
        <v>556430100</v>
      </c>
      <c r="S2818" s="40">
        <v>100</v>
      </c>
    </row>
    <row r="2819" spans="1:19" s="92" customFormat="1" ht="89.25">
      <c r="A2819" s="5">
        <v>2804</v>
      </c>
      <c r="B2819" s="15" t="s">
        <v>710</v>
      </c>
      <c r="C2819" s="40" t="s">
        <v>597</v>
      </c>
      <c r="D2819" s="40" t="s">
        <v>598</v>
      </c>
      <c r="E2819" s="31" t="s">
        <v>599</v>
      </c>
      <c r="F2819" s="31" t="s">
        <v>782</v>
      </c>
      <c r="G2819" s="31" t="s">
        <v>3195</v>
      </c>
      <c r="H2819" s="40" t="s">
        <v>602</v>
      </c>
      <c r="I2819" s="40" t="s">
        <v>3196</v>
      </c>
      <c r="J2819" s="40" t="s">
        <v>3197</v>
      </c>
      <c r="K2819" s="40" t="s">
        <v>591</v>
      </c>
      <c r="L2819" s="11" t="s">
        <v>914</v>
      </c>
      <c r="M2819" s="93">
        <v>1</v>
      </c>
      <c r="N2819" s="94">
        <v>624400</v>
      </c>
      <c r="O2819" s="94">
        <v>624400</v>
      </c>
      <c r="P2819" s="40" t="s">
        <v>502</v>
      </c>
      <c r="Q2819" s="40" t="s">
        <v>766</v>
      </c>
      <c r="R2819" s="84">
        <v>556830000</v>
      </c>
      <c r="S2819" s="40">
        <v>0</v>
      </c>
    </row>
    <row r="2820" spans="1:19" s="92" customFormat="1" ht="89.25">
      <c r="A2820" s="5">
        <v>2805</v>
      </c>
      <c r="B2820" s="15" t="s">
        <v>710</v>
      </c>
      <c r="C2820" s="40" t="s">
        <v>597</v>
      </c>
      <c r="D2820" s="40" t="s">
        <v>598</v>
      </c>
      <c r="E2820" s="31" t="s">
        <v>599</v>
      </c>
      <c r="F2820" s="31" t="s">
        <v>782</v>
      </c>
      <c r="G2820" s="31" t="s">
        <v>3195</v>
      </c>
      <c r="H2820" s="40" t="s">
        <v>602</v>
      </c>
      <c r="I2820" s="40" t="s">
        <v>3196</v>
      </c>
      <c r="J2820" s="40" t="s">
        <v>3197</v>
      </c>
      <c r="K2820" s="40" t="s">
        <v>591</v>
      </c>
      <c r="L2820" s="11" t="s">
        <v>914</v>
      </c>
      <c r="M2820" s="93">
        <v>1</v>
      </c>
      <c r="N2820" s="94">
        <v>624400</v>
      </c>
      <c r="O2820" s="94">
        <v>624400</v>
      </c>
      <c r="P2820" s="40" t="s">
        <v>502</v>
      </c>
      <c r="Q2820" s="40" t="s">
        <v>766</v>
      </c>
      <c r="R2820" s="84">
        <v>556830000</v>
      </c>
      <c r="S2820" s="40">
        <v>0</v>
      </c>
    </row>
    <row r="2821" spans="1:19" s="92" customFormat="1" ht="51">
      <c r="A2821" s="5">
        <v>2806</v>
      </c>
      <c r="B2821" s="15" t="s">
        <v>710</v>
      </c>
      <c r="C2821" s="40" t="s">
        <v>597</v>
      </c>
      <c r="D2821" s="11" t="s">
        <v>850</v>
      </c>
      <c r="E2821" s="76" t="s">
        <v>1736</v>
      </c>
      <c r="F2821" s="76" t="s">
        <v>851</v>
      </c>
      <c r="G2821" s="76" t="s">
        <v>1737</v>
      </c>
      <c r="H2821" s="76" t="s">
        <v>852</v>
      </c>
      <c r="I2821" s="76" t="s">
        <v>3199</v>
      </c>
      <c r="J2821" s="76" t="s">
        <v>3200</v>
      </c>
      <c r="K2821" s="40" t="s">
        <v>591</v>
      </c>
      <c r="L2821" s="11" t="s">
        <v>914</v>
      </c>
      <c r="M2821" s="97">
        <v>1</v>
      </c>
      <c r="N2821" s="94">
        <f>10000*5</f>
        <v>50000</v>
      </c>
      <c r="O2821" s="94">
        <f>N2821</f>
        <v>50000</v>
      </c>
      <c r="P2821" s="40" t="s">
        <v>698</v>
      </c>
      <c r="Q2821" s="40" t="s">
        <v>766</v>
      </c>
      <c r="R2821" s="84">
        <v>556830000</v>
      </c>
      <c r="S2821" s="40">
        <v>0</v>
      </c>
    </row>
    <row r="2822" spans="1:19" s="92" customFormat="1" ht="51">
      <c r="A2822" s="5">
        <v>2807</v>
      </c>
      <c r="B2822" s="15" t="s">
        <v>710</v>
      </c>
      <c r="C2822" s="40" t="s">
        <v>597</v>
      </c>
      <c r="D2822" s="40" t="s">
        <v>2594</v>
      </c>
      <c r="E2822" s="31" t="s">
        <v>2618</v>
      </c>
      <c r="F2822" s="31" t="s">
        <v>2595</v>
      </c>
      <c r="G2822" s="31" t="s">
        <v>2618</v>
      </c>
      <c r="H2822" s="40" t="s">
        <v>2595</v>
      </c>
      <c r="I2822" s="40" t="s">
        <v>3201</v>
      </c>
      <c r="J2822" s="40" t="s">
        <v>3202</v>
      </c>
      <c r="K2822" s="40" t="s">
        <v>591</v>
      </c>
      <c r="L2822" s="11" t="s">
        <v>914</v>
      </c>
      <c r="M2822" s="93">
        <v>1</v>
      </c>
      <c r="N2822" s="94">
        <f>10500*3</f>
        <v>31500</v>
      </c>
      <c r="O2822" s="94">
        <f>N2822</f>
        <v>31500</v>
      </c>
      <c r="P2822" s="40" t="s">
        <v>3116</v>
      </c>
      <c r="Q2822" s="40" t="s">
        <v>766</v>
      </c>
      <c r="R2822" s="84">
        <v>556830000</v>
      </c>
      <c r="S2822" s="40">
        <v>30</v>
      </c>
    </row>
    <row r="2823" spans="1:19" s="92" customFormat="1" ht="89.25">
      <c r="A2823" s="5">
        <v>2808</v>
      </c>
      <c r="B2823" s="15" t="s">
        <v>710</v>
      </c>
      <c r="C2823" s="40" t="s">
        <v>711</v>
      </c>
      <c r="D2823" s="40" t="s">
        <v>976</v>
      </c>
      <c r="E2823" s="31" t="s">
        <v>730</v>
      </c>
      <c r="F2823" s="31" t="s">
        <v>731</v>
      </c>
      <c r="G2823" s="31" t="s">
        <v>977</v>
      </c>
      <c r="H2823" s="40" t="s">
        <v>978</v>
      </c>
      <c r="I2823" s="40" t="s">
        <v>3203</v>
      </c>
      <c r="J2823" s="40" t="s">
        <v>3204</v>
      </c>
      <c r="K2823" s="40" t="s">
        <v>591</v>
      </c>
      <c r="L2823" s="40" t="s">
        <v>644</v>
      </c>
      <c r="M2823" s="93">
        <v>2</v>
      </c>
      <c r="N2823" s="94">
        <v>26800</v>
      </c>
      <c r="O2823" s="94">
        <f>N2823*M2823</f>
        <v>53600</v>
      </c>
      <c r="P2823" s="40" t="s">
        <v>3116</v>
      </c>
      <c r="Q2823" s="40" t="s">
        <v>1051</v>
      </c>
      <c r="R2823" s="84">
        <v>556830000</v>
      </c>
      <c r="S2823" s="40">
        <v>100</v>
      </c>
    </row>
    <row r="2824" spans="1:19" s="92" customFormat="1" ht="63.75">
      <c r="A2824" s="5">
        <v>2809</v>
      </c>
      <c r="B2824" s="15" t="s">
        <v>710</v>
      </c>
      <c r="C2824" s="40" t="s">
        <v>711</v>
      </c>
      <c r="D2824" s="40" t="s">
        <v>744</v>
      </c>
      <c r="E2824" s="31" t="s">
        <v>745</v>
      </c>
      <c r="F2824" s="31" t="s">
        <v>109</v>
      </c>
      <c r="G2824" s="31" t="s">
        <v>746</v>
      </c>
      <c r="H2824" s="40" t="s">
        <v>3205</v>
      </c>
      <c r="I2824" s="40" t="s">
        <v>3206</v>
      </c>
      <c r="J2824" s="40" t="s">
        <v>3207</v>
      </c>
      <c r="K2824" s="40" t="s">
        <v>591</v>
      </c>
      <c r="L2824" s="40" t="s">
        <v>644</v>
      </c>
      <c r="M2824" s="93">
        <v>6</v>
      </c>
      <c r="N2824" s="94">
        <v>4000</v>
      </c>
      <c r="O2824" s="94">
        <f>M2824*N2824</f>
        <v>24000</v>
      </c>
      <c r="P2824" s="40" t="s">
        <v>3116</v>
      </c>
      <c r="Q2824" s="40" t="s">
        <v>1051</v>
      </c>
      <c r="R2824" s="84">
        <v>556830000</v>
      </c>
      <c r="S2824" s="40">
        <v>100</v>
      </c>
    </row>
    <row r="2825" spans="1:19" s="92" customFormat="1" ht="51">
      <c r="A2825" s="5">
        <v>2810</v>
      </c>
      <c r="B2825" s="15" t="s">
        <v>710</v>
      </c>
      <c r="C2825" s="40" t="s">
        <v>711</v>
      </c>
      <c r="D2825" s="98" t="s">
        <v>422</v>
      </c>
      <c r="E2825" s="76" t="s">
        <v>423</v>
      </c>
      <c r="F2825" s="76" t="s">
        <v>427</v>
      </c>
      <c r="G2825" s="76" t="s">
        <v>837</v>
      </c>
      <c r="H2825" s="76" t="s">
        <v>425</v>
      </c>
      <c r="I2825" s="76" t="s">
        <v>3208</v>
      </c>
      <c r="J2825" s="76" t="s">
        <v>3209</v>
      </c>
      <c r="K2825" s="76" t="s">
        <v>591</v>
      </c>
      <c r="L2825" s="11" t="s">
        <v>909</v>
      </c>
      <c r="M2825" s="53">
        <v>18</v>
      </c>
      <c r="N2825" s="94">
        <v>640</v>
      </c>
      <c r="O2825" s="94">
        <f>N2825*M2825</f>
        <v>11520</v>
      </c>
      <c r="P2825" s="40" t="s">
        <v>3116</v>
      </c>
      <c r="Q2825" s="40" t="s">
        <v>766</v>
      </c>
      <c r="R2825" s="84">
        <v>556830000</v>
      </c>
      <c r="S2825" s="40">
        <v>100</v>
      </c>
    </row>
    <row r="2826" spans="1:19" s="92" customFormat="1" ht="76.5">
      <c r="A2826" s="5">
        <v>2811</v>
      </c>
      <c r="B2826" s="15" t="s">
        <v>710</v>
      </c>
      <c r="C2826" s="40" t="s">
        <v>711</v>
      </c>
      <c r="D2826" s="40" t="s">
        <v>723</v>
      </c>
      <c r="E2826" s="31" t="s">
        <v>874</v>
      </c>
      <c r="F2826" s="31" t="s">
        <v>874</v>
      </c>
      <c r="G2826" s="31" t="s">
        <v>875</v>
      </c>
      <c r="H2826" s="40" t="s">
        <v>876</v>
      </c>
      <c r="I2826" s="40" t="s">
        <v>3210</v>
      </c>
      <c r="J2826" s="40" t="s">
        <v>3211</v>
      </c>
      <c r="K2826" s="40" t="s">
        <v>591</v>
      </c>
      <c r="L2826" s="40" t="s">
        <v>644</v>
      </c>
      <c r="M2826" s="93">
        <v>1</v>
      </c>
      <c r="N2826" s="94">
        <v>30000</v>
      </c>
      <c r="O2826" s="94">
        <f>N2826*M2826</f>
        <v>30000</v>
      </c>
      <c r="P2826" s="40" t="s">
        <v>3116</v>
      </c>
      <c r="Q2826" s="40" t="s">
        <v>1051</v>
      </c>
      <c r="R2826" s="84">
        <v>556830000</v>
      </c>
      <c r="S2826" s="40">
        <v>100</v>
      </c>
    </row>
    <row r="2827" spans="1:19" s="92" customFormat="1" ht="89.25">
      <c r="A2827" s="5">
        <v>2812</v>
      </c>
      <c r="B2827" s="15" t="s">
        <v>710</v>
      </c>
      <c r="C2827" s="40" t="s">
        <v>597</v>
      </c>
      <c r="D2827" s="40" t="s">
        <v>598</v>
      </c>
      <c r="E2827" s="31" t="s">
        <v>599</v>
      </c>
      <c r="F2827" s="31" t="s">
        <v>782</v>
      </c>
      <c r="G2827" s="31" t="s">
        <v>3195</v>
      </c>
      <c r="H2827" s="40" t="s">
        <v>602</v>
      </c>
      <c r="I2827" s="40" t="s">
        <v>3196</v>
      </c>
      <c r="J2827" s="40" t="s">
        <v>3197</v>
      </c>
      <c r="K2827" s="40" t="s">
        <v>591</v>
      </c>
      <c r="L2827" s="11" t="s">
        <v>914</v>
      </c>
      <c r="M2827" s="93">
        <v>1</v>
      </c>
      <c r="N2827" s="94">
        <v>624400</v>
      </c>
      <c r="O2827" s="94">
        <v>624400</v>
      </c>
      <c r="P2827" s="40" t="s">
        <v>502</v>
      </c>
      <c r="Q2827" s="40" t="s">
        <v>766</v>
      </c>
      <c r="R2827" s="84">
        <v>551010000</v>
      </c>
      <c r="S2827" s="40">
        <v>0</v>
      </c>
    </row>
    <row r="2828" spans="1:19" s="92" customFormat="1" ht="89.25">
      <c r="A2828" s="5">
        <v>2813</v>
      </c>
      <c r="B2828" s="15" t="s">
        <v>710</v>
      </c>
      <c r="C2828" s="40" t="s">
        <v>597</v>
      </c>
      <c r="D2828" s="40" t="s">
        <v>598</v>
      </c>
      <c r="E2828" s="31" t="s">
        <v>599</v>
      </c>
      <c r="F2828" s="31" t="s">
        <v>782</v>
      </c>
      <c r="G2828" s="31" t="s">
        <v>3195</v>
      </c>
      <c r="H2828" s="40" t="s">
        <v>602</v>
      </c>
      <c r="I2828" s="40" t="s">
        <v>3196</v>
      </c>
      <c r="J2828" s="40" t="s">
        <v>3197</v>
      </c>
      <c r="K2828" s="40" t="s">
        <v>591</v>
      </c>
      <c r="L2828" s="11" t="s">
        <v>914</v>
      </c>
      <c r="M2828" s="93">
        <v>1</v>
      </c>
      <c r="N2828" s="94">
        <v>624400</v>
      </c>
      <c r="O2828" s="94">
        <v>624400</v>
      </c>
      <c r="P2828" s="40" t="s">
        <v>502</v>
      </c>
      <c r="Q2828" s="40" t="s">
        <v>766</v>
      </c>
      <c r="R2828" s="84">
        <v>551010000</v>
      </c>
      <c r="S2828" s="40">
        <v>0</v>
      </c>
    </row>
    <row r="2829" spans="1:19" s="92" customFormat="1" ht="51">
      <c r="A2829" s="5">
        <v>2814</v>
      </c>
      <c r="B2829" s="15" t="s">
        <v>710</v>
      </c>
      <c r="C2829" s="40" t="s">
        <v>597</v>
      </c>
      <c r="D2829" s="11" t="s">
        <v>850</v>
      </c>
      <c r="E2829" s="76" t="s">
        <v>1736</v>
      </c>
      <c r="F2829" s="76" t="s">
        <v>851</v>
      </c>
      <c r="G2829" s="76" t="s">
        <v>1737</v>
      </c>
      <c r="H2829" s="76" t="s">
        <v>852</v>
      </c>
      <c r="I2829" s="76" t="s">
        <v>3199</v>
      </c>
      <c r="J2829" s="76" t="s">
        <v>3200</v>
      </c>
      <c r="K2829" s="40" t="s">
        <v>591</v>
      </c>
      <c r="L2829" s="11" t="s">
        <v>914</v>
      </c>
      <c r="M2829" s="97">
        <v>1</v>
      </c>
      <c r="N2829" s="94">
        <f>10000*5</f>
        <v>50000</v>
      </c>
      <c r="O2829" s="94">
        <f>N2829</f>
        <v>50000</v>
      </c>
      <c r="P2829" s="40" t="s">
        <v>698</v>
      </c>
      <c r="Q2829" s="40" t="s">
        <v>766</v>
      </c>
      <c r="R2829" s="84">
        <v>551010000</v>
      </c>
      <c r="S2829" s="40">
        <v>0</v>
      </c>
    </row>
    <row r="2830" spans="1:19" s="92" customFormat="1" ht="51">
      <c r="A2830" s="5">
        <v>2815</v>
      </c>
      <c r="B2830" s="15" t="s">
        <v>710</v>
      </c>
      <c r="C2830" s="40" t="s">
        <v>597</v>
      </c>
      <c r="D2830" s="40" t="s">
        <v>2594</v>
      </c>
      <c r="E2830" s="31" t="s">
        <v>2618</v>
      </c>
      <c r="F2830" s="31" t="s">
        <v>2595</v>
      </c>
      <c r="G2830" s="31" t="s">
        <v>2618</v>
      </c>
      <c r="H2830" s="40" t="s">
        <v>2595</v>
      </c>
      <c r="I2830" s="40" t="s">
        <v>3201</v>
      </c>
      <c r="J2830" s="40" t="s">
        <v>3202</v>
      </c>
      <c r="K2830" s="40" t="s">
        <v>591</v>
      </c>
      <c r="L2830" s="11" t="s">
        <v>914</v>
      </c>
      <c r="M2830" s="93">
        <v>1</v>
      </c>
      <c r="N2830" s="94">
        <f>10500*3</f>
        <v>31500</v>
      </c>
      <c r="O2830" s="94">
        <f>N2830</f>
        <v>31500</v>
      </c>
      <c r="P2830" s="40" t="s">
        <v>3116</v>
      </c>
      <c r="Q2830" s="40" t="s">
        <v>766</v>
      </c>
      <c r="R2830" s="84">
        <v>551010000</v>
      </c>
      <c r="S2830" s="40">
        <v>30</v>
      </c>
    </row>
    <row r="2831" spans="1:19" s="92" customFormat="1" ht="89.25">
      <c r="A2831" s="5">
        <v>2816</v>
      </c>
      <c r="B2831" s="15" t="s">
        <v>710</v>
      </c>
      <c r="C2831" s="40" t="s">
        <v>711</v>
      </c>
      <c r="D2831" s="40" t="s">
        <v>976</v>
      </c>
      <c r="E2831" s="31" t="s">
        <v>730</v>
      </c>
      <c r="F2831" s="31" t="s">
        <v>731</v>
      </c>
      <c r="G2831" s="31" t="s">
        <v>977</v>
      </c>
      <c r="H2831" s="40" t="s">
        <v>978</v>
      </c>
      <c r="I2831" s="40" t="s">
        <v>3203</v>
      </c>
      <c r="J2831" s="40" t="s">
        <v>3204</v>
      </c>
      <c r="K2831" s="40" t="s">
        <v>591</v>
      </c>
      <c r="L2831" s="40" t="s">
        <v>644</v>
      </c>
      <c r="M2831" s="93">
        <v>2</v>
      </c>
      <c r="N2831" s="94">
        <v>26800</v>
      </c>
      <c r="O2831" s="94">
        <f>N2831*M2831</f>
        <v>53600</v>
      </c>
      <c r="P2831" s="40" t="s">
        <v>3116</v>
      </c>
      <c r="Q2831" s="40" t="s">
        <v>1051</v>
      </c>
      <c r="R2831" s="84">
        <v>551010000</v>
      </c>
      <c r="S2831" s="40">
        <v>100</v>
      </c>
    </row>
    <row r="2832" spans="1:19" s="92" customFormat="1" ht="63.75">
      <c r="A2832" s="5">
        <v>2817</v>
      </c>
      <c r="B2832" s="15" t="s">
        <v>710</v>
      </c>
      <c r="C2832" s="40" t="s">
        <v>711</v>
      </c>
      <c r="D2832" s="40" t="s">
        <v>744</v>
      </c>
      <c r="E2832" s="31" t="s">
        <v>745</v>
      </c>
      <c r="F2832" s="31" t="s">
        <v>109</v>
      </c>
      <c r="G2832" s="31" t="s">
        <v>746</v>
      </c>
      <c r="H2832" s="40" t="s">
        <v>3205</v>
      </c>
      <c r="I2832" s="40" t="s">
        <v>3206</v>
      </c>
      <c r="J2832" s="40" t="s">
        <v>3207</v>
      </c>
      <c r="K2832" s="40" t="s">
        <v>591</v>
      </c>
      <c r="L2832" s="40" t="s">
        <v>644</v>
      </c>
      <c r="M2832" s="93">
        <v>6</v>
      </c>
      <c r="N2832" s="94">
        <v>4000</v>
      </c>
      <c r="O2832" s="94">
        <f>M2832*N2832</f>
        <v>24000</v>
      </c>
      <c r="P2832" s="40" t="s">
        <v>3116</v>
      </c>
      <c r="Q2832" s="40" t="s">
        <v>1051</v>
      </c>
      <c r="R2832" s="84">
        <v>551010000</v>
      </c>
      <c r="S2832" s="40">
        <v>100</v>
      </c>
    </row>
    <row r="2833" spans="1:19" s="92" customFormat="1" ht="51">
      <c r="A2833" s="5">
        <v>2818</v>
      </c>
      <c r="B2833" s="15" t="s">
        <v>710</v>
      </c>
      <c r="C2833" s="40" t="s">
        <v>711</v>
      </c>
      <c r="D2833" s="98" t="s">
        <v>422</v>
      </c>
      <c r="E2833" s="76" t="s">
        <v>423</v>
      </c>
      <c r="F2833" s="76" t="s">
        <v>427</v>
      </c>
      <c r="G2833" s="76" t="s">
        <v>837</v>
      </c>
      <c r="H2833" s="76" t="s">
        <v>425</v>
      </c>
      <c r="I2833" s="76" t="s">
        <v>3208</v>
      </c>
      <c r="J2833" s="76" t="s">
        <v>3209</v>
      </c>
      <c r="K2833" s="76" t="s">
        <v>591</v>
      </c>
      <c r="L2833" s="11" t="s">
        <v>909</v>
      </c>
      <c r="M2833" s="53">
        <v>18</v>
      </c>
      <c r="N2833" s="94">
        <v>640</v>
      </c>
      <c r="O2833" s="94">
        <f>N2833*M2833</f>
        <v>11520</v>
      </c>
      <c r="P2833" s="40" t="s">
        <v>3116</v>
      </c>
      <c r="Q2833" s="40" t="s">
        <v>766</v>
      </c>
      <c r="R2833" s="84">
        <v>551010000</v>
      </c>
      <c r="S2833" s="40">
        <v>100</v>
      </c>
    </row>
    <row r="2834" spans="1:19" s="92" customFormat="1" ht="76.5">
      <c r="A2834" s="5">
        <v>2819</v>
      </c>
      <c r="B2834" s="15" t="s">
        <v>710</v>
      </c>
      <c r="C2834" s="40" t="s">
        <v>711</v>
      </c>
      <c r="D2834" s="40" t="s">
        <v>723</v>
      </c>
      <c r="E2834" s="31" t="s">
        <v>874</v>
      </c>
      <c r="F2834" s="31" t="s">
        <v>874</v>
      </c>
      <c r="G2834" s="31" t="s">
        <v>875</v>
      </c>
      <c r="H2834" s="40" t="s">
        <v>876</v>
      </c>
      <c r="I2834" s="40" t="s">
        <v>3210</v>
      </c>
      <c r="J2834" s="40" t="s">
        <v>3211</v>
      </c>
      <c r="K2834" s="40" t="s">
        <v>591</v>
      </c>
      <c r="L2834" s="40" t="s">
        <v>644</v>
      </c>
      <c r="M2834" s="93">
        <v>1</v>
      </c>
      <c r="N2834" s="94">
        <v>30000</v>
      </c>
      <c r="O2834" s="94">
        <f>N2834*M2834</f>
        <v>30000</v>
      </c>
      <c r="P2834" s="40" t="s">
        <v>3116</v>
      </c>
      <c r="Q2834" s="40" t="s">
        <v>1051</v>
      </c>
      <c r="R2834" s="84">
        <v>551010000</v>
      </c>
      <c r="S2834" s="40">
        <v>100</v>
      </c>
    </row>
    <row r="2835" spans="1:19" s="92" customFormat="1" ht="51">
      <c r="A2835" s="5">
        <v>2820</v>
      </c>
      <c r="B2835" s="15" t="s">
        <v>710</v>
      </c>
      <c r="C2835" s="40" t="s">
        <v>597</v>
      </c>
      <c r="D2835" s="40" t="s">
        <v>3128</v>
      </c>
      <c r="E2835" s="31" t="s">
        <v>2620</v>
      </c>
      <c r="F2835" s="31" t="s">
        <v>1304</v>
      </c>
      <c r="G2835" s="31" t="s">
        <v>3129</v>
      </c>
      <c r="H2835" s="40" t="s">
        <v>3130</v>
      </c>
      <c r="I2835" s="40" t="s">
        <v>3131</v>
      </c>
      <c r="J2835" s="40" t="s">
        <v>3132</v>
      </c>
      <c r="K2835" s="40" t="s">
        <v>591</v>
      </c>
      <c r="L2835" s="11" t="s">
        <v>914</v>
      </c>
      <c r="M2835" s="93">
        <v>1</v>
      </c>
      <c r="N2835" s="94">
        <f>59000*17</f>
        <v>1003000</v>
      </c>
      <c r="O2835" s="94">
        <f>N2835*M2835</f>
        <v>1003000</v>
      </c>
      <c r="P2835" s="40" t="s">
        <v>3116</v>
      </c>
      <c r="Q2835" s="40" t="s">
        <v>766</v>
      </c>
      <c r="R2835" s="84">
        <v>111010000</v>
      </c>
      <c r="S2835" s="40">
        <v>50</v>
      </c>
    </row>
    <row r="2836" spans="1:19" s="92" customFormat="1" ht="76.5">
      <c r="A2836" s="5">
        <v>2821</v>
      </c>
      <c r="B2836" s="15" t="s">
        <v>710</v>
      </c>
      <c r="C2836" s="40" t="s">
        <v>3117</v>
      </c>
      <c r="D2836" s="40" t="s">
        <v>532</v>
      </c>
      <c r="E2836" s="31" t="s">
        <v>3133</v>
      </c>
      <c r="F2836" s="31" t="s">
        <v>534</v>
      </c>
      <c r="G2836" s="31" t="s">
        <v>3133</v>
      </c>
      <c r="H2836" s="31" t="s">
        <v>534</v>
      </c>
      <c r="I2836" s="40" t="s">
        <v>3134</v>
      </c>
      <c r="J2836" s="40" t="s">
        <v>3135</v>
      </c>
      <c r="K2836" s="40" t="s">
        <v>591</v>
      </c>
      <c r="L2836" s="11" t="s">
        <v>914</v>
      </c>
      <c r="M2836" s="93">
        <v>1</v>
      </c>
      <c r="N2836" s="94">
        <f>17*30000</f>
        <v>510000</v>
      </c>
      <c r="O2836" s="94">
        <f>N2836*M2836</f>
        <v>510000</v>
      </c>
      <c r="P2836" s="40" t="s">
        <v>3116</v>
      </c>
      <c r="Q2836" s="40" t="s">
        <v>1051</v>
      </c>
      <c r="R2836" s="84">
        <v>111010000</v>
      </c>
      <c r="S2836" s="40">
        <v>50</v>
      </c>
    </row>
    <row r="2837" spans="1:19" s="92" customFormat="1" ht="51">
      <c r="A2837" s="5">
        <v>2822</v>
      </c>
      <c r="B2837" s="15" t="s">
        <v>710</v>
      </c>
      <c r="C2837" s="40" t="s">
        <v>2433</v>
      </c>
      <c r="D2837" s="40" t="s">
        <v>3136</v>
      </c>
      <c r="E2837" s="40" t="s">
        <v>466</v>
      </c>
      <c r="F2837" s="40" t="s">
        <v>25</v>
      </c>
      <c r="G2837" s="40" t="s">
        <v>3212</v>
      </c>
      <c r="H2837" s="40" t="s">
        <v>467</v>
      </c>
      <c r="I2837" s="40" t="s">
        <v>3137</v>
      </c>
      <c r="J2837" s="40" t="s">
        <v>3138</v>
      </c>
      <c r="K2837" s="40" t="s">
        <v>591</v>
      </c>
      <c r="L2837" s="95" t="s">
        <v>644</v>
      </c>
      <c r="M2837" s="93">
        <f>34*5</f>
        <v>170</v>
      </c>
      <c r="N2837" s="94">
        <v>40</v>
      </c>
      <c r="O2837" s="94">
        <f>N2837*M2837</f>
        <v>6800</v>
      </c>
      <c r="P2837" s="40" t="s">
        <v>3139</v>
      </c>
      <c r="Q2837" s="40" t="s">
        <v>766</v>
      </c>
      <c r="R2837" s="84">
        <v>111010000</v>
      </c>
      <c r="S2837" s="40">
        <v>0</v>
      </c>
    </row>
    <row r="2838" spans="1:19" s="92" customFormat="1" ht="51">
      <c r="A2838" s="5">
        <v>2823</v>
      </c>
      <c r="B2838" s="15" t="s">
        <v>710</v>
      </c>
      <c r="C2838" s="40" t="s">
        <v>2433</v>
      </c>
      <c r="D2838" s="40" t="s">
        <v>3140</v>
      </c>
      <c r="E2838" s="40" t="s">
        <v>3141</v>
      </c>
      <c r="F2838" s="40" t="s">
        <v>3142</v>
      </c>
      <c r="G2838" s="40" t="s">
        <v>3213</v>
      </c>
      <c r="H2838" s="40" t="s">
        <v>3214</v>
      </c>
      <c r="I2838" s="40" t="s">
        <v>3143</v>
      </c>
      <c r="J2838" s="40" t="s">
        <v>3144</v>
      </c>
      <c r="K2838" s="40" t="s">
        <v>591</v>
      </c>
      <c r="L2838" s="95" t="s">
        <v>644</v>
      </c>
      <c r="M2838" s="93">
        <f>34*2</f>
        <v>68</v>
      </c>
      <c r="N2838" s="94">
        <v>170</v>
      </c>
      <c r="O2838" s="94">
        <f t="shared" ref="O2838:O2855" si="72">N2838*M2838</f>
        <v>11560</v>
      </c>
      <c r="P2838" s="40" t="s">
        <v>3139</v>
      </c>
      <c r="Q2838" s="40" t="s">
        <v>766</v>
      </c>
      <c r="R2838" s="84">
        <v>111010000</v>
      </c>
      <c r="S2838" s="40">
        <v>0</v>
      </c>
    </row>
    <row r="2839" spans="1:19" s="92" customFormat="1" ht="51">
      <c r="A2839" s="5">
        <v>2824</v>
      </c>
      <c r="B2839" s="15" t="s">
        <v>710</v>
      </c>
      <c r="C2839" s="40" t="s">
        <v>2433</v>
      </c>
      <c r="D2839" s="40" t="s">
        <v>452</v>
      </c>
      <c r="E2839" s="40" t="s">
        <v>453</v>
      </c>
      <c r="F2839" s="40" t="s">
        <v>454</v>
      </c>
      <c r="G2839" s="40" t="s">
        <v>455</v>
      </c>
      <c r="H2839" s="40" t="s">
        <v>456</v>
      </c>
      <c r="I2839" s="40" t="s">
        <v>3145</v>
      </c>
      <c r="J2839" s="40" t="s">
        <v>3146</v>
      </c>
      <c r="K2839" s="40" t="s">
        <v>591</v>
      </c>
      <c r="L2839" s="95" t="s">
        <v>480</v>
      </c>
      <c r="M2839" s="93">
        <f>34*5</f>
        <v>170</v>
      </c>
      <c r="N2839" s="94">
        <v>155</v>
      </c>
      <c r="O2839" s="94">
        <f t="shared" si="72"/>
        <v>26350</v>
      </c>
      <c r="P2839" s="40" t="s">
        <v>3139</v>
      </c>
      <c r="Q2839" s="40" t="s">
        <v>766</v>
      </c>
      <c r="R2839" s="84">
        <v>111010000</v>
      </c>
      <c r="S2839" s="40">
        <v>0</v>
      </c>
    </row>
    <row r="2840" spans="1:19" s="92" customFormat="1" ht="51">
      <c r="A2840" s="5">
        <v>2825</v>
      </c>
      <c r="B2840" s="15" t="s">
        <v>710</v>
      </c>
      <c r="C2840" s="40" t="s">
        <v>2433</v>
      </c>
      <c r="D2840" s="40" t="s">
        <v>452</v>
      </c>
      <c r="E2840" s="40" t="s">
        <v>453</v>
      </c>
      <c r="F2840" s="40" t="s">
        <v>454</v>
      </c>
      <c r="G2840" s="40" t="s">
        <v>455</v>
      </c>
      <c r="H2840" s="40" t="s">
        <v>456</v>
      </c>
      <c r="I2840" s="40" t="s">
        <v>3147</v>
      </c>
      <c r="J2840" s="40" t="s">
        <v>3148</v>
      </c>
      <c r="K2840" s="40" t="s">
        <v>591</v>
      </c>
      <c r="L2840" s="95" t="s">
        <v>480</v>
      </c>
      <c r="M2840" s="93">
        <f>34*5</f>
        <v>170</v>
      </c>
      <c r="N2840" s="94">
        <v>200</v>
      </c>
      <c r="O2840" s="94">
        <f t="shared" si="72"/>
        <v>34000</v>
      </c>
      <c r="P2840" s="40" t="s">
        <v>3139</v>
      </c>
      <c r="Q2840" s="40" t="s">
        <v>766</v>
      </c>
      <c r="R2840" s="84">
        <v>111010000</v>
      </c>
      <c r="S2840" s="40">
        <v>0</v>
      </c>
    </row>
    <row r="2841" spans="1:19" s="92" customFormat="1" ht="51">
      <c r="A2841" s="5">
        <v>2826</v>
      </c>
      <c r="B2841" s="15" t="s">
        <v>710</v>
      </c>
      <c r="C2841" s="40" t="s">
        <v>2433</v>
      </c>
      <c r="D2841" s="40" t="s">
        <v>432</v>
      </c>
      <c r="E2841" s="40" t="s">
        <v>433</v>
      </c>
      <c r="F2841" s="40" t="s">
        <v>434</v>
      </c>
      <c r="G2841" s="40" t="s">
        <v>435</v>
      </c>
      <c r="H2841" s="40" t="s">
        <v>436</v>
      </c>
      <c r="I2841" s="40" t="s">
        <v>3149</v>
      </c>
      <c r="J2841" s="40" t="s">
        <v>3150</v>
      </c>
      <c r="K2841" s="40" t="s">
        <v>591</v>
      </c>
      <c r="L2841" s="95" t="s">
        <v>644</v>
      </c>
      <c r="M2841" s="93">
        <f>34*5</f>
        <v>170</v>
      </c>
      <c r="N2841" s="94">
        <v>250</v>
      </c>
      <c r="O2841" s="94">
        <f t="shared" si="72"/>
        <v>42500</v>
      </c>
      <c r="P2841" s="40" t="s">
        <v>3139</v>
      </c>
      <c r="Q2841" s="40" t="s">
        <v>766</v>
      </c>
      <c r="R2841" s="84">
        <v>111010000</v>
      </c>
      <c r="S2841" s="40">
        <v>0</v>
      </c>
    </row>
    <row r="2842" spans="1:19" s="92" customFormat="1" ht="51">
      <c r="A2842" s="5">
        <v>2827</v>
      </c>
      <c r="B2842" s="15" t="s">
        <v>710</v>
      </c>
      <c r="C2842" s="40" t="s">
        <v>2433</v>
      </c>
      <c r="D2842" s="40" t="s">
        <v>447</v>
      </c>
      <c r="E2842" s="40" t="s">
        <v>24</v>
      </c>
      <c r="F2842" s="40" t="s">
        <v>24</v>
      </c>
      <c r="G2842" s="40" t="s">
        <v>3215</v>
      </c>
      <c r="H2842" s="40" t="s">
        <v>448</v>
      </c>
      <c r="I2842" s="40" t="s">
        <v>3151</v>
      </c>
      <c r="J2842" s="40" t="s">
        <v>3152</v>
      </c>
      <c r="K2842" s="40" t="s">
        <v>591</v>
      </c>
      <c r="L2842" s="95" t="s">
        <v>644</v>
      </c>
      <c r="M2842" s="93">
        <f>34*3</f>
        <v>102</v>
      </c>
      <c r="N2842" s="94">
        <v>250</v>
      </c>
      <c r="O2842" s="94">
        <f t="shared" si="72"/>
        <v>25500</v>
      </c>
      <c r="P2842" s="40" t="s">
        <v>3139</v>
      </c>
      <c r="Q2842" s="40" t="s">
        <v>766</v>
      </c>
      <c r="R2842" s="84">
        <v>111010000</v>
      </c>
      <c r="S2842" s="40">
        <v>0</v>
      </c>
    </row>
    <row r="2843" spans="1:19" s="92" customFormat="1" ht="51">
      <c r="A2843" s="5">
        <v>2828</v>
      </c>
      <c r="B2843" s="15" t="s">
        <v>710</v>
      </c>
      <c r="C2843" s="40" t="s">
        <v>2433</v>
      </c>
      <c r="D2843" s="40" t="s">
        <v>449</v>
      </c>
      <c r="E2843" s="40" t="s">
        <v>450</v>
      </c>
      <c r="F2843" s="40" t="s">
        <v>450</v>
      </c>
      <c r="G2843" s="40" t="s">
        <v>3216</v>
      </c>
      <c r="H2843" s="40" t="s">
        <v>451</v>
      </c>
      <c r="I2843" s="40" t="s">
        <v>3153</v>
      </c>
      <c r="J2843" s="40" t="s">
        <v>3154</v>
      </c>
      <c r="K2843" s="40" t="s">
        <v>591</v>
      </c>
      <c r="L2843" s="95" t="s">
        <v>480</v>
      </c>
      <c r="M2843" s="93">
        <f>34*3</f>
        <v>102</v>
      </c>
      <c r="N2843" s="94">
        <v>250</v>
      </c>
      <c r="O2843" s="94">
        <f t="shared" si="72"/>
        <v>25500</v>
      </c>
      <c r="P2843" s="40" t="s">
        <v>3139</v>
      </c>
      <c r="Q2843" s="40" t="s">
        <v>766</v>
      </c>
      <c r="R2843" s="84">
        <v>111010000</v>
      </c>
      <c r="S2843" s="40">
        <v>0</v>
      </c>
    </row>
    <row r="2844" spans="1:19" s="92" customFormat="1" ht="51">
      <c r="A2844" s="5">
        <v>2829</v>
      </c>
      <c r="B2844" s="15" t="s">
        <v>710</v>
      </c>
      <c r="C2844" s="40" t="s">
        <v>2433</v>
      </c>
      <c r="D2844" s="40" t="s">
        <v>3155</v>
      </c>
      <c r="E2844" s="40" t="s">
        <v>3156</v>
      </c>
      <c r="F2844" s="40" t="s">
        <v>3157</v>
      </c>
      <c r="G2844" s="40" t="s">
        <v>3217</v>
      </c>
      <c r="H2844" s="40" t="s">
        <v>3218</v>
      </c>
      <c r="I2844" s="40" t="s">
        <v>3158</v>
      </c>
      <c r="J2844" s="40" t="s">
        <v>3159</v>
      </c>
      <c r="K2844" s="40" t="s">
        <v>591</v>
      </c>
      <c r="L2844" s="95" t="s">
        <v>644</v>
      </c>
      <c r="M2844" s="93">
        <f>34*2</f>
        <v>68</v>
      </c>
      <c r="N2844" s="94">
        <v>150</v>
      </c>
      <c r="O2844" s="94">
        <f t="shared" si="72"/>
        <v>10200</v>
      </c>
      <c r="P2844" s="40" t="s">
        <v>3139</v>
      </c>
      <c r="Q2844" s="40" t="s">
        <v>766</v>
      </c>
      <c r="R2844" s="84">
        <v>111010000</v>
      </c>
      <c r="S2844" s="40">
        <v>0</v>
      </c>
    </row>
    <row r="2845" spans="1:19" s="92" customFormat="1" ht="51">
      <c r="A2845" s="5">
        <v>2830</v>
      </c>
      <c r="B2845" s="15" t="s">
        <v>710</v>
      </c>
      <c r="C2845" s="40" t="s">
        <v>2433</v>
      </c>
      <c r="D2845" s="40" t="s">
        <v>437</v>
      </c>
      <c r="E2845" s="40" t="s">
        <v>20</v>
      </c>
      <c r="F2845" s="40" t="s">
        <v>20</v>
      </c>
      <c r="G2845" s="40" t="s">
        <v>438</v>
      </c>
      <c r="H2845" s="40" t="s">
        <v>439</v>
      </c>
      <c r="I2845" s="40" t="s">
        <v>3160</v>
      </c>
      <c r="J2845" s="40" t="s">
        <v>3161</v>
      </c>
      <c r="K2845" s="40" t="s">
        <v>591</v>
      </c>
      <c r="L2845" s="95" t="s">
        <v>644</v>
      </c>
      <c r="M2845" s="93">
        <f>34*5</f>
        <v>170</v>
      </c>
      <c r="N2845" s="94">
        <v>100</v>
      </c>
      <c r="O2845" s="94">
        <f t="shared" si="72"/>
        <v>17000</v>
      </c>
      <c r="P2845" s="40" t="s">
        <v>3139</v>
      </c>
      <c r="Q2845" s="40" t="s">
        <v>766</v>
      </c>
      <c r="R2845" s="84">
        <v>111010000</v>
      </c>
      <c r="S2845" s="40">
        <v>0</v>
      </c>
    </row>
    <row r="2846" spans="1:19" s="92" customFormat="1" ht="51">
      <c r="A2846" s="5">
        <v>2831</v>
      </c>
      <c r="B2846" s="15" t="s">
        <v>710</v>
      </c>
      <c r="C2846" s="40" t="s">
        <v>2433</v>
      </c>
      <c r="D2846" s="40" t="s">
        <v>3162</v>
      </c>
      <c r="E2846" s="40" t="s">
        <v>3163</v>
      </c>
      <c r="F2846" s="40" t="s">
        <v>3164</v>
      </c>
      <c r="G2846" s="31" t="s">
        <v>3219</v>
      </c>
      <c r="H2846" s="40" t="s">
        <v>3220</v>
      </c>
      <c r="I2846" s="40" t="s">
        <v>3165</v>
      </c>
      <c r="J2846" s="40" t="s">
        <v>3166</v>
      </c>
      <c r="K2846" s="40" t="s">
        <v>591</v>
      </c>
      <c r="L2846" s="95" t="s">
        <v>480</v>
      </c>
      <c r="M2846" s="93">
        <f>34*5</f>
        <v>170</v>
      </c>
      <c r="N2846" s="94">
        <v>500</v>
      </c>
      <c r="O2846" s="94">
        <f t="shared" si="72"/>
        <v>85000</v>
      </c>
      <c r="P2846" s="40" t="s">
        <v>3139</v>
      </c>
      <c r="Q2846" s="40" t="s">
        <v>766</v>
      </c>
      <c r="R2846" s="84">
        <v>111010000</v>
      </c>
      <c r="S2846" s="40">
        <v>0</v>
      </c>
    </row>
    <row r="2847" spans="1:19" s="92" customFormat="1" ht="51">
      <c r="A2847" s="5">
        <v>2832</v>
      </c>
      <c r="B2847" s="15" t="s">
        <v>710</v>
      </c>
      <c r="C2847" s="40" t="s">
        <v>2433</v>
      </c>
      <c r="D2847" s="40" t="s">
        <v>440</v>
      </c>
      <c r="E2847" s="40" t="s">
        <v>21</v>
      </c>
      <c r="F2847" s="40" t="s">
        <v>21</v>
      </c>
      <c r="G2847" s="31" t="s">
        <v>441</v>
      </c>
      <c r="H2847" s="40" t="s">
        <v>442</v>
      </c>
      <c r="I2847" s="40" t="s">
        <v>3167</v>
      </c>
      <c r="J2847" s="40" t="s">
        <v>3168</v>
      </c>
      <c r="K2847" s="40" t="s">
        <v>591</v>
      </c>
      <c r="L2847" s="95" t="s">
        <v>644</v>
      </c>
      <c r="M2847" s="93">
        <f t="shared" ref="M2847:M2852" si="73">34*1</f>
        <v>34</v>
      </c>
      <c r="N2847" s="94">
        <v>1500</v>
      </c>
      <c r="O2847" s="94">
        <f t="shared" si="72"/>
        <v>51000</v>
      </c>
      <c r="P2847" s="40" t="s">
        <v>3139</v>
      </c>
      <c r="Q2847" s="40" t="s">
        <v>766</v>
      </c>
      <c r="R2847" s="84">
        <v>111010000</v>
      </c>
      <c r="S2847" s="40">
        <v>0</v>
      </c>
    </row>
    <row r="2848" spans="1:19" s="92" customFormat="1" ht="127.5">
      <c r="A2848" s="5">
        <v>2833</v>
      </c>
      <c r="B2848" s="15" t="s">
        <v>710</v>
      </c>
      <c r="C2848" s="40" t="s">
        <v>2433</v>
      </c>
      <c r="D2848" s="40" t="s">
        <v>470</v>
      </c>
      <c r="E2848" s="40" t="s">
        <v>27</v>
      </c>
      <c r="F2848" s="40" t="s">
        <v>27</v>
      </c>
      <c r="G2848" s="31" t="s">
        <v>471</v>
      </c>
      <c r="H2848" s="40" t="s">
        <v>472</v>
      </c>
      <c r="I2848" s="40" t="s">
        <v>3169</v>
      </c>
      <c r="J2848" s="40" t="s">
        <v>3170</v>
      </c>
      <c r="K2848" s="40" t="s">
        <v>591</v>
      </c>
      <c r="L2848" s="95" t="s">
        <v>644</v>
      </c>
      <c r="M2848" s="93">
        <f t="shared" si="73"/>
        <v>34</v>
      </c>
      <c r="N2848" s="94">
        <v>3500</v>
      </c>
      <c r="O2848" s="94">
        <f t="shared" si="72"/>
        <v>119000</v>
      </c>
      <c r="P2848" s="40" t="s">
        <v>3139</v>
      </c>
      <c r="Q2848" s="40" t="s">
        <v>766</v>
      </c>
      <c r="R2848" s="84">
        <v>111010000</v>
      </c>
      <c r="S2848" s="40">
        <v>0</v>
      </c>
    </row>
    <row r="2849" spans="1:19" s="92" customFormat="1" ht="76.5">
      <c r="A2849" s="5">
        <v>2834</v>
      </c>
      <c r="B2849" s="15" t="s">
        <v>710</v>
      </c>
      <c r="C2849" s="40" t="s">
        <v>2433</v>
      </c>
      <c r="D2849" s="40" t="s">
        <v>3171</v>
      </c>
      <c r="E2849" s="40" t="s">
        <v>3172</v>
      </c>
      <c r="F2849" s="40" t="s">
        <v>3172</v>
      </c>
      <c r="G2849" s="40" t="s">
        <v>3173</v>
      </c>
      <c r="H2849" s="40" t="s">
        <v>3174</v>
      </c>
      <c r="I2849" s="40" t="s">
        <v>3175</v>
      </c>
      <c r="J2849" s="40" t="s">
        <v>3176</v>
      </c>
      <c r="K2849" s="40" t="s">
        <v>591</v>
      </c>
      <c r="L2849" s="95" t="s">
        <v>644</v>
      </c>
      <c r="M2849" s="93">
        <f t="shared" si="73"/>
        <v>34</v>
      </c>
      <c r="N2849" s="94">
        <v>150</v>
      </c>
      <c r="O2849" s="94">
        <f t="shared" si="72"/>
        <v>5100</v>
      </c>
      <c r="P2849" s="40" t="s">
        <v>3139</v>
      </c>
      <c r="Q2849" s="40" t="s">
        <v>766</v>
      </c>
      <c r="R2849" s="84">
        <v>111010000</v>
      </c>
      <c r="S2849" s="40">
        <v>0</v>
      </c>
    </row>
    <row r="2850" spans="1:19" s="92" customFormat="1" ht="51">
      <c r="A2850" s="5">
        <v>2835</v>
      </c>
      <c r="B2850" s="15" t="s">
        <v>710</v>
      </c>
      <c r="C2850" s="40" t="s">
        <v>2433</v>
      </c>
      <c r="D2850" s="40" t="s">
        <v>457</v>
      </c>
      <c r="E2850" s="40" t="s">
        <v>17</v>
      </c>
      <c r="F2850" s="40" t="s">
        <v>17</v>
      </c>
      <c r="G2850" s="40" t="s">
        <v>3177</v>
      </c>
      <c r="H2850" s="40" t="s">
        <v>458</v>
      </c>
      <c r="I2850" s="40" t="s">
        <v>3178</v>
      </c>
      <c r="J2850" s="40" t="s">
        <v>3179</v>
      </c>
      <c r="K2850" s="40" t="s">
        <v>591</v>
      </c>
      <c r="L2850" s="95" t="s">
        <v>644</v>
      </c>
      <c r="M2850" s="93">
        <f t="shared" si="73"/>
        <v>34</v>
      </c>
      <c r="N2850" s="94">
        <v>600</v>
      </c>
      <c r="O2850" s="94">
        <f t="shared" si="72"/>
        <v>20400</v>
      </c>
      <c r="P2850" s="40" t="s">
        <v>3139</v>
      </c>
      <c r="Q2850" s="40" t="s">
        <v>766</v>
      </c>
      <c r="R2850" s="84">
        <v>111010000</v>
      </c>
      <c r="S2850" s="40">
        <v>0</v>
      </c>
    </row>
    <row r="2851" spans="1:19" s="92" customFormat="1" ht="51">
      <c r="A2851" s="5">
        <v>2836</v>
      </c>
      <c r="B2851" s="15" t="s">
        <v>710</v>
      </c>
      <c r="C2851" s="40" t="s">
        <v>2433</v>
      </c>
      <c r="D2851" s="40" t="s">
        <v>457</v>
      </c>
      <c r="E2851" s="40" t="s">
        <v>17</v>
      </c>
      <c r="F2851" s="40" t="s">
        <v>17</v>
      </c>
      <c r="G2851" s="40" t="s">
        <v>3177</v>
      </c>
      <c r="H2851" s="40" t="s">
        <v>458</v>
      </c>
      <c r="I2851" s="40" t="s">
        <v>3180</v>
      </c>
      <c r="J2851" s="40" t="s">
        <v>3181</v>
      </c>
      <c r="K2851" s="40" t="s">
        <v>591</v>
      </c>
      <c r="L2851" s="95" t="s">
        <v>644</v>
      </c>
      <c r="M2851" s="93">
        <f t="shared" si="73"/>
        <v>34</v>
      </c>
      <c r="N2851" s="94">
        <v>800</v>
      </c>
      <c r="O2851" s="94">
        <f t="shared" si="72"/>
        <v>27200</v>
      </c>
      <c r="P2851" s="40" t="s">
        <v>3139</v>
      </c>
      <c r="Q2851" s="40" t="s">
        <v>766</v>
      </c>
      <c r="R2851" s="84">
        <v>111010000</v>
      </c>
      <c r="S2851" s="40">
        <v>0</v>
      </c>
    </row>
    <row r="2852" spans="1:19" s="92" customFormat="1" ht="51">
      <c r="A2852" s="5">
        <v>2837</v>
      </c>
      <c r="B2852" s="15" t="s">
        <v>710</v>
      </c>
      <c r="C2852" s="40" t="s">
        <v>2433</v>
      </c>
      <c r="D2852" s="40" t="s">
        <v>476</v>
      </c>
      <c r="E2852" s="40" t="s">
        <v>477</v>
      </c>
      <c r="F2852" s="40" t="s">
        <v>28</v>
      </c>
      <c r="G2852" s="40" t="s">
        <v>478</v>
      </c>
      <c r="H2852" s="40" t="s">
        <v>479</v>
      </c>
      <c r="I2852" s="40" t="s">
        <v>3182</v>
      </c>
      <c r="J2852" s="40" t="s">
        <v>3183</v>
      </c>
      <c r="K2852" s="40" t="s">
        <v>591</v>
      </c>
      <c r="L2852" s="95" t="s">
        <v>644</v>
      </c>
      <c r="M2852" s="93">
        <f t="shared" si="73"/>
        <v>34</v>
      </c>
      <c r="N2852" s="94">
        <v>1500</v>
      </c>
      <c r="O2852" s="94">
        <f t="shared" si="72"/>
        <v>51000</v>
      </c>
      <c r="P2852" s="40" t="s">
        <v>3139</v>
      </c>
      <c r="Q2852" s="40" t="s">
        <v>766</v>
      </c>
      <c r="R2852" s="84">
        <v>111010000</v>
      </c>
      <c r="S2852" s="40">
        <v>0</v>
      </c>
    </row>
    <row r="2853" spans="1:19" s="92" customFormat="1" ht="51">
      <c r="A2853" s="5">
        <v>2838</v>
      </c>
      <c r="B2853" s="15" t="s">
        <v>710</v>
      </c>
      <c r="C2853" s="40" t="s">
        <v>2433</v>
      </c>
      <c r="D2853" s="40" t="s">
        <v>468</v>
      </c>
      <c r="E2853" s="40" t="s">
        <v>3184</v>
      </c>
      <c r="F2853" s="40" t="s">
        <v>26</v>
      </c>
      <c r="G2853" s="40" t="s">
        <v>3185</v>
      </c>
      <c r="H2853" s="40" t="s">
        <v>469</v>
      </c>
      <c r="I2853" s="40" t="s">
        <v>3186</v>
      </c>
      <c r="J2853" s="40" t="s">
        <v>3187</v>
      </c>
      <c r="K2853" s="40" t="s">
        <v>591</v>
      </c>
      <c r="L2853" s="95" t="s">
        <v>644</v>
      </c>
      <c r="M2853" s="93">
        <f>34*5</f>
        <v>170</v>
      </c>
      <c r="N2853" s="94">
        <v>250</v>
      </c>
      <c r="O2853" s="94">
        <f t="shared" si="72"/>
        <v>42500</v>
      </c>
      <c r="P2853" s="40" t="s">
        <v>3139</v>
      </c>
      <c r="Q2853" s="40" t="s">
        <v>766</v>
      </c>
      <c r="R2853" s="84">
        <v>111010000</v>
      </c>
      <c r="S2853" s="40">
        <v>0</v>
      </c>
    </row>
    <row r="2854" spans="1:19" s="92" customFormat="1" ht="51">
      <c r="A2854" s="5">
        <v>2839</v>
      </c>
      <c r="B2854" s="15" t="s">
        <v>710</v>
      </c>
      <c r="C2854" s="40" t="s">
        <v>2433</v>
      </c>
      <c r="D2854" s="40" t="s">
        <v>443</v>
      </c>
      <c r="E2854" s="40" t="s">
        <v>444</v>
      </c>
      <c r="F2854" s="40" t="s">
        <v>444</v>
      </c>
      <c r="G2854" s="40" t="s">
        <v>445</v>
      </c>
      <c r="H2854" s="40" t="s">
        <v>446</v>
      </c>
      <c r="I2854" s="40" t="s">
        <v>3188</v>
      </c>
      <c r="J2854" s="40" t="s">
        <v>3189</v>
      </c>
      <c r="K2854" s="40" t="s">
        <v>591</v>
      </c>
      <c r="L2854" s="95" t="s">
        <v>644</v>
      </c>
      <c r="M2854" s="93">
        <f>34*5</f>
        <v>170</v>
      </c>
      <c r="N2854" s="94">
        <v>500</v>
      </c>
      <c r="O2854" s="94">
        <f t="shared" si="72"/>
        <v>85000</v>
      </c>
      <c r="P2854" s="40" t="s">
        <v>3139</v>
      </c>
      <c r="Q2854" s="40" t="s">
        <v>766</v>
      </c>
      <c r="R2854" s="84">
        <v>111010000</v>
      </c>
      <c r="S2854" s="40">
        <v>0</v>
      </c>
    </row>
    <row r="2855" spans="1:19" s="92" customFormat="1" ht="51">
      <c r="A2855" s="5">
        <v>2840</v>
      </c>
      <c r="B2855" s="15" t="s">
        <v>710</v>
      </c>
      <c r="C2855" s="40" t="s">
        <v>711</v>
      </c>
      <c r="D2855" s="40" t="s">
        <v>3190</v>
      </c>
      <c r="E2855" s="31" t="s">
        <v>3191</v>
      </c>
      <c r="F2855" s="31" t="s">
        <v>3192</v>
      </c>
      <c r="G2855" s="40" t="s">
        <v>3264</v>
      </c>
      <c r="H2855" s="40" t="s">
        <v>3264</v>
      </c>
      <c r="I2855" s="31" t="s">
        <v>3193</v>
      </c>
      <c r="J2855" s="31" t="s">
        <v>3194</v>
      </c>
      <c r="K2855" s="40" t="s">
        <v>591</v>
      </c>
      <c r="L2855" s="95" t="s">
        <v>644</v>
      </c>
      <c r="M2855" s="93">
        <f>34*1</f>
        <v>34</v>
      </c>
      <c r="N2855" s="94">
        <v>1200</v>
      </c>
      <c r="O2855" s="94">
        <f t="shared" si="72"/>
        <v>40800</v>
      </c>
      <c r="P2855" s="40" t="s">
        <v>3139</v>
      </c>
      <c r="Q2855" s="40" t="s">
        <v>766</v>
      </c>
      <c r="R2855" s="84">
        <v>111010000</v>
      </c>
      <c r="S2855" s="40">
        <v>0</v>
      </c>
    </row>
    <row r="2856" spans="1:19" s="92" customFormat="1" ht="89.25">
      <c r="A2856" s="5">
        <v>2841</v>
      </c>
      <c r="B2856" s="15" t="s">
        <v>710</v>
      </c>
      <c r="C2856" s="40" t="s">
        <v>597</v>
      </c>
      <c r="D2856" s="40" t="s">
        <v>598</v>
      </c>
      <c r="E2856" s="31" t="s">
        <v>599</v>
      </c>
      <c r="F2856" s="31" t="s">
        <v>782</v>
      </c>
      <c r="G2856" s="31" t="s">
        <v>3195</v>
      </c>
      <c r="H2856" s="40" t="s">
        <v>602</v>
      </c>
      <c r="I2856" s="40" t="s">
        <v>3196</v>
      </c>
      <c r="J2856" s="40" t="s">
        <v>3197</v>
      </c>
      <c r="K2856" s="40" t="s">
        <v>591</v>
      </c>
      <c r="L2856" s="11" t="s">
        <v>914</v>
      </c>
      <c r="M2856" s="93">
        <v>1</v>
      </c>
      <c r="N2856" s="94">
        <v>624400</v>
      </c>
      <c r="O2856" s="94">
        <v>624400</v>
      </c>
      <c r="P2856" s="40" t="s">
        <v>502</v>
      </c>
      <c r="Q2856" s="40" t="s">
        <v>766</v>
      </c>
      <c r="R2856" s="84">
        <v>113220100</v>
      </c>
      <c r="S2856" s="40">
        <v>0</v>
      </c>
    </row>
    <row r="2857" spans="1:19" s="92" customFormat="1" ht="89.25">
      <c r="A2857" s="5">
        <v>2842</v>
      </c>
      <c r="B2857" s="15" t="s">
        <v>710</v>
      </c>
      <c r="C2857" s="40" t="s">
        <v>597</v>
      </c>
      <c r="D2857" s="40" t="s">
        <v>598</v>
      </c>
      <c r="E2857" s="31" t="s">
        <v>599</v>
      </c>
      <c r="F2857" s="31" t="s">
        <v>782</v>
      </c>
      <c r="G2857" s="31" t="s">
        <v>3195</v>
      </c>
      <c r="H2857" s="40" t="s">
        <v>602</v>
      </c>
      <c r="I2857" s="40" t="s">
        <v>3196</v>
      </c>
      <c r="J2857" s="40" t="s">
        <v>3197</v>
      </c>
      <c r="K2857" s="40" t="s">
        <v>591</v>
      </c>
      <c r="L2857" s="11" t="s">
        <v>914</v>
      </c>
      <c r="M2857" s="93">
        <v>1</v>
      </c>
      <c r="N2857" s="94">
        <v>624400</v>
      </c>
      <c r="O2857" s="94">
        <v>624400</v>
      </c>
      <c r="P2857" s="40" t="s">
        <v>502</v>
      </c>
      <c r="Q2857" s="40" t="s">
        <v>766</v>
      </c>
      <c r="R2857" s="84">
        <v>113220100</v>
      </c>
      <c r="S2857" s="40">
        <v>0</v>
      </c>
    </row>
    <row r="2858" spans="1:19" s="92" customFormat="1" ht="51">
      <c r="A2858" s="5">
        <v>2843</v>
      </c>
      <c r="B2858" s="15" t="s">
        <v>710</v>
      </c>
      <c r="C2858" s="40" t="s">
        <v>597</v>
      </c>
      <c r="D2858" s="11" t="s">
        <v>850</v>
      </c>
      <c r="E2858" s="76" t="s">
        <v>1736</v>
      </c>
      <c r="F2858" s="76" t="s">
        <v>851</v>
      </c>
      <c r="G2858" s="76" t="s">
        <v>1737</v>
      </c>
      <c r="H2858" s="76" t="s">
        <v>852</v>
      </c>
      <c r="I2858" s="76" t="s">
        <v>3199</v>
      </c>
      <c r="J2858" s="76" t="s">
        <v>3200</v>
      </c>
      <c r="K2858" s="40" t="s">
        <v>591</v>
      </c>
      <c r="L2858" s="11" t="s">
        <v>914</v>
      </c>
      <c r="M2858" s="97">
        <v>1</v>
      </c>
      <c r="N2858" s="94">
        <f>10000*5</f>
        <v>50000</v>
      </c>
      <c r="O2858" s="94">
        <f>N2858</f>
        <v>50000</v>
      </c>
      <c r="P2858" s="40" t="s">
        <v>698</v>
      </c>
      <c r="Q2858" s="40" t="s">
        <v>766</v>
      </c>
      <c r="R2858" s="84">
        <v>113220100</v>
      </c>
      <c r="S2858" s="40">
        <v>0</v>
      </c>
    </row>
    <row r="2859" spans="1:19" s="92" customFormat="1" ht="51">
      <c r="A2859" s="5">
        <v>2844</v>
      </c>
      <c r="B2859" s="15" t="s">
        <v>710</v>
      </c>
      <c r="C2859" s="40" t="s">
        <v>597</v>
      </c>
      <c r="D2859" s="40" t="s">
        <v>2594</v>
      </c>
      <c r="E2859" s="31" t="s">
        <v>2618</v>
      </c>
      <c r="F2859" s="31" t="s">
        <v>2595</v>
      </c>
      <c r="G2859" s="31" t="s">
        <v>2618</v>
      </c>
      <c r="H2859" s="40" t="s">
        <v>2595</v>
      </c>
      <c r="I2859" s="40" t="s">
        <v>3201</v>
      </c>
      <c r="J2859" s="40" t="s">
        <v>3202</v>
      </c>
      <c r="K2859" s="40" t="s">
        <v>591</v>
      </c>
      <c r="L2859" s="11" t="s">
        <v>914</v>
      </c>
      <c r="M2859" s="93">
        <v>1</v>
      </c>
      <c r="N2859" s="94">
        <f>10500*3</f>
        <v>31500</v>
      </c>
      <c r="O2859" s="94">
        <f>N2859</f>
        <v>31500</v>
      </c>
      <c r="P2859" s="40" t="s">
        <v>3116</v>
      </c>
      <c r="Q2859" s="40" t="s">
        <v>766</v>
      </c>
      <c r="R2859" s="84">
        <v>113220100</v>
      </c>
      <c r="S2859" s="40">
        <v>30</v>
      </c>
    </row>
    <row r="2860" spans="1:19" s="92" customFormat="1" ht="89.25">
      <c r="A2860" s="5">
        <v>2845</v>
      </c>
      <c r="B2860" s="15" t="s">
        <v>710</v>
      </c>
      <c r="C2860" s="40" t="s">
        <v>711</v>
      </c>
      <c r="D2860" s="40" t="s">
        <v>976</v>
      </c>
      <c r="E2860" s="31" t="s">
        <v>730</v>
      </c>
      <c r="F2860" s="31" t="s">
        <v>731</v>
      </c>
      <c r="G2860" s="31" t="s">
        <v>977</v>
      </c>
      <c r="H2860" s="40" t="s">
        <v>978</v>
      </c>
      <c r="I2860" s="40" t="s">
        <v>3203</v>
      </c>
      <c r="J2860" s="40" t="s">
        <v>3204</v>
      </c>
      <c r="K2860" s="40" t="s">
        <v>591</v>
      </c>
      <c r="L2860" s="40" t="s">
        <v>644</v>
      </c>
      <c r="M2860" s="93">
        <f>2-1</f>
        <v>1</v>
      </c>
      <c r="N2860" s="94">
        <f>O2860/M2860</f>
        <v>26000</v>
      </c>
      <c r="O2860" s="94">
        <f>53600-27600</f>
        <v>26000</v>
      </c>
      <c r="P2860" s="40" t="s">
        <v>3116</v>
      </c>
      <c r="Q2860" s="40" t="s">
        <v>1051</v>
      </c>
      <c r="R2860" s="84">
        <v>113220100</v>
      </c>
      <c r="S2860" s="40">
        <v>100</v>
      </c>
    </row>
    <row r="2861" spans="1:19" s="92" customFormat="1" ht="63.75">
      <c r="A2861" s="5">
        <v>2846</v>
      </c>
      <c r="B2861" s="15" t="s">
        <v>710</v>
      </c>
      <c r="C2861" s="40" t="s">
        <v>711</v>
      </c>
      <c r="D2861" s="40" t="s">
        <v>744</v>
      </c>
      <c r="E2861" s="31" t="s">
        <v>745</v>
      </c>
      <c r="F2861" s="31" t="s">
        <v>109</v>
      </c>
      <c r="G2861" s="31" t="s">
        <v>746</v>
      </c>
      <c r="H2861" s="40" t="s">
        <v>3205</v>
      </c>
      <c r="I2861" s="40" t="s">
        <v>3206</v>
      </c>
      <c r="J2861" s="40" t="s">
        <v>3207</v>
      </c>
      <c r="K2861" s="40" t="s">
        <v>591</v>
      </c>
      <c r="L2861" s="40" t="s">
        <v>644</v>
      </c>
      <c r="M2861" s="93">
        <v>6</v>
      </c>
      <c r="N2861" s="94">
        <v>4500</v>
      </c>
      <c r="O2861" s="94">
        <f>M2861*N2861</f>
        <v>27000</v>
      </c>
      <c r="P2861" s="40" t="s">
        <v>3116</v>
      </c>
      <c r="Q2861" s="40" t="s">
        <v>1051</v>
      </c>
      <c r="R2861" s="84">
        <v>113220100</v>
      </c>
      <c r="S2861" s="40">
        <v>100</v>
      </c>
    </row>
    <row r="2862" spans="1:19" s="92" customFormat="1" ht="51">
      <c r="A2862" s="5">
        <v>2847</v>
      </c>
      <c r="B2862" s="15" t="s">
        <v>710</v>
      </c>
      <c r="C2862" s="40" t="s">
        <v>711</v>
      </c>
      <c r="D2862" s="98" t="s">
        <v>422</v>
      </c>
      <c r="E2862" s="76" t="s">
        <v>423</v>
      </c>
      <c r="F2862" s="76" t="s">
        <v>427</v>
      </c>
      <c r="G2862" s="76" t="s">
        <v>837</v>
      </c>
      <c r="H2862" s="76" t="s">
        <v>425</v>
      </c>
      <c r="I2862" s="76" t="s">
        <v>3208</v>
      </c>
      <c r="J2862" s="76" t="s">
        <v>3209</v>
      </c>
      <c r="K2862" s="76" t="s">
        <v>591</v>
      </c>
      <c r="L2862" s="11" t="s">
        <v>909</v>
      </c>
      <c r="M2862" s="53">
        <v>18</v>
      </c>
      <c r="N2862" s="94">
        <v>640</v>
      </c>
      <c r="O2862" s="94">
        <f>N2862*M2862</f>
        <v>11520</v>
      </c>
      <c r="P2862" s="40" t="s">
        <v>3116</v>
      </c>
      <c r="Q2862" s="40" t="s">
        <v>766</v>
      </c>
      <c r="R2862" s="84">
        <v>113220100</v>
      </c>
      <c r="S2862" s="40">
        <v>100</v>
      </c>
    </row>
    <row r="2863" spans="1:19" s="92" customFormat="1" ht="63.75">
      <c r="A2863" s="5">
        <v>2848</v>
      </c>
      <c r="B2863" s="15" t="s">
        <v>710</v>
      </c>
      <c r="C2863" s="40" t="s">
        <v>711</v>
      </c>
      <c r="D2863" s="15" t="s">
        <v>726</v>
      </c>
      <c r="E2863" s="57" t="s">
        <v>720</v>
      </c>
      <c r="F2863" s="57" t="s">
        <v>720</v>
      </c>
      <c r="G2863" s="57" t="s">
        <v>727</v>
      </c>
      <c r="H2863" s="57" t="s">
        <v>728</v>
      </c>
      <c r="I2863" s="40" t="s">
        <v>3210</v>
      </c>
      <c r="J2863" s="40" t="s">
        <v>3211</v>
      </c>
      <c r="K2863" s="40" t="s">
        <v>591</v>
      </c>
      <c r="L2863" s="40" t="s">
        <v>644</v>
      </c>
      <c r="M2863" s="93">
        <v>1</v>
      </c>
      <c r="N2863" s="94">
        <v>30000</v>
      </c>
      <c r="O2863" s="94">
        <f>N2863*M2863</f>
        <v>30000</v>
      </c>
      <c r="P2863" s="40" t="s">
        <v>502</v>
      </c>
      <c r="Q2863" s="40" t="s">
        <v>1051</v>
      </c>
      <c r="R2863" s="84">
        <v>113220100</v>
      </c>
      <c r="S2863" s="40">
        <v>100</v>
      </c>
    </row>
    <row r="2864" spans="1:19" s="92" customFormat="1" ht="89.25">
      <c r="A2864" s="5">
        <v>2849</v>
      </c>
      <c r="B2864" s="15" t="s">
        <v>710</v>
      </c>
      <c r="C2864" s="40" t="s">
        <v>597</v>
      </c>
      <c r="D2864" s="40" t="s">
        <v>598</v>
      </c>
      <c r="E2864" s="31" t="s">
        <v>599</v>
      </c>
      <c r="F2864" s="31" t="s">
        <v>782</v>
      </c>
      <c r="G2864" s="31" t="s">
        <v>3195</v>
      </c>
      <c r="H2864" s="40" t="s">
        <v>602</v>
      </c>
      <c r="I2864" s="40" t="s">
        <v>3196</v>
      </c>
      <c r="J2864" s="40" t="s">
        <v>3197</v>
      </c>
      <c r="K2864" s="40" t="s">
        <v>591</v>
      </c>
      <c r="L2864" s="11" t="s">
        <v>914</v>
      </c>
      <c r="M2864" s="93">
        <v>1</v>
      </c>
      <c r="N2864" s="94">
        <v>624400</v>
      </c>
      <c r="O2864" s="94">
        <v>624400</v>
      </c>
      <c r="P2864" s="40" t="s">
        <v>502</v>
      </c>
      <c r="Q2864" s="40" t="s">
        <v>766</v>
      </c>
      <c r="R2864" s="84">
        <v>113430100</v>
      </c>
      <c r="S2864" s="40">
        <v>0</v>
      </c>
    </row>
    <row r="2865" spans="1:19" s="92" customFormat="1" ht="89.25">
      <c r="A2865" s="5">
        <v>2850</v>
      </c>
      <c r="B2865" s="15" t="s">
        <v>710</v>
      </c>
      <c r="C2865" s="40" t="s">
        <v>597</v>
      </c>
      <c r="D2865" s="40" t="s">
        <v>598</v>
      </c>
      <c r="E2865" s="31" t="s">
        <v>599</v>
      </c>
      <c r="F2865" s="31" t="s">
        <v>782</v>
      </c>
      <c r="G2865" s="31" t="s">
        <v>3195</v>
      </c>
      <c r="H2865" s="40" t="s">
        <v>602</v>
      </c>
      <c r="I2865" s="40" t="s">
        <v>3196</v>
      </c>
      <c r="J2865" s="40" t="s">
        <v>3197</v>
      </c>
      <c r="K2865" s="40" t="s">
        <v>591</v>
      </c>
      <c r="L2865" s="11" t="s">
        <v>914</v>
      </c>
      <c r="M2865" s="93">
        <v>1</v>
      </c>
      <c r="N2865" s="94">
        <v>624400</v>
      </c>
      <c r="O2865" s="94">
        <v>624400</v>
      </c>
      <c r="P2865" s="40" t="s">
        <v>502</v>
      </c>
      <c r="Q2865" s="40" t="s">
        <v>766</v>
      </c>
      <c r="R2865" s="84">
        <v>113430100</v>
      </c>
      <c r="S2865" s="40">
        <v>0</v>
      </c>
    </row>
    <row r="2866" spans="1:19" s="92" customFormat="1" ht="51">
      <c r="A2866" s="5">
        <v>2851</v>
      </c>
      <c r="B2866" s="15" t="s">
        <v>710</v>
      </c>
      <c r="C2866" s="40" t="s">
        <v>597</v>
      </c>
      <c r="D2866" s="11" t="s">
        <v>850</v>
      </c>
      <c r="E2866" s="76" t="s">
        <v>1736</v>
      </c>
      <c r="F2866" s="76" t="s">
        <v>851</v>
      </c>
      <c r="G2866" s="76" t="s">
        <v>1737</v>
      </c>
      <c r="H2866" s="76" t="s">
        <v>852</v>
      </c>
      <c r="I2866" s="76" t="s">
        <v>3199</v>
      </c>
      <c r="J2866" s="76" t="s">
        <v>3200</v>
      </c>
      <c r="K2866" s="40" t="s">
        <v>591</v>
      </c>
      <c r="L2866" s="11" t="s">
        <v>914</v>
      </c>
      <c r="M2866" s="97">
        <v>1</v>
      </c>
      <c r="N2866" s="94">
        <f>10000*5</f>
        <v>50000</v>
      </c>
      <c r="O2866" s="94">
        <f>N2866</f>
        <v>50000</v>
      </c>
      <c r="P2866" s="40" t="s">
        <v>698</v>
      </c>
      <c r="Q2866" s="40" t="s">
        <v>766</v>
      </c>
      <c r="R2866" s="84">
        <v>113430100</v>
      </c>
      <c r="S2866" s="40">
        <v>0</v>
      </c>
    </row>
    <row r="2867" spans="1:19" s="92" customFormat="1" ht="51">
      <c r="A2867" s="5">
        <v>2852</v>
      </c>
      <c r="B2867" s="15" t="s">
        <v>710</v>
      </c>
      <c r="C2867" s="40" t="s">
        <v>597</v>
      </c>
      <c r="D2867" s="40" t="s">
        <v>2594</v>
      </c>
      <c r="E2867" s="31" t="s">
        <v>2618</v>
      </c>
      <c r="F2867" s="31" t="s">
        <v>2595</v>
      </c>
      <c r="G2867" s="31" t="s">
        <v>2618</v>
      </c>
      <c r="H2867" s="40" t="s">
        <v>2595</v>
      </c>
      <c r="I2867" s="40" t="s">
        <v>3201</v>
      </c>
      <c r="J2867" s="40" t="s">
        <v>3202</v>
      </c>
      <c r="K2867" s="40" t="s">
        <v>591</v>
      </c>
      <c r="L2867" s="11" t="s">
        <v>914</v>
      </c>
      <c r="M2867" s="93">
        <v>1</v>
      </c>
      <c r="N2867" s="94">
        <f>10500*3</f>
        <v>31500</v>
      </c>
      <c r="O2867" s="94">
        <f>N2867</f>
        <v>31500</v>
      </c>
      <c r="P2867" s="40" t="s">
        <v>3116</v>
      </c>
      <c r="Q2867" s="40" t="s">
        <v>766</v>
      </c>
      <c r="R2867" s="84">
        <v>113430100</v>
      </c>
      <c r="S2867" s="40">
        <v>30</v>
      </c>
    </row>
    <row r="2868" spans="1:19" s="92" customFormat="1" ht="89.25">
      <c r="A2868" s="5">
        <v>2853</v>
      </c>
      <c r="B2868" s="15" t="s">
        <v>710</v>
      </c>
      <c r="C2868" s="40" t="s">
        <v>711</v>
      </c>
      <c r="D2868" s="40" t="s">
        <v>976</v>
      </c>
      <c r="E2868" s="31" t="s">
        <v>730</v>
      </c>
      <c r="F2868" s="31" t="s">
        <v>731</v>
      </c>
      <c r="G2868" s="31" t="s">
        <v>977</v>
      </c>
      <c r="H2868" s="40" t="s">
        <v>978</v>
      </c>
      <c r="I2868" s="40" t="s">
        <v>3203</v>
      </c>
      <c r="J2868" s="40" t="s">
        <v>3204</v>
      </c>
      <c r="K2868" s="40" t="s">
        <v>591</v>
      </c>
      <c r="L2868" s="40" t="s">
        <v>644</v>
      </c>
      <c r="M2868" s="93">
        <v>2</v>
      </c>
      <c r="N2868" s="94">
        <f>O2868/M2868</f>
        <v>0</v>
      </c>
      <c r="O2868" s="94">
        <f>53600-53600</f>
        <v>0</v>
      </c>
      <c r="P2868" s="40" t="s">
        <v>3116</v>
      </c>
      <c r="Q2868" s="40" t="s">
        <v>1051</v>
      </c>
      <c r="R2868" s="84">
        <v>113430100</v>
      </c>
      <c r="S2868" s="40">
        <v>100</v>
      </c>
    </row>
    <row r="2869" spans="1:19" s="92" customFormat="1" ht="63.75">
      <c r="A2869" s="5">
        <v>2854</v>
      </c>
      <c r="B2869" s="15" t="s">
        <v>710</v>
      </c>
      <c r="C2869" s="40" t="s">
        <v>711</v>
      </c>
      <c r="D2869" s="40" t="s">
        <v>744</v>
      </c>
      <c r="E2869" s="31" t="s">
        <v>745</v>
      </c>
      <c r="F2869" s="31" t="s">
        <v>109</v>
      </c>
      <c r="G2869" s="31" t="s">
        <v>746</v>
      </c>
      <c r="H2869" s="40" t="s">
        <v>3205</v>
      </c>
      <c r="I2869" s="40" t="s">
        <v>3206</v>
      </c>
      <c r="J2869" s="40" t="s">
        <v>3207</v>
      </c>
      <c r="K2869" s="40" t="s">
        <v>591</v>
      </c>
      <c r="L2869" s="40" t="s">
        <v>644</v>
      </c>
      <c r="M2869" s="93">
        <v>6</v>
      </c>
      <c r="N2869" s="94">
        <v>4500</v>
      </c>
      <c r="O2869" s="94">
        <f>M2869*N2869</f>
        <v>27000</v>
      </c>
      <c r="P2869" s="40" t="s">
        <v>3116</v>
      </c>
      <c r="Q2869" s="40" t="s">
        <v>1051</v>
      </c>
      <c r="R2869" s="84">
        <v>113430100</v>
      </c>
      <c r="S2869" s="40">
        <v>100</v>
      </c>
    </row>
    <row r="2870" spans="1:19" s="92" customFormat="1" ht="51">
      <c r="A2870" s="5">
        <v>2855</v>
      </c>
      <c r="B2870" s="15" t="s">
        <v>710</v>
      </c>
      <c r="C2870" s="40" t="s">
        <v>711</v>
      </c>
      <c r="D2870" s="98" t="s">
        <v>422</v>
      </c>
      <c r="E2870" s="76" t="s">
        <v>423</v>
      </c>
      <c r="F2870" s="76" t="s">
        <v>427</v>
      </c>
      <c r="G2870" s="76" t="s">
        <v>837</v>
      </c>
      <c r="H2870" s="76" t="s">
        <v>425</v>
      </c>
      <c r="I2870" s="76" t="s">
        <v>3208</v>
      </c>
      <c r="J2870" s="76" t="s">
        <v>3209</v>
      </c>
      <c r="K2870" s="76" t="s">
        <v>591</v>
      </c>
      <c r="L2870" s="11" t="s">
        <v>909</v>
      </c>
      <c r="M2870" s="53">
        <v>18</v>
      </c>
      <c r="N2870" s="94">
        <v>640</v>
      </c>
      <c r="O2870" s="94">
        <f>N2870*M2870</f>
        <v>11520</v>
      </c>
      <c r="P2870" s="40" t="s">
        <v>3116</v>
      </c>
      <c r="Q2870" s="40" t="s">
        <v>766</v>
      </c>
      <c r="R2870" s="84">
        <v>113430100</v>
      </c>
      <c r="S2870" s="40">
        <v>100</v>
      </c>
    </row>
    <row r="2871" spans="1:19" s="92" customFormat="1" ht="63.75">
      <c r="A2871" s="5">
        <v>2856</v>
      </c>
      <c r="B2871" s="15" t="s">
        <v>710</v>
      </c>
      <c r="C2871" s="40" t="s">
        <v>711</v>
      </c>
      <c r="D2871" s="15" t="s">
        <v>726</v>
      </c>
      <c r="E2871" s="57" t="s">
        <v>720</v>
      </c>
      <c r="F2871" s="57" t="s">
        <v>720</v>
      </c>
      <c r="G2871" s="57" t="s">
        <v>727</v>
      </c>
      <c r="H2871" s="57" t="s">
        <v>728</v>
      </c>
      <c r="I2871" s="40" t="s">
        <v>3210</v>
      </c>
      <c r="J2871" s="40" t="s">
        <v>3211</v>
      </c>
      <c r="K2871" s="40" t="s">
        <v>591</v>
      </c>
      <c r="L2871" s="40" t="s">
        <v>644</v>
      </c>
      <c r="M2871" s="93">
        <v>1</v>
      </c>
      <c r="N2871" s="94">
        <v>30000</v>
      </c>
      <c r="O2871" s="94">
        <f>N2871*M2871</f>
        <v>30000</v>
      </c>
      <c r="P2871" s="40" t="s">
        <v>502</v>
      </c>
      <c r="Q2871" s="40" t="s">
        <v>1051</v>
      </c>
      <c r="R2871" s="84">
        <v>113430100</v>
      </c>
      <c r="S2871" s="40">
        <v>100</v>
      </c>
    </row>
    <row r="2872" spans="1:19" s="92" customFormat="1" ht="89.25">
      <c r="A2872" s="5">
        <v>2857</v>
      </c>
      <c r="B2872" s="15" t="s">
        <v>710</v>
      </c>
      <c r="C2872" s="40" t="s">
        <v>597</v>
      </c>
      <c r="D2872" s="40" t="s">
        <v>598</v>
      </c>
      <c r="E2872" s="31" t="s">
        <v>599</v>
      </c>
      <c r="F2872" s="31" t="s">
        <v>782</v>
      </c>
      <c r="G2872" s="31" t="s">
        <v>3195</v>
      </c>
      <c r="H2872" s="40" t="s">
        <v>602</v>
      </c>
      <c r="I2872" s="40" t="s">
        <v>3196</v>
      </c>
      <c r="J2872" s="40" t="s">
        <v>3197</v>
      </c>
      <c r="K2872" s="40" t="s">
        <v>591</v>
      </c>
      <c r="L2872" s="11" t="s">
        <v>914</v>
      </c>
      <c r="M2872" s="93">
        <v>1</v>
      </c>
      <c r="N2872" s="94">
        <v>624400</v>
      </c>
      <c r="O2872" s="94">
        <v>624400</v>
      </c>
      <c r="P2872" s="40" t="s">
        <v>502</v>
      </c>
      <c r="Q2872" s="40" t="s">
        <v>766</v>
      </c>
      <c r="R2872" s="84">
        <v>113630100</v>
      </c>
      <c r="S2872" s="40">
        <v>0</v>
      </c>
    </row>
    <row r="2873" spans="1:19" s="92" customFormat="1" ht="89.25">
      <c r="A2873" s="5">
        <v>2858</v>
      </c>
      <c r="B2873" s="15" t="s">
        <v>710</v>
      </c>
      <c r="C2873" s="40" t="s">
        <v>597</v>
      </c>
      <c r="D2873" s="40" t="s">
        <v>598</v>
      </c>
      <c r="E2873" s="31" t="s">
        <v>599</v>
      </c>
      <c r="F2873" s="31" t="s">
        <v>782</v>
      </c>
      <c r="G2873" s="31" t="s">
        <v>3195</v>
      </c>
      <c r="H2873" s="40" t="s">
        <v>602</v>
      </c>
      <c r="I2873" s="40" t="s">
        <v>3196</v>
      </c>
      <c r="J2873" s="40" t="s">
        <v>3197</v>
      </c>
      <c r="K2873" s="40" t="s">
        <v>591</v>
      </c>
      <c r="L2873" s="11" t="s">
        <v>914</v>
      </c>
      <c r="M2873" s="93">
        <v>1</v>
      </c>
      <c r="N2873" s="94">
        <v>624400</v>
      </c>
      <c r="O2873" s="94">
        <v>624400</v>
      </c>
      <c r="P2873" s="40" t="s">
        <v>502</v>
      </c>
      <c r="Q2873" s="40" t="s">
        <v>766</v>
      </c>
      <c r="R2873" s="84">
        <v>113630100</v>
      </c>
      <c r="S2873" s="40">
        <v>0</v>
      </c>
    </row>
    <row r="2874" spans="1:19" s="92" customFormat="1" ht="51">
      <c r="A2874" s="5">
        <v>2859</v>
      </c>
      <c r="B2874" s="15" t="s">
        <v>710</v>
      </c>
      <c r="C2874" s="40" t="s">
        <v>597</v>
      </c>
      <c r="D2874" s="11" t="s">
        <v>850</v>
      </c>
      <c r="E2874" s="76" t="s">
        <v>1736</v>
      </c>
      <c r="F2874" s="76" t="s">
        <v>851</v>
      </c>
      <c r="G2874" s="76" t="s">
        <v>1737</v>
      </c>
      <c r="H2874" s="76" t="s">
        <v>852</v>
      </c>
      <c r="I2874" s="76" t="s">
        <v>3199</v>
      </c>
      <c r="J2874" s="76" t="s">
        <v>3200</v>
      </c>
      <c r="K2874" s="40" t="s">
        <v>591</v>
      </c>
      <c r="L2874" s="11" t="s">
        <v>914</v>
      </c>
      <c r="M2874" s="97">
        <v>1</v>
      </c>
      <c r="N2874" s="94">
        <f>10000*5</f>
        <v>50000</v>
      </c>
      <c r="O2874" s="94">
        <f>N2874</f>
        <v>50000</v>
      </c>
      <c r="P2874" s="40" t="s">
        <v>698</v>
      </c>
      <c r="Q2874" s="40" t="s">
        <v>766</v>
      </c>
      <c r="R2874" s="84">
        <v>113630100</v>
      </c>
      <c r="S2874" s="40">
        <v>0</v>
      </c>
    </row>
    <row r="2875" spans="1:19" s="92" customFormat="1" ht="51">
      <c r="A2875" s="5">
        <v>2860</v>
      </c>
      <c r="B2875" s="15" t="s">
        <v>710</v>
      </c>
      <c r="C2875" s="40" t="s">
        <v>597</v>
      </c>
      <c r="D2875" s="40" t="s">
        <v>2594</v>
      </c>
      <c r="E2875" s="31" t="s">
        <v>2618</v>
      </c>
      <c r="F2875" s="31" t="s">
        <v>2595</v>
      </c>
      <c r="G2875" s="31" t="s">
        <v>2618</v>
      </c>
      <c r="H2875" s="40" t="s">
        <v>2595</v>
      </c>
      <c r="I2875" s="40" t="s">
        <v>3201</v>
      </c>
      <c r="J2875" s="40" t="s">
        <v>3202</v>
      </c>
      <c r="K2875" s="40" t="s">
        <v>591</v>
      </c>
      <c r="L2875" s="11" t="s">
        <v>914</v>
      </c>
      <c r="M2875" s="93">
        <v>1</v>
      </c>
      <c r="N2875" s="94">
        <f>10500*3</f>
        <v>31500</v>
      </c>
      <c r="O2875" s="94">
        <f>N2875</f>
        <v>31500</v>
      </c>
      <c r="P2875" s="40" t="s">
        <v>3116</v>
      </c>
      <c r="Q2875" s="40" t="s">
        <v>766</v>
      </c>
      <c r="R2875" s="84">
        <v>113630100</v>
      </c>
      <c r="S2875" s="40">
        <v>30</v>
      </c>
    </row>
    <row r="2876" spans="1:19" s="92" customFormat="1" ht="89.25">
      <c r="A2876" s="5">
        <v>2861</v>
      </c>
      <c r="B2876" s="15" t="s">
        <v>710</v>
      </c>
      <c r="C2876" s="40" t="s">
        <v>711</v>
      </c>
      <c r="D2876" s="40" t="s">
        <v>976</v>
      </c>
      <c r="E2876" s="31" t="s">
        <v>730</v>
      </c>
      <c r="F2876" s="31" t="s">
        <v>731</v>
      </c>
      <c r="G2876" s="31" t="s">
        <v>977</v>
      </c>
      <c r="H2876" s="40" t="s">
        <v>978</v>
      </c>
      <c r="I2876" s="40" t="s">
        <v>3203</v>
      </c>
      <c r="J2876" s="40" t="s">
        <v>3204</v>
      </c>
      <c r="K2876" s="40" t="s">
        <v>591</v>
      </c>
      <c r="L2876" s="40" t="s">
        <v>644</v>
      </c>
      <c r="M2876" s="93">
        <v>2</v>
      </c>
      <c r="N2876" s="94">
        <v>26800</v>
      </c>
      <c r="O2876" s="94">
        <f>N2876*M2876</f>
        <v>53600</v>
      </c>
      <c r="P2876" s="40" t="s">
        <v>3116</v>
      </c>
      <c r="Q2876" s="40" t="s">
        <v>1051</v>
      </c>
      <c r="R2876" s="84">
        <v>113630100</v>
      </c>
      <c r="S2876" s="40">
        <v>100</v>
      </c>
    </row>
    <row r="2877" spans="1:19" s="92" customFormat="1" ht="63.75">
      <c r="A2877" s="5">
        <v>2862</v>
      </c>
      <c r="B2877" s="15" t="s">
        <v>710</v>
      </c>
      <c r="C2877" s="40" t="s">
        <v>711</v>
      </c>
      <c r="D2877" s="40" t="s">
        <v>744</v>
      </c>
      <c r="E2877" s="31" t="s">
        <v>745</v>
      </c>
      <c r="F2877" s="31" t="s">
        <v>109</v>
      </c>
      <c r="G2877" s="31" t="s">
        <v>746</v>
      </c>
      <c r="H2877" s="40" t="s">
        <v>3205</v>
      </c>
      <c r="I2877" s="40" t="s">
        <v>3206</v>
      </c>
      <c r="J2877" s="40" t="s">
        <v>3207</v>
      </c>
      <c r="K2877" s="40" t="s">
        <v>591</v>
      </c>
      <c r="L2877" s="40" t="s">
        <v>644</v>
      </c>
      <c r="M2877" s="93">
        <v>6</v>
      </c>
      <c r="N2877" s="94">
        <v>4500</v>
      </c>
      <c r="O2877" s="94">
        <f>M2877*N2877</f>
        <v>27000</v>
      </c>
      <c r="P2877" s="40" t="s">
        <v>3116</v>
      </c>
      <c r="Q2877" s="40" t="s">
        <v>1051</v>
      </c>
      <c r="R2877" s="84">
        <v>113630100</v>
      </c>
      <c r="S2877" s="40">
        <v>100</v>
      </c>
    </row>
    <row r="2878" spans="1:19" s="92" customFormat="1" ht="51">
      <c r="A2878" s="5">
        <v>2863</v>
      </c>
      <c r="B2878" s="15" t="s">
        <v>710</v>
      </c>
      <c r="C2878" s="40" t="s">
        <v>711</v>
      </c>
      <c r="D2878" s="98" t="s">
        <v>422</v>
      </c>
      <c r="E2878" s="76" t="s">
        <v>423</v>
      </c>
      <c r="F2878" s="76" t="s">
        <v>427</v>
      </c>
      <c r="G2878" s="76" t="s">
        <v>837</v>
      </c>
      <c r="H2878" s="76" t="s">
        <v>425</v>
      </c>
      <c r="I2878" s="76" t="s">
        <v>3208</v>
      </c>
      <c r="J2878" s="76" t="s">
        <v>3209</v>
      </c>
      <c r="K2878" s="76" t="s">
        <v>591</v>
      </c>
      <c r="L2878" s="11" t="s">
        <v>909</v>
      </c>
      <c r="M2878" s="53">
        <v>18</v>
      </c>
      <c r="N2878" s="94">
        <v>640</v>
      </c>
      <c r="O2878" s="94">
        <f>N2878*M2878</f>
        <v>11520</v>
      </c>
      <c r="P2878" s="40" t="s">
        <v>3116</v>
      </c>
      <c r="Q2878" s="40" t="s">
        <v>766</v>
      </c>
      <c r="R2878" s="84">
        <v>113630100</v>
      </c>
      <c r="S2878" s="40">
        <v>100</v>
      </c>
    </row>
    <row r="2879" spans="1:19" s="92" customFormat="1" ht="76.5">
      <c r="A2879" s="5">
        <v>2864</v>
      </c>
      <c r="B2879" s="15" t="s">
        <v>710</v>
      </c>
      <c r="C2879" s="40" t="s">
        <v>711</v>
      </c>
      <c r="D2879" s="40" t="s">
        <v>723</v>
      </c>
      <c r="E2879" s="31" t="s">
        <v>874</v>
      </c>
      <c r="F2879" s="31" t="s">
        <v>874</v>
      </c>
      <c r="G2879" s="31" t="s">
        <v>875</v>
      </c>
      <c r="H2879" s="40" t="s">
        <v>876</v>
      </c>
      <c r="I2879" s="40" t="s">
        <v>3210</v>
      </c>
      <c r="J2879" s="40" t="s">
        <v>3211</v>
      </c>
      <c r="K2879" s="40" t="s">
        <v>591</v>
      </c>
      <c r="L2879" s="40" t="s">
        <v>644</v>
      </c>
      <c r="M2879" s="93">
        <f>2-1</f>
        <v>1</v>
      </c>
      <c r="N2879" s="94">
        <f>O2879/M2879</f>
        <v>30000</v>
      </c>
      <c r="O2879" s="94">
        <f>60000-30000</f>
        <v>30000</v>
      </c>
      <c r="P2879" s="40" t="s">
        <v>3116</v>
      </c>
      <c r="Q2879" s="40" t="s">
        <v>1051</v>
      </c>
      <c r="R2879" s="84">
        <v>113630100</v>
      </c>
      <c r="S2879" s="40">
        <v>100</v>
      </c>
    </row>
    <row r="2880" spans="1:19" s="92" customFormat="1" ht="89.25">
      <c r="A2880" s="5">
        <v>2865</v>
      </c>
      <c r="B2880" s="15" t="s">
        <v>710</v>
      </c>
      <c r="C2880" s="40" t="s">
        <v>597</v>
      </c>
      <c r="D2880" s="40" t="s">
        <v>598</v>
      </c>
      <c r="E2880" s="31" t="s">
        <v>599</v>
      </c>
      <c r="F2880" s="31" t="s">
        <v>782</v>
      </c>
      <c r="G2880" s="31" t="s">
        <v>3195</v>
      </c>
      <c r="H2880" s="40" t="s">
        <v>602</v>
      </c>
      <c r="I2880" s="40" t="s">
        <v>3196</v>
      </c>
      <c r="J2880" s="40" t="s">
        <v>3197</v>
      </c>
      <c r="K2880" s="40" t="s">
        <v>591</v>
      </c>
      <c r="L2880" s="11" t="s">
        <v>914</v>
      </c>
      <c r="M2880" s="93">
        <v>1</v>
      </c>
      <c r="N2880" s="94">
        <v>624400</v>
      </c>
      <c r="O2880" s="94">
        <v>624400</v>
      </c>
      <c r="P2880" s="40" t="s">
        <v>502</v>
      </c>
      <c r="Q2880" s="40" t="s">
        <v>766</v>
      </c>
      <c r="R2880" s="84">
        <v>113820100</v>
      </c>
      <c r="S2880" s="40">
        <v>0</v>
      </c>
    </row>
    <row r="2881" spans="1:19" s="92" customFormat="1" ht="89.25">
      <c r="A2881" s="5">
        <v>2866</v>
      </c>
      <c r="B2881" s="15" t="s">
        <v>710</v>
      </c>
      <c r="C2881" s="40" t="s">
        <v>597</v>
      </c>
      <c r="D2881" s="40" t="s">
        <v>598</v>
      </c>
      <c r="E2881" s="31" t="s">
        <v>599</v>
      </c>
      <c r="F2881" s="31" t="s">
        <v>782</v>
      </c>
      <c r="G2881" s="31" t="s">
        <v>3195</v>
      </c>
      <c r="H2881" s="40" t="s">
        <v>602</v>
      </c>
      <c r="I2881" s="40" t="s">
        <v>3196</v>
      </c>
      <c r="J2881" s="40" t="s">
        <v>3197</v>
      </c>
      <c r="K2881" s="40" t="s">
        <v>591</v>
      </c>
      <c r="L2881" s="11" t="s">
        <v>914</v>
      </c>
      <c r="M2881" s="93">
        <v>1</v>
      </c>
      <c r="N2881" s="94">
        <v>624400</v>
      </c>
      <c r="O2881" s="94">
        <v>624400</v>
      </c>
      <c r="P2881" s="40" t="s">
        <v>502</v>
      </c>
      <c r="Q2881" s="40" t="s">
        <v>766</v>
      </c>
      <c r="R2881" s="84">
        <v>113820100</v>
      </c>
      <c r="S2881" s="40">
        <v>0</v>
      </c>
    </row>
    <row r="2882" spans="1:19" s="92" customFormat="1" ht="51">
      <c r="A2882" s="5">
        <v>2867</v>
      </c>
      <c r="B2882" s="15" t="s">
        <v>710</v>
      </c>
      <c r="C2882" s="40" t="s">
        <v>597</v>
      </c>
      <c r="D2882" s="11" t="s">
        <v>850</v>
      </c>
      <c r="E2882" s="76" t="s">
        <v>1736</v>
      </c>
      <c r="F2882" s="76" t="s">
        <v>851</v>
      </c>
      <c r="G2882" s="76" t="s">
        <v>1737</v>
      </c>
      <c r="H2882" s="76" t="s">
        <v>852</v>
      </c>
      <c r="I2882" s="76" t="s">
        <v>3199</v>
      </c>
      <c r="J2882" s="76" t="s">
        <v>3200</v>
      </c>
      <c r="K2882" s="40" t="s">
        <v>591</v>
      </c>
      <c r="L2882" s="11" t="s">
        <v>914</v>
      </c>
      <c r="M2882" s="97">
        <v>1</v>
      </c>
      <c r="N2882" s="94">
        <f>10000*5</f>
        <v>50000</v>
      </c>
      <c r="O2882" s="94">
        <f>N2882</f>
        <v>50000</v>
      </c>
      <c r="P2882" s="40" t="s">
        <v>698</v>
      </c>
      <c r="Q2882" s="40" t="s">
        <v>766</v>
      </c>
      <c r="R2882" s="84">
        <v>113820100</v>
      </c>
      <c r="S2882" s="40">
        <v>0</v>
      </c>
    </row>
    <row r="2883" spans="1:19" s="92" customFormat="1" ht="51">
      <c r="A2883" s="5">
        <v>2868</v>
      </c>
      <c r="B2883" s="15" t="s">
        <v>710</v>
      </c>
      <c r="C2883" s="40" t="s">
        <v>597</v>
      </c>
      <c r="D2883" s="40" t="s">
        <v>2594</v>
      </c>
      <c r="E2883" s="31" t="s">
        <v>2618</v>
      </c>
      <c r="F2883" s="31" t="s">
        <v>2595</v>
      </c>
      <c r="G2883" s="31" t="s">
        <v>2618</v>
      </c>
      <c r="H2883" s="40" t="s">
        <v>2595</v>
      </c>
      <c r="I2883" s="40" t="s">
        <v>3201</v>
      </c>
      <c r="J2883" s="40" t="s">
        <v>3202</v>
      </c>
      <c r="K2883" s="40" t="s">
        <v>591</v>
      </c>
      <c r="L2883" s="11" t="s">
        <v>914</v>
      </c>
      <c r="M2883" s="93">
        <v>1</v>
      </c>
      <c r="N2883" s="94">
        <f>10500*3</f>
        <v>31500</v>
      </c>
      <c r="O2883" s="94">
        <f>N2883</f>
        <v>31500</v>
      </c>
      <c r="P2883" s="40" t="s">
        <v>3116</v>
      </c>
      <c r="Q2883" s="40" t="s">
        <v>766</v>
      </c>
      <c r="R2883" s="84">
        <v>113820100</v>
      </c>
      <c r="S2883" s="40">
        <v>30</v>
      </c>
    </row>
    <row r="2884" spans="1:19" s="92" customFormat="1" ht="89.25">
      <c r="A2884" s="5">
        <v>2869</v>
      </c>
      <c r="B2884" s="15" t="s">
        <v>710</v>
      </c>
      <c r="C2884" s="40" t="s">
        <v>711</v>
      </c>
      <c r="D2884" s="40" t="s">
        <v>976</v>
      </c>
      <c r="E2884" s="31" t="s">
        <v>730</v>
      </c>
      <c r="F2884" s="31" t="s">
        <v>731</v>
      </c>
      <c r="G2884" s="31" t="s">
        <v>977</v>
      </c>
      <c r="H2884" s="40" t="s">
        <v>978</v>
      </c>
      <c r="I2884" s="40" t="s">
        <v>3203</v>
      </c>
      <c r="J2884" s="40" t="s">
        <v>3204</v>
      </c>
      <c r="K2884" s="40" t="s">
        <v>591</v>
      </c>
      <c r="L2884" s="40" t="s">
        <v>644</v>
      </c>
      <c r="M2884" s="93">
        <v>2</v>
      </c>
      <c r="N2884" s="94">
        <v>26800</v>
      </c>
      <c r="O2884" s="94">
        <f>N2884*M2884</f>
        <v>53600</v>
      </c>
      <c r="P2884" s="40" t="s">
        <v>3116</v>
      </c>
      <c r="Q2884" s="40" t="s">
        <v>1051</v>
      </c>
      <c r="R2884" s="84">
        <v>113820100</v>
      </c>
      <c r="S2884" s="40">
        <v>100</v>
      </c>
    </row>
    <row r="2885" spans="1:19" s="92" customFormat="1" ht="63.75">
      <c r="A2885" s="5">
        <v>2870</v>
      </c>
      <c r="B2885" s="15" t="s">
        <v>710</v>
      </c>
      <c r="C2885" s="40" t="s">
        <v>711</v>
      </c>
      <c r="D2885" s="40" t="s">
        <v>744</v>
      </c>
      <c r="E2885" s="31" t="s">
        <v>745</v>
      </c>
      <c r="F2885" s="31" t="s">
        <v>109</v>
      </c>
      <c r="G2885" s="31" t="s">
        <v>746</v>
      </c>
      <c r="H2885" s="40" t="s">
        <v>3205</v>
      </c>
      <c r="I2885" s="40" t="s">
        <v>3206</v>
      </c>
      <c r="J2885" s="40" t="s">
        <v>3207</v>
      </c>
      <c r="K2885" s="40" t="s">
        <v>591</v>
      </c>
      <c r="L2885" s="40" t="s">
        <v>644</v>
      </c>
      <c r="M2885" s="93">
        <v>6</v>
      </c>
      <c r="N2885" s="94">
        <v>4500</v>
      </c>
      <c r="O2885" s="94">
        <f>M2885*N2885</f>
        <v>27000</v>
      </c>
      <c r="P2885" s="40" t="s">
        <v>3116</v>
      </c>
      <c r="Q2885" s="40" t="s">
        <v>1051</v>
      </c>
      <c r="R2885" s="84">
        <v>113820100</v>
      </c>
      <c r="S2885" s="40">
        <v>100</v>
      </c>
    </row>
    <row r="2886" spans="1:19" s="92" customFormat="1" ht="51">
      <c r="A2886" s="5">
        <v>2871</v>
      </c>
      <c r="B2886" s="15" t="s">
        <v>710</v>
      </c>
      <c r="C2886" s="40" t="s">
        <v>711</v>
      </c>
      <c r="D2886" s="98" t="s">
        <v>422</v>
      </c>
      <c r="E2886" s="76" t="s">
        <v>423</v>
      </c>
      <c r="F2886" s="76" t="s">
        <v>427</v>
      </c>
      <c r="G2886" s="76" t="s">
        <v>837</v>
      </c>
      <c r="H2886" s="76" t="s">
        <v>425</v>
      </c>
      <c r="I2886" s="76" t="s">
        <v>3208</v>
      </c>
      <c r="J2886" s="76" t="s">
        <v>3209</v>
      </c>
      <c r="K2886" s="76" t="s">
        <v>591</v>
      </c>
      <c r="L2886" s="11" t="s">
        <v>909</v>
      </c>
      <c r="M2886" s="53">
        <v>18</v>
      </c>
      <c r="N2886" s="94">
        <v>640</v>
      </c>
      <c r="O2886" s="94">
        <f>N2886*M2886</f>
        <v>11520</v>
      </c>
      <c r="P2886" s="40" t="s">
        <v>3116</v>
      </c>
      <c r="Q2886" s="40" t="s">
        <v>766</v>
      </c>
      <c r="R2886" s="84">
        <v>113820100</v>
      </c>
      <c r="S2886" s="40">
        <v>100</v>
      </c>
    </row>
    <row r="2887" spans="1:19" s="92" customFormat="1" ht="63.75">
      <c r="A2887" s="5">
        <v>2872</v>
      </c>
      <c r="B2887" s="15" t="s">
        <v>710</v>
      </c>
      <c r="C2887" s="40" t="s">
        <v>711</v>
      </c>
      <c r="D2887" s="15" t="s">
        <v>726</v>
      </c>
      <c r="E2887" s="57" t="s">
        <v>720</v>
      </c>
      <c r="F2887" s="57" t="s">
        <v>720</v>
      </c>
      <c r="G2887" s="57" t="s">
        <v>727</v>
      </c>
      <c r="H2887" s="57" t="s">
        <v>728</v>
      </c>
      <c r="I2887" s="40" t="s">
        <v>3210</v>
      </c>
      <c r="J2887" s="40" t="s">
        <v>3211</v>
      </c>
      <c r="K2887" s="40" t="s">
        <v>591</v>
      </c>
      <c r="L2887" s="40" t="s">
        <v>644</v>
      </c>
      <c r="M2887" s="93">
        <v>1</v>
      </c>
      <c r="N2887" s="94">
        <v>30000</v>
      </c>
      <c r="O2887" s="94">
        <f>N2887*M2887</f>
        <v>30000</v>
      </c>
      <c r="P2887" s="40" t="s">
        <v>502</v>
      </c>
      <c r="Q2887" s="40" t="s">
        <v>1051</v>
      </c>
      <c r="R2887" s="84">
        <v>113820100</v>
      </c>
      <c r="S2887" s="40">
        <v>100</v>
      </c>
    </row>
    <row r="2888" spans="1:19" s="92" customFormat="1" ht="89.25">
      <c r="A2888" s="5">
        <v>2873</v>
      </c>
      <c r="B2888" s="15" t="s">
        <v>710</v>
      </c>
      <c r="C2888" s="40" t="s">
        <v>597</v>
      </c>
      <c r="D2888" s="40" t="s">
        <v>598</v>
      </c>
      <c r="E2888" s="31" t="s">
        <v>599</v>
      </c>
      <c r="F2888" s="31" t="s">
        <v>782</v>
      </c>
      <c r="G2888" s="31" t="s">
        <v>3195</v>
      </c>
      <c r="H2888" s="40" t="s">
        <v>602</v>
      </c>
      <c r="I2888" s="40" t="s">
        <v>3196</v>
      </c>
      <c r="J2888" s="40" t="s">
        <v>3197</v>
      </c>
      <c r="K2888" s="40" t="s">
        <v>591</v>
      </c>
      <c r="L2888" s="11" t="s">
        <v>914</v>
      </c>
      <c r="M2888" s="93">
        <v>1</v>
      </c>
      <c r="N2888" s="94">
        <v>624400</v>
      </c>
      <c r="O2888" s="94">
        <v>624400</v>
      </c>
      <c r="P2888" s="40" t="s">
        <v>502</v>
      </c>
      <c r="Q2888" s="40" t="s">
        <v>766</v>
      </c>
      <c r="R2888" s="84">
        <v>114020100</v>
      </c>
      <c r="S2888" s="40">
        <v>0</v>
      </c>
    </row>
    <row r="2889" spans="1:19" s="92" customFormat="1" ht="89.25">
      <c r="A2889" s="5">
        <v>2874</v>
      </c>
      <c r="B2889" s="15" t="s">
        <v>710</v>
      </c>
      <c r="C2889" s="40" t="s">
        <v>597</v>
      </c>
      <c r="D2889" s="40" t="s">
        <v>598</v>
      </c>
      <c r="E2889" s="31" t="s">
        <v>599</v>
      </c>
      <c r="F2889" s="31" t="s">
        <v>782</v>
      </c>
      <c r="G2889" s="31" t="s">
        <v>3195</v>
      </c>
      <c r="H2889" s="40" t="s">
        <v>602</v>
      </c>
      <c r="I2889" s="40" t="s">
        <v>3196</v>
      </c>
      <c r="J2889" s="40" t="s">
        <v>3197</v>
      </c>
      <c r="K2889" s="40" t="s">
        <v>591</v>
      </c>
      <c r="L2889" s="11" t="s">
        <v>914</v>
      </c>
      <c r="M2889" s="93">
        <v>1</v>
      </c>
      <c r="N2889" s="94">
        <v>624400</v>
      </c>
      <c r="O2889" s="94">
        <v>624400</v>
      </c>
      <c r="P2889" s="40" t="s">
        <v>502</v>
      </c>
      <c r="Q2889" s="40" t="s">
        <v>766</v>
      </c>
      <c r="R2889" s="84">
        <v>114020100</v>
      </c>
      <c r="S2889" s="40">
        <v>0</v>
      </c>
    </row>
    <row r="2890" spans="1:19" s="92" customFormat="1" ht="51">
      <c r="A2890" s="5">
        <v>2875</v>
      </c>
      <c r="B2890" s="15" t="s">
        <v>710</v>
      </c>
      <c r="C2890" s="40" t="s">
        <v>597</v>
      </c>
      <c r="D2890" s="11" t="s">
        <v>850</v>
      </c>
      <c r="E2890" s="76" t="s">
        <v>1736</v>
      </c>
      <c r="F2890" s="76" t="s">
        <v>851</v>
      </c>
      <c r="G2890" s="76" t="s">
        <v>1737</v>
      </c>
      <c r="H2890" s="76" t="s">
        <v>852</v>
      </c>
      <c r="I2890" s="76" t="s">
        <v>3199</v>
      </c>
      <c r="J2890" s="76" t="s">
        <v>3200</v>
      </c>
      <c r="K2890" s="40" t="s">
        <v>591</v>
      </c>
      <c r="L2890" s="11" t="s">
        <v>914</v>
      </c>
      <c r="M2890" s="97">
        <v>1</v>
      </c>
      <c r="N2890" s="94">
        <f>10000*5</f>
        <v>50000</v>
      </c>
      <c r="O2890" s="94">
        <f>N2890</f>
        <v>50000</v>
      </c>
      <c r="P2890" s="40" t="s">
        <v>698</v>
      </c>
      <c r="Q2890" s="40" t="s">
        <v>766</v>
      </c>
      <c r="R2890" s="84">
        <v>114020100</v>
      </c>
      <c r="S2890" s="40">
        <v>0</v>
      </c>
    </row>
    <row r="2891" spans="1:19" s="92" customFormat="1" ht="51">
      <c r="A2891" s="5">
        <v>2876</v>
      </c>
      <c r="B2891" s="15" t="s">
        <v>710</v>
      </c>
      <c r="C2891" s="40" t="s">
        <v>597</v>
      </c>
      <c r="D2891" s="40" t="s">
        <v>2594</v>
      </c>
      <c r="E2891" s="31" t="s">
        <v>2618</v>
      </c>
      <c r="F2891" s="31" t="s">
        <v>2595</v>
      </c>
      <c r="G2891" s="31" t="s">
        <v>2618</v>
      </c>
      <c r="H2891" s="40" t="s">
        <v>2595</v>
      </c>
      <c r="I2891" s="40" t="s">
        <v>3201</v>
      </c>
      <c r="J2891" s="40" t="s">
        <v>3202</v>
      </c>
      <c r="K2891" s="40" t="s">
        <v>591</v>
      </c>
      <c r="L2891" s="11" t="s">
        <v>914</v>
      </c>
      <c r="M2891" s="93">
        <v>1</v>
      </c>
      <c r="N2891" s="94">
        <f>10500*3</f>
        <v>31500</v>
      </c>
      <c r="O2891" s="94">
        <f>N2891</f>
        <v>31500</v>
      </c>
      <c r="P2891" s="40" t="s">
        <v>3116</v>
      </c>
      <c r="Q2891" s="40" t="s">
        <v>766</v>
      </c>
      <c r="R2891" s="84">
        <v>114020100</v>
      </c>
      <c r="S2891" s="40">
        <v>30</v>
      </c>
    </row>
    <row r="2892" spans="1:19" s="92" customFormat="1" ht="89.25">
      <c r="A2892" s="5">
        <v>2877</v>
      </c>
      <c r="B2892" s="15" t="s">
        <v>710</v>
      </c>
      <c r="C2892" s="40" t="s">
        <v>711</v>
      </c>
      <c r="D2892" s="40" t="s">
        <v>976</v>
      </c>
      <c r="E2892" s="31" t="s">
        <v>730</v>
      </c>
      <c r="F2892" s="31" t="s">
        <v>731</v>
      </c>
      <c r="G2892" s="31" t="s">
        <v>977</v>
      </c>
      <c r="H2892" s="40" t="s">
        <v>978</v>
      </c>
      <c r="I2892" s="40" t="s">
        <v>3203</v>
      </c>
      <c r="J2892" s="40" t="s">
        <v>3204</v>
      </c>
      <c r="K2892" s="40" t="s">
        <v>591</v>
      </c>
      <c r="L2892" s="40" t="s">
        <v>644</v>
      </c>
      <c r="M2892" s="93">
        <v>2</v>
      </c>
      <c r="N2892" s="94">
        <v>26800</v>
      </c>
      <c r="O2892" s="94">
        <f>N2892*M2892</f>
        <v>53600</v>
      </c>
      <c r="P2892" s="40" t="s">
        <v>3116</v>
      </c>
      <c r="Q2892" s="40" t="s">
        <v>1051</v>
      </c>
      <c r="R2892" s="84">
        <v>114020100</v>
      </c>
      <c r="S2892" s="40">
        <v>100</v>
      </c>
    </row>
    <row r="2893" spans="1:19" s="92" customFormat="1" ht="63.75">
      <c r="A2893" s="5">
        <v>2878</v>
      </c>
      <c r="B2893" s="15" t="s">
        <v>710</v>
      </c>
      <c r="C2893" s="40" t="s">
        <v>711</v>
      </c>
      <c r="D2893" s="40" t="s">
        <v>744</v>
      </c>
      <c r="E2893" s="31" t="s">
        <v>745</v>
      </c>
      <c r="F2893" s="31" t="s">
        <v>109</v>
      </c>
      <c r="G2893" s="31" t="s">
        <v>746</v>
      </c>
      <c r="H2893" s="40" t="s">
        <v>3205</v>
      </c>
      <c r="I2893" s="40" t="s">
        <v>3206</v>
      </c>
      <c r="J2893" s="40" t="s">
        <v>3207</v>
      </c>
      <c r="K2893" s="40" t="s">
        <v>591</v>
      </c>
      <c r="L2893" s="40" t="s">
        <v>644</v>
      </c>
      <c r="M2893" s="93">
        <v>6</v>
      </c>
      <c r="N2893" s="94">
        <v>4500</v>
      </c>
      <c r="O2893" s="94">
        <f>M2893*N2893</f>
        <v>27000</v>
      </c>
      <c r="P2893" s="40" t="s">
        <v>3116</v>
      </c>
      <c r="Q2893" s="40" t="s">
        <v>1051</v>
      </c>
      <c r="R2893" s="84">
        <v>114020100</v>
      </c>
      <c r="S2893" s="40">
        <v>100</v>
      </c>
    </row>
    <row r="2894" spans="1:19" s="92" customFormat="1" ht="51">
      <c r="A2894" s="5">
        <v>2879</v>
      </c>
      <c r="B2894" s="15" t="s">
        <v>710</v>
      </c>
      <c r="C2894" s="40" t="s">
        <v>711</v>
      </c>
      <c r="D2894" s="98" t="s">
        <v>422</v>
      </c>
      <c r="E2894" s="76" t="s">
        <v>423</v>
      </c>
      <c r="F2894" s="76" t="s">
        <v>427</v>
      </c>
      <c r="G2894" s="76" t="s">
        <v>837</v>
      </c>
      <c r="H2894" s="76" t="s">
        <v>425</v>
      </c>
      <c r="I2894" s="76" t="s">
        <v>3208</v>
      </c>
      <c r="J2894" s="76" t="s">
        <v>3209</v>
      </c>
      <c r="K2894" s="76" t="s">
        <v>591</v>
      </c>
      <c r="L2894" s="11" t="s">
        <v>909</v>
      </c>
      <c r="M2894" s="53">
        <v>18</v>
      </c>
      <c r="N2894" s="94">
        <v>640</v>
      </c>
      <c r="O2894" s="94">
        <f>N2894*M2894</f>
        <v>11520</v>
      </c>
      <c r="P2894" s="40" t="s">
        <v>3116</v>
      </c>
      <c r="Q2894" s="40" t="s">
        <v>766</v>
      </c>
      <c r="R2894" s="84">
        <v>114020100</v>
      </c>
      <c r="S2894" s="40">
        <v>100</v>
      </c>
    </row>
    <row r="2895" spans="1:19" s="92" customFormat="1" ht="63.75">
      <c r="A2895" s="5">
        <v>2880</v>
      </c>
      <c r="B2895" s="15" t="s">
        <v>710</v>
      </c>
      <c r="C2895" s="40" t="s">
        <v>711</v>
      </c>
      <c r="D2895" s="15" t="s">
        <v>726</v>
      </c>
      <c r="E2895" s="57" t="s">
        <v>720</v>
      </c>
      <c r="F2895" s="57" t="s">
        <v>720</v>
      </c>
      <c r="G2895" s="57" t="s">
        <v>727</v>
      </c>
      <c r="H2895" s="57" t="s">
        <v>728</v>
      </c>
      <c r="I2895" s="40" t="s">
        <v>3210</v>
      </c>
      <c r="J2895" s="40" t="s">
        <v>3211</v>
      </c>
      <c r="K2895" s="40" t="s">
        <v>591</v>
      </c>
      <c r="L2895" s="40" t="s">
        <v>644</v>
      </c>
      <c r="M2895" s="93">
        <v>1</v>
      </c>
      <c r="N2895" s="94">
        <v>30000</v>
      </c>
      <c r="O2895" s="94">
        <f>N2895*M2895</f>
        <v>30000</v>
      </c>
      <c r="P2895" s="40" t="s">
        <v>502</v>
      </c>
      <c r="Q2895" s="40" t="s">
        <v>1051</v>
      </c>
      <c r="R2895" s="84">
        <v>114020100</v>
      </c>
      <c r="S2895" s="40">
        <v>100</v>
      </c>
    </row>
    <row r="2896" spans="1:19" s="92" customFormat="1" ht="89.25">
      <c r="A2896" s="5">
        <v>2881</v>
      </c>
      <c r="B2896" s="15" t="s">
        <v>710</v>
      </c>
      <c r="C2896" s="40" t="s">
        <v>597</v>
      </c>
      <c r="D2896" s="40" t="s">
        <v>598</v>
      </c>
      <c r="E2896" s="31" t="s">
        <v>599</v>
      </c>
      <c r="F2896" s="31" t="s">
        <v>782</v>
      </c>
      <c r="G2896" s="31" t="s">
        <v>3195</v>
      </c>
      <c r="H2896" s="40" t="s">
        <v>602</v>
      </c>
      <c r="I2896" s="40" t="s">
        <v>3196</v>
      </c>
      <c r="J2896" s="40" t="s">
        <v>3197</v>
      </c>
      <c r="K2896" s="40" t="s">
        <v>591</v>
      </c>
      <c r="L2896" s="11" t="s">
        <v>914</v>
      </c>
      <c r="M2896" s="93">
        <v>1</v>
      </c>
      <c r="N2896" s="94">
        <v>624400</v>
      </c>
      <c r="O2896" s="94">
        <v>624400</v>
      </c>
      <c r="P2896" s="40" t="s">
        <v>502</v>
      </c>
      <c r="Q2896" s="40" t="s">
        <v>766</v>
      </c>
      <c r="R2896" s="84">
        <v>117020100</v>
      </c>
      <c r="S2896" s="40">
        <v>0</v>
      </c>
    </row>
    <row r="2897" spans="1:19" s="92" customFormat="1" ht="89.25">
      <c r="A2897" s="5">
        <v>2882</v>
      </c>
      <c r="B2897" s="15" t="s">
        <v>710</v>
      </c>
      <c r="C2897" s="40" t="s">
        <v>597</v>
      </c>
      <c r="D2897" s="40" t="s">
        <v>598</v>
      </c>
      <c r="E2897" s="31" t="s">
        <v>599</v>
      </c>
      <c r="F2897" s="31" t="s">
        <v>782</v>
      </c>
      <c r="G2897" s="31" t="s">
        <v>3195</v>
      </c>
      <c r="H2897" s="40" t="s">
        <v>602</v>
      </c>
      <c r="I2897" s="40" t="s">
        <v>3196</v>
      </c>
      <c r="J2897" s="40" t="s">
        <v>3197</v>
      </c>
      <c r="K2897" s="40" t="s">
        <v>591</v>
      </c>
      <c r="L2897" s="11" t="s">
        <v>914</v>
      </c>
      <c r="M2897" s="93">
        <v>1</v>
      </c>
      <c r="N2897" s="94">
        <v>624400</v>
      </c>
      <c r="O2897" s="94">
        <v>624400</v>
      </c>
      <c r="P2897" s="40" t="s">
        <v>502</v>
      </c>
      <c r="Q2897" s="40" t="s">
        <v>766</v>
      </c>
      <c r="R2897" s="84">
        <v>117020100</v>
      </c>
      <c r="S2897" s="40">
        <v>0</v>
      </c>
    </row>
    <row r="2898" spans="1:19" s="92" customFormat="1" ht="51">
      <c r="A2898" s="5">
        <v>2883</v>
      </c>
      <c r="B2898" s="15" t="s">
        <v>710</v>
      </c>
      <c r="C2898" s="40" t="s">
        <v>597</v>
      </c>
      <c r="D2898" s="11" t="s">
        <v>850</v>
      </c>
      <c r="E2898" s="76" t="s">
        <v>1736</v>
      </c>
      <c r="F2898" s="76" t="s">
        <v>851</v>
      </c>
      <c r="G2898" s="76" t="s">
        <v>1737</v>
      </c>
      <c r="H2898" s="76" t="s">
        <v>852</v>
      </c>
      <c r="I2898" s="76" t="s">
        <v>3199</v>
      </c>
      <c r="J2898" s="76" t="s">
        <v>3200</v>
      </c>
      <c r="K2898" s="40" t="s">
        <v>591</v>
      </c>
      <c r="L2898" s="11" t="s">
        <v>914</v>
      </c>
      <c r="M2898" s="97">
        <v>1</v>
      </c>
      <c r="N2898" s="94">
        <f>10000*5</f>
        <v>50000</v>
      </c>
      <c r="O2898" s="94">
        <f>N2898</f>
        <v>50000</v>
      </c>
      <c r="P2898" s="40" t="s">
        <v>698</v>
      </c>
      <c r="Q2898" s="40" t="s">
        <v>766</v>
      </c>
      <c r="R2898" s="84">
        <v>117020100</v>
      </c>
      <c r="S2898" s="40">
        <v>0</v>
      </c>
    </row>
    <row r="2899" spans="1:19" s="92" customFormat="1" ht="51">
      <c r="A2899" s="5">
        <v>2884</v>
      </c>
      <c r="B2899" s="15" t="s">
        <v>710</v>
      </c>
      <c r="C2899" s="40" t="s">
        <v>597</v>
      </c>
      <c r="D2899" s="40" t="s">
        <v>2594</v>
      </c>
      <c r="E2899" s="31" t="s">
        <v>2618</v>
      </c>
      <c r="F2899" s="31" t="s">
        <v>2595</v>
      </c>
      <c r="G2899" s="31" t="s">
        <v>2618</v>
      </c>
      <c r="H2899" s="40" t="s">
        <v>2595</v>
      </c>
      <c r="I2899" s="40" t="s">
        <v>3201</v>
      </c>
      <c r="J2899" s="40" t="s">
        <v>3202</v>
      </c>
      <c r="K2899" s="40" t="s">
        <v>591</v>
      </c>
      <c r="L2899" s="11" t="s">
        <v>914</v>
      </c>
      <c r="M2899" s="93">
        <v>1</v>
      </c>
      <c r="N2899" s="94">
        <f>10500*3</f>
        <v>31500</v>
      </c>
      <c r="O2899" s="94">
        <f>N2899</f>
        <v>31500</v>
      </c>
      <c r="P2899" s="40" t="s">
        <v>3116</v>
      </c>
      <c r="Q2899" s="40" t="s">
        <v>766</v>
      </c>
      <c r="R2899" s="84">
        <v>117020100</v>
      </c>
      <c r="S2899" s="40">
        <v>30</v>
      </c>
    </row>
    <row r="2900" spans="1:19" s="92" customFormat="1" ht="89.25">
      <c r="A2900" s="5">
        <v>2885</v>
      </c>
      <c r="B2900" s="15" t="s">
        <v>710</v>
      </c>
      <c r="C2900" s="40" t="s">
        <v>711</v>
      </c>
      <c r="D2900" s="40" t="s">
        <v>976</v>
      </c>
      <c r="E2900" s="31" t="s">
        <v>730</v>
      </c>
      <c r="F2900" s="31" t="s">
        <v>731</v>
      </c>
      <c r="G2900" s="31" t="s">
        <v>977</v>
      </c>
      <c r="H2900" s="40" t="s">
        <v>978</v>
      </c>
      <c r="I2900" s="40" t="s">
        <v>3203</v>
      </c>
      <c r="J2900" s="40" t="s">
        <v>3204</v>
      </c>
      <c r="K2900" s="40" t="s">
        <v>591</v>
      </c>
      <c r="L2900" s="40" t="s">
        <v>644</v>
      </c>
      <c r="M2900" s="93">
        <v>2</v>
      </c>
      <c r="N2900" s="94">
        <v>26800</v>
      </c>
      <c r="O2900" s="94">
        <f>N2900*M2900</f>
        <v>53600</v>
      </c>
      <c r="P2900" s="40" t="s">
        <v>3116</v>
      </c>
      <c r="Q2900" s="40" t="s">
        <v>1051</v>
      </c>
      <c r="R2900" s="84">
        <v>117020100</v>
      </c>
      <c r="S2900" s="40">
        <v>100</v>
      </c>
    </row>
    <row r="2901" spans="1:19" s="92" customFormat="1" ht="63.75">
      <c r="A2901" s="5">
        <v>2886</v>
      </c>
      <c r="B2901" s="15" t="s">
        <v>710</v>
      </c>
      <c r="C2901" s="40" t="s">
        <v>711</v>
      </c>
      <c r="D2901" s="40" t="s">
        <v>744</v>
      </c>
      <c r="E2901" s="31" t="s">
        <v>745</v>
      </c>
      <c r="F2901" s="31" t="s">
        <v>109</v>
      </c>
      <c r="G2901" s="31" t="s">
        <v>746</v>
      </c>
      <c r="H2901" s="40" t="s">
        <v>3205</v>
      </c>
      <c r="I2901" s="40" t="s">
        <v>3206</v>
      </c>
      <c r="J2901" s="40" t="s">
        <v>3207</v>
      </c>
      <c r="K2901" s="40" t="s">
        <v>591</v>
      </c>
      <c r="L2901" s="40" t="s">
        <v>644</v>
      </c>
      <c r="M2901" s="93">
        <v>6</v>
      </c>
      <c r="N2901" s="94">
        <v>4500</v>
      </c>
      <c r="O2901" s="94">
        <f>M2901*N2901</f>
        <v>27000</v>
      </c>
      <c r="P2901" s="40" t="s">
        <v>3116</v>
      </c>
      <c r="Q2901" s="40" t="s">
        <v>1051</v>
      </c>
      <c r="R2901" s="84">
        <v>117020100</v>
      </c>
      <c r="S2901" s="40">
        <v>100</v>
      </c>
    </row>
    <row r="2902" spans="1:19" s="92" customFormat="1" ht="51">
      <c r="A2902" s="5">
        <v>2887</v>
      </c>
      <c r="B2902" s="15" t="s">
        <v>710</v>
      </c>
      <c r="C2902" s="40" t="s">
        <v>711</v>
      </c>
      <c r="D2902" s="98" t="s">
        <v>422</v>
      </c>
      <c r="E2902" s="76" t="s">
        <v>423</v>
      </c>
      <c r="F2902" s="76" t="s">
        <v>427</v>
      </c>
      <c r="G2902" s="76" t="s">
        <v>837</v>
      </c>
      <c r="H2902" s="76" t="s">
        <v>425</v>
      </c>
      <c r="I2902" s="76" t="s">
        <v>3208</v>
      </c>
      <c r="J2902" s="76" t="s">
        <v>3209</v>
      </c>
      <c r="K2902" s="76" t="s">
        <v>591</v>
      </c>
      <c r="L2902" s="11" t="s">
        <v>909</v>
      </c>
      <c r="M2902" s="53">
        <v>18</v>
      </c>
      <c r="N2902" s="94">
        <v>640</v>
      </c>
      <c r="O2902" s="94">
        <f>N2902*M2902</f>
        <v>11520</v>
      </c>
      <c r="P2902" s="40" t="s">
        <v>3116</v>
      </c>
      <c r="Q2902" s="40" t="s">
        <v>766</v>
      </c>
      <c r="R2902" s="84">
        <v>117020100</v>
      </c>
      <c r="S2902" s="40">
        <v>100</v>
      </c>
    </row>
    <row r="2903" spans="1:19" s="92" customFormat="1" ht="63.75">
      <c r="A2903" s="5">
        <v>2888</v>
      </c>
      <c r="B2903" s="15" t="s">
        <v>710</v>
      </c>
      <c r="C2903" s="40" t="s">
        <v>711</v>
      </c>
      <c r="D2903" s="15" t="s">
        <v>726</v>
      </c>
      <c r="E2903" s="57" t="s">
        <v>720</v>
      </c>
      <c r="F2903" s="57" t="s">
        <v>720</v>
      </c>
      <c r="G2903" s="57" t="s">
        <v>727</v>
      </c>
      <c r="H2903" s="57" t="s">
        <v>728</v>
      </c>
      <c r="I2903" s="40" t="s">
        <v>3210</v>
      </c>
      <c r="J2903" s="40" t="s">
        <v>3211</v>
      </c>
      <c r="K2903" s="40" t="s">
        <v>591</v>
      </c>
      <c r="L2903" s="40" t="s">
        <v>644</v>
      </c>
      <c r="M2903" s="93">
        <v>1</v>
      </c>
      <c r="N2903" s="94">
        <v>30000</v>
      </c>
      <c r="O2903" s="94">
        <f>N2903*M2903</f>
        <v>30000</v>
      </c>
      <c r="P2903" s="40" t="s">
        <v>502</v>
      </c>
      <c r="Q2903" s="40" t="s">
        <v>1051</v>
      </c>
      <c r="R2903" s="84">
        <v>117020100</v>
      </c>
      <c r="S2903" s="40">
        <v>100</v>
      </c>
    </row>
    <row r="2904" spans="1:19" s="92" customFormat="1" ht="89.25">
      <c r="A2904" s="5">
        <v>2889</v>
      </c>
      <c r="B2904" s="15" t="s">
        <v>710</v>
      </c>
      <c r="C2904" s="40" t="s">
        <v>597</v>
      </c>
      <c r="D2904" s="40" t="s">
        <v>598</v>
      </c>
      <c r="E2904" s="31" t="s">
        <v>599</v>
      </c>
      <c r="F2904" s="31" t="s">
        <v>782</v>
      </c>
      <c r="G2904" s="31" t="s">
        <v>3195</v>
      </c>
      <c r="H2904" s="40" t="s">
        <v>602</v>
      </c>
      <c r="I2904" s="40" t="s">
        <v>3196</v>
      </c>
      <c r="J2904" s="40" t="s">
        <v>3197</v>
      </c>
      <c r="K2904" s="40" t="s">
        <v>591</v>
      </c>
      <c r="L2904" s="11" t="s">
        <v>914</v>
      </c>
      <c r="M2904" s="93">
        <v>1</v>
      </c>
      <c r="N2904" s="94">
        <v>624400</v>
      </c>
      <c r="O2904" s="94">
        <v>624400</v>
      </c>
      <c r="P2904" s="40" t="s">
        <v>502</v>
      </c>
      <c r="Q2904" s="40" t="s">
        <v>766</v>
      </c>
      <c r="R2904" s="84">
        <v>114430100</v>
      </c>
      <c r="S2904" s="40">
        <v>0</v>
      </c>
    </row>
    <row r="2905" spans="1:19" s="92" customFormat="1" ht="89.25">
      <c r="A2905" s="5">
        <v>2890</v>
      </c>
      <c r="B2905" s="15" t="s">
        <v>710</v>
      </c>
      <c r="C2905" s="40" t="s">
        <v>597</v>
      </c>
      <c r="D2905" s="40" t="s">
        <v>598</v>
      </c>
      <c r="E2905" s="31" t="s">
        <v>599</v>
      </c>
      <c r="F2905" s="31" t="s">
        <v>782</v>
      </c>
      <c r="G2905" s="31" t="s">
        <v>3195</v>
      </c>
      <c r="H2905" s="40" t="s">
        <v>602</v>
      </c>
      <c r="I2905" s="40" t="s">
        <v>3196</v>
      </c>
      <c r="J2905" s="40" t="s">
        <v>3197</v>
      </c>
      <c r="K2905" s="40" t="s">
        <v>591</v>
      </c>
      <c r="L2905" s="11" t="s">
        <v>914</v>
      </c>
      <c r="M2905" s="93">
        <v>1</v>
      </c>
      <c r="N2905" s="94">
        <v>624400</v>
      </c>
      <c r="O2905" s="94">
        <v>624400</v>
      </c>
      <c r="P2905" s="40" t="s">
        <v>502</v>
      </c>
      <c r="Q2905" s="40" t="s">
        <v>766</v>
      </c>
      <c r="R2905" s="84">
        <v>114430100</v>
      </c>
      <c r="S2905" s="40">
        <v>0</v>
      </c>
    </row>
    <row r="2906" spans="1:19" s="92" customFormat="1" ht="51">
      <c r="A2906" s="5">
        <v>2891</v>
      </c>
      <c r="B2906" s="15" t="s">
        <v>710</v>
      </c>
      <c r="C2906" s="40" t="s">
        <v>597</v>
      </c>
      <c r="D2906" s="11" t="s">
        <v>850</v>
      </c>
      <c r="E2906" s="76" t="s">
        <v>1736</v>
      </c>
      <c r="F2906" s="76" t="s">
        <v>851</v>
      </c>
      <c r="G2906" s="76" t="s">
        <v>1737</v>
      </c>
      <c r="H2906" s="76" t="s">
        <v>852</v>
      </c>
      <c r="I2906" s="76" t="s">
        <v>3199</v>
      </c>
      <c r="J2906" s="76" t="s">
        <v>3200</v>
      </c>
      <c r="K2906" s="40" t="s">
        <v>591</v>
      </c>
      <c r="L2906" s="11" t="s">
        <v>914</v>
      </c>
      <c r="M2906" s="97">
        <v>1</v>
      </c>
      <c r="N2906" s="94">
        <f>10000*5</f>
        <v>50000</v>
      </c>
      <c r="O2906" s="94">
        <f>N2906</f>
        <v>50000</v>
      </c>
      <c r="P2906" s="40" t="s">
        <v>698</v>
      </c>
      <c r="Q2906" s="40" t="s">
        <v>766</v>
      </c>
      <c r="R2906" s="84">
        <v>114430100</v>
      </c>
      <c r="S2906" s="40">
        <v>0</v>
      </c>
    </row>
    <row r="2907" spans="1:19" s="92" customFormat="1" ht="51">
      <c r="A2907" s="5">
        <v>2892</v>
      </c>
      <c r="B2907" s="15" t="s">
        <v>710</v>
      </c>
      <c r="C2907" s="40" t="s">
        <v>597</v>
      </c>
      <c r="D2907" s="40" t="s">
        <v>2594</v>
      </c>
      <c r="E2907" s="31" t="s">
        <v>2618</v>
      </c>
      <c r="F2907" s="31" t="s">
        <v>2595</v>
      </c>
      <c r="G2907" s="31" t="s">
        <v>2618</v>
      </c>
      <c r="H2907" s="40" t="s">
        <v>2595</v>
      </c>
      <c r="I2907" s="40" t="s">
        <v>3201</v>
      </c>
      <c r="J2907" s="40" t="s">
        <v>3202</v>
      </c>
      <c r="K2907" s="40" t="s">
        <v>591</v>
      </c>
      <c r="L2907" s="11" t="s">
        <v>914</v>
      </c>
      <c r="M2907" s="93">
        <v>1</v>
      </c>
      <c r="N2907" s="94">
        <f>10500*3</f>
        <v>31500</v>
      </c>
      <c r="O2907" s="94">
        <f>N2907</f>
        <v>31500</v>
      </c>
      <c r="P2907" s="40" t="s">
        <v>3116</v>
      </c>
      <c r="Q2907" s="40" t="s">
        <v>766</v>
      </c>
      <c r="R2907" s="84">
        <v>114430100</v>
      </c>
      <c r="S2907" s="40">
        <v>30</v>
      </c>
    </row>
    <row r="2908" spans="1:19" s="92" customFormat="1" ht="89.25">
      <c r="A2908" s="5">
        <v>2893</v>
      </c>
      <c r="B2908" s="15" t="s">
        <v>710</v>
      </c>
      <c r="C2908" s="40" t="s">
        <v>711</v>
      </c>
      <c r="D2908" s="40" t="s">
        <v>976</v>
      </c>
      <c r="E2908" s="31" t="s">
        <v>730</v>
      </c>
      <c r="F2908" s="31" t="s">
        <v>731</v>
      </c>
      <c r="G2908" s="31" t="s">
        <v>977</v>
      </c>
      <c r="H2908" s="40" t="s">
        <v>978</v>
      </c>
      <c r="I2908" s="40" t="s">
        <v>3203</v>
      </c>
      <c r="J2908" s="40" t="s">
        <v>3204</v>
      </c>
      <c r="K2908" s="40" t="s">
        <v>591</v>
      </c>
      <c r="L2908" s="40" t="s">
        <v>644</v>
      </c>
      <c r="M2908" s="93">
        <v>2</v>
      </c>
      <c r="N2908" s="94">
        <f>O2908/M2908</f>
        <v>25000</v>
      </c>
      <c r="O2908" s="94">
        <f>53600-3600</f>
        <v>50000</v>
      </c>
      <c r="P2908" s="40" t="s">
        <v>3116</v>
      </c>
      <c r="Q2908" s="40" t="s">
        <v>1051</v>
      </c>
      <c r="R2908" s="84">
        <v>114430100</v>
      </c>
      <c r="S2908" s="40">
        <v>100</v>
      </c>
    </row>
    <row r="2909" spans="1:19" s="92" customFormat="1" ht="63.75">
      <c r="A2909" s="5">
        <v>2894</v>
      </c>
      <c r="B2909" s="15" t="s">
        <v>710</v>
      </c>
      <c r="C2909" s="40" t="s">
        <v>711</v>
      </c>
      <c r="D2909" s="40" t="s">
        <v>744</v>
      </c>
      <c r="E2909" s="31" t="s">
        <v>745</v>
      </c>
      <c r="F2909" s="31" t="s">
        <v>109</v>
      </c>
      <c r="G2909" s="31" t="s">
        <v>746</v>
      </c>
      <c r="H2909" s="40" t="s">
        <v>3205</v>
      </c>
      <c r="I2909" s="40" t="s">
        <v>3206</v>
      </c>
      <c r="J2909" s="40" t="s">
        <v>3207</v>
      </c>
      <c r="K2909" s="40" t="s">
        <v>591</v>
      </c>
      <c r="L2909" s="40" t="s">
        <v>644</v>
      </c>
      <c r="M2909" s="93">
        <v>6</v>
      </c>
      <c r="N2909" s="94">
        <v>4500</v>
      </c>
      <c r="O2909" s="94">
        <f>M2909*N2909</f>
        <v>27000</v>
      </c>
      <c r="P2909" s="40" t="s">
        <v>3116</v>
      </c>
      <c r="Q2909" s="40" t="s">
        <v>1051</v>
      </c>
      <c r="R2909" s="84">
        <v>114430100</v>
      </c>
      <c r="S2909" s="40">
        <v>100</v>
      </c>
    </row>
    <row r="2910" spans="1:19" s="92" customFormat="1" ht="51">
      <c r="A2910" s="5">
        <v>2895</v>
      </c>
      <c r="B2910" s="15" t="s">
        <v>710</v>
      </c>
      <c r="C2910" s="40" t="s">
        <v>711</v>
      </c>
      <c r="D2910" s="98" t="s">
        <v>422</v>
      </c>
      <c r="E2910" s="76" t="s">
        <v>423</v>
      </c>
      <c r="F2910" s="76" t="s">
        <v>427</v>
      </c>
      <c r="G2910" s="76" t="s">
        <v>837</v>
      </c>
      <c r="H2910" s="76" t="s">
        <v>425</v>
      </c>
      <c r="I2910" s="76" t="s">
        <v>3208</v>
      </c>
      <c r="J2910" s="76" t="s">
        <v>3209</v>
      </c>
      <c r="K2910" s="76" t="s">
        <v>591</v>
      </c>
      <c r="L2910" s="11" t="s">
        <v>909</v>
      </c>
      <c r="M2910" s="53">
        <v>18</v>
      </c>
      <c r="N2910" s="94">
        <v>640</v>
      </c>
      <c r="O2910" s="94">
        <f>N2910*M2910</f>
        <v>11520</v>
      </c>
      <c r="P2910" s="40" t="s">
        <v>3116</v>
      </c>
      <c r="Q2910" s="40" t="s">
        <v>766</v>
      </c>
      <c r="R2910" s="84">
        <v>114430100</v>
      </c>
      <c r="S2910" s="40">
        <v>100</v>
      </c>
    </row>
    <row r="2911" spans="1:19" s="92" customFormat="1" ht="76.5">
      <c r="A2911" s="5">
        <v>2896</v>
      </c>
      <c r="B2911" s="15" t="s">
        <v>710</v>
      </c>
      <c r="C2911" s="40" t="s">
        <v>711</v>
      </c>
      <c r="D2911" s="40" t="s">
        <v>723</v>
      </c>
      <c r="E2911" s="31" t="s">
        <v>874</v>
      </c>
      <c r="F2911" s="31" t="s">
        <v>874</v>
      </c>
      <c r="G2911" s="31" t="s">
        <v>875</v>
      </c>
      <c r="H2911" s="40" t="s">
        <v>876</v>
      </c>
      <c r="I2911" s="40" t="s">
        <v>3210</v>
      </c>
      <c r="J2911" s="40" t="s">
        <v>3211</v>
      </c>
      <c r="K2911" s="40" t="s">
        <v>591</v>
      </c>
      <c r="L2911" s="40" t="s">
        <v>644</v>
      </c>
      <c r="M2911" s="93">
        <v>2</v>
      </c>
      <c r="N2911" s="94">
        <f>O2911/M2911</f>
        <v>0</v>
      </c>
      <c r="O2911" s="94">
        <f>60000-60000</f>
        <v>0</v>
      </c>
      <c r="P2911" s="40" t="s">
        <v>3116</v>
      </c>
      <c r="Q2911" s="40" t="s">
        <v>1051</v>
      </c>
      <c r="R2911" s="84">
        <v>114430100</v>
      </c>
      <c r="S2911" s="40">
        <v>100</v>
      </c>
    </row>
    <row r="2912" spans="1:19" s="92" customFormat="1" ht="89.25">
      <c r="A2912" s="5">
        <v>2897</v>
      </c>
      <c r="B2912" s="15" t="s">
        <v>710</v>
      </c>
      <c r="C2912" s="40" t="s">
        <v>597</v>
      </c>
      <c r="D2912" s="40" t="s">
        <v>598</v>
      </c>
      <c r="E2912" s="31" t="s">
        <v>599</v>
      </c>
      <c r="F2912" s="31" t="s">
        <v>782</v>
      </c>
      <c r="G2912" s="31" t="s">
        <v>3195</v>
      </c>
      <c r="H2912" s="40" t="s">
        <v>602</v>
      </c>
      <c r="I2912" s="40" t="s">
        <v>3196</v>
      </c>
      <c r="J2912" s="40" t="s">
        <v>3197</v>
      </c>
      <c r="K2912" s="40" t="s">
        <v>591</v>
      </c>
      <c r="L2912" s="11" t="s">
        <v>914</v>
      </c>
      <c r="M2912" s="93">
        <v>1</v>
      </c>
      <c r="N2912" s="94">
        <v>624400</v>
      </c>
      <c r="O2912" s="94">
        <v>624400</v>
      </c>
      <c r="P2912" s="40" t="s">
        <v>502</v>
      </c>
      <c r="Q2912" s="40" t="s">
        <v>766</v>
      </c>
      <c r="R2912" s="84">
        <v>114520100</v>
      </c>
      <c r="S2912" s="40">
        <v>0</v>
      </c>
    </row>
    <row r="2913" spans="1:19" s="92" customFormat="1" ht="89.25">
      <c r="A2913" s="5">
        <v>2898</v>
      </c>
      <c r="B2913" s="15" t="s">
        <v>710</v>
      </c>
      <c r="C2913" s="40" t="s">
        <v>597</v>
      </c>
      <c r="D2913" s="40" t="s">
        <v>598</v>
      </c>
      <c r="E2913" s="31" t="s">
        <v>599</v>
      </c>
      <c r="F2913" s="31" t="s">
        <v>782</v>
      </c>
      <c r="G2913" s="31" t="s">
        <v>3195</v>
      </c>
      <c r="H2913" s="40" t="s">
        <v>602</v>
      </c>
      <c r="I2913" s="40" t="s">
        <v>3196</v>
      </c>
      <c r="J2913" s="40" t="s">
        <v>3197</v>
      </c>
      <c r="K2913" s="40" t="s">
        <v>591</v>
      </c>
      <c r="L2913" s="11" t="s">
        <v>914</v>
      </c>
      <c r="M2913" s="93">
        <v>1</v>
      </c>
      <c r="N2913" s="94">
        <v>624400</v>
      </c>
      <c r="O2913" s="94">
        <v>624400</v>
      </c>
      <c r="P2913" s="40" t="s">
        <v>502</v>
      </c>
      <c r="Q2913" s="40" t="s">
        <v>766</v>
      </c>
      <c r="R2913" s="84">
        <v>114520100</v>
      </c>
      <c r="S2913" s="40">
        <v>0</v>
      </c>
    </row>
    <row r="2914" spans="1:19" s="92" customFormat="1" ht="51">
      <c r="A2914" s="5">
        <v>2899</v>
      </c>
      <c r="B2914" s="15" t="s">
        <v>710</v>
      </c>
      <c r="C2914" s="40" t="s">
        <v>597</v>
      </c>
      <c r="D2914" s="11" t="s">
        <v>850</v>
      </c>
      <c r="E2914" s="76" t="s">
        <v>1736</v>
      </c>
      <c r="F2914" s="76" t="s">
        <v>851</v>
      </c>
      <c r="G2914" s="76" t="s">
        <v>1737</v>
      </c>
      <c r="H2914" s="76" t="s">
        <v>852</v>
      </c>
      <c r="I2914" s="76" t="s">
        <v>3199</v>
      </c>
      <c r="J2914" s="76" t="s">
        <v>3200</v>
      </c>
      <c r="K2914" s="40" t="s">
        <v>591</v>
      </c>
      <c r="L2914" s="11" t="s">
        <v>914</v>
      </c>
      <c r="M2914" s="97">
        <v>1</v>
      </c>
      <c r="N2914" s="94">
        <f>10000*5</f>
        <v>50000</v>
      </c>
      <c r="O2914" s="94">
        <f>N2914</f>
        <v>50000</v>
      </c>
      <c r="P2914" s="40" t="s">
        <v>698</v>
      </c>
      <c r="Q2914" s="40" t="s">
        <v>766</v>
      </c>
      <c r="R2914" s="84">
        <v>114520100</v>
      </c>
      <c r="S2914" s="40">
        <v>0</v>
      </c>
    </row>
    <row r="2915" spans="1:19" s="92" customFormat="1" ht="51">
      <c r="A2915" s="5">
        <v>2900</v>
      </c>
      <c r="B2915" s="15" t="s">
        <v>710</v>
      </c>
      <c r="C2915" s="40" t="s">
        <v>597</v>
      </c>
      <c r="D2915" s="40" t="s">
        <v>2594</v>
      </c>
      <c r="E2915" s="31" t="s">
        <v>2618</v>
      </c>
      <c r="F2915" s="31" t="s">
        <v>2595</v>
      </c>
      <c r="G2915" s="31" t="s">
        <v>2618</v>
      </c>
      <c r="H2915" s="40" t="s">
        <v>2595</v>
      </c>
      <c r="I2915" s="40" t="s">
        <v>3201</v>
      </c>
      <c r="J2915" s="40" t="s">
        <v>3202</v>
      </c>
      <c r="K2915" s="40" t="s">
        <v>591</v>
      </c>
      <c r="L2915" s="11" t="s">
        <v>914</v>
      </c>
      <c r="M2915" s="93">
        <v>1</v>
      </c>
      <c r="N2915" s="94">
        <f>10500*3</f>
        <v>31500</v>
      </c>
      <c r="O2915" s="94">
        <f>N2915</f>
        <v>31500</v>
      </c>
      <c r="P2915" s="40" t="s">
        <v>3116</v>
      </c>
      <c r="Q2915" s="40" t="s">
        <v>766</v>
      </c>
      <c r="R2915" s="84">
        <v>114520100</v>
      </c>
      <c r="S2915" s="40">
        <v>30</v>
      </c>
    </row>
    <row r="2916" spans="1:19" s="92" customFormat="1" ht="89.25">
      <c r="A2916" s="5">
        <v>2901</v>
      </c>
      <c r="B2916" s="15" t="s">
        <v>710</v>
      </c>
      <c r="C2916" s="40" t="s">
        <v>711</v>
      </c>
      <c r="D2916" s="40" t="s">
        <v>976</v>
      </c>
      <c r="E2916" s="31" t="s">
        <v>730</v>
      </c>
      <c r="F2916" s="31" t="s">
        <v>731</v>
      </c>
      <c r="G2916" s="31" t="s">
        <v>977</v>
      </c>
      <c r="H2916" s="40" t="s">
        <v>978</v>
      </c>
      <c r="I2916" s="40" t="s">
        <v>3203</v>
      </c>
      <c r="J2916" s="40" t="s">
        <v>3204</v>
      </c>
      <c r="K2916" s="40" t="s">
        <v>591</v>
      </c>
      <c r="L2916" s="40" t="s">
        <v>644</v>
      </c>
      <c r="M2916" s="93">
        <v>2</v>
      </c>
      <c r="N2916" s="94">
        <v>26800</v>
      </c>
      <c r="O2916" s="94">
        <f>N2916*M2916</f>
        <v>53600</v>
      </c>
      <c r="P2916" s="40" t="s">
        <v>3116</v>
      </c>
      <c r="Q2916" s="40" t="s">
        <v>1051</v>
      </c>
      <c r="R2916" s="84">
        <v>114520100</v>
      </c>
      <c r="S2916" s="40">
        <v>100</v>
      </c>
    </row>
    <row r="2917" spans="1:19" s="92" customFormat="1" ht="63.75">
      <c r="A2917" s="5">
        <v>2902</v>
      </c>
      <c r="B2917" s="15" t="s">
        <v>710</v>
      </c>
      <c r="C2917" s="40" t="s">
        <v>711</v>
      </c>
      <c r="D2917" s="40" t="s">
        <v>744</v>
      </c>
      <c r="E2917" s="31" t="s">
        <v>745</v>
      </c>
      <c r="F2917" s="31" t="s">
        <v>109</v>
      </c>
      <c r="G2917" s="31" t="s">
        <v>746</v>
      </c>
      <c r="H2917" s="40" t="s">
        <v>3205</v>
      </c>
      <c r="I2917" s="40" t="s">
        <v>3206</v>
      </c>
      <c r="J2917" s="40" t="s">
        <v>3207</v>
      </c>
      <c r="K2917" s="40" t="s">
        <v>591</v>
      </c>
      <c r="L2917" s="40" t="s">
        <v>644</v>
      </c>
      <c r="M2917" s="93">
        <v>6</v>
      </c>
      <c r="N2917" s="94">
        <v>4500</v>
      </c>
      <c r="O2917" s="94">
        <f>M2917*N2917</f>
        <v>27000</v>
      </c>
      <c r="P2917" s="40" t="s">
        <v>3116</v>
      </c>
      <c r="Q2917" s="40" t="s">
        <v>1051</v>
      </c>
      <c r="R2917" s="84">
        <v>114520100</v>
      </c>
      <c r="S2917" s="40">
        <v>100</v>
      </c>
    </row>
    <row r="2918" spans="1:19" s="92" customFormat="1" ht="51">
      <c r="A2918" s="5">
        <v>2903</v>
      </c>
      <c r="B2918" s="15" t="s">
        <v>710</v>
      </c>
      <c r="C2918" s="40" t="s">
        <v>711</v>
      </c>
      <c r="D2918" s="98" t="s">
        <v>422</v>
      </c>
      <c r="E2918" s="76" t="s">
        <v>423</v>
      </c>
      <c r="F2918" s="76" t="s">
        <v>427</v>
      </c>
      <c r="G2918" s="76" t="s">
        <v>837</v>
      </c>
      <c r="H2918" s="76" t="s">
        <v>425</v>
      </c>
      <c r="I2918" s="76" t="s">
        <v>3208</v>
      </c>
      <c r="J2918" s="76" t="s">
        <v>3209</v>
      </c>
      <c r="K2918" s="76" t="s">
        <v>591</v>
      </c>
      <c r="L2918" s="11" t="s">
        <v>909</v>
      </c>
      <c r="M2918" s="53">
        <v>18</v>
      </c>
      <c r="N2918" s="94">
        <v>640</v>
      </c>
      <c r="O2918" s="94">
        <f>N2918*M2918</f>
        <v>11520</v>
      </c>
      <c r="P2918" s="40" t="s">
        <v>3116</v>
      </c>
      <c r="Q2918" s="40" t="s">
        <v>766</v>
      </c>
      <c r="R2918" s="84">
        <v>114520100</v>
      </c>
      <c r="S2918" s="40">
        <v>100</v>
      </c>
    </row>
    <row r="2919" spans="1:19" s="92" customFormat="1" ht="63.75">
      <c r="A2919" s="5">
        <v>2904</v>
      </c>
      <c r="B2919" s="15" t="s">
        <v>710</v>
      </c>
      <c r="C2919" s="40" t="s">
        <v>711</v>
      </c>
      <c r="D2919" s="15" t="s">
        <v>726</v>
      </c>
      <c r="E2919" s="57" t="s">
        <v>720</v>
      </c>
      <c r="F2919" s="57" t="s">
        <v>720</v>
      </c>
      <c r="G2919" s="57" t="s">
        <v>727</v>
      </c>
      <c r="H2919" s="57" t="s">
        <v>728</v>
      </c>
      <c r="I2919" s="40" t="s">
        <v>3210</v>
      </c>
      <c r="J2919" s="40" t="s">
        <v>3211</v>
      </c>
      <c r="K2919" s="40" t="s">
        <v>591</v>
      </c>
      <c r="L2919" s="40" t="s">
        <v>644</v>
      </c>
      <c r="M2919" s="93">
        <v>1</v>
      </c>
      <c r="N2919" s="94">
        <v>30000</v>
      </c>
      <c r="O2919" s="94">
        <f>N2919*M2919</f>
        <v>30000</v>
      </c>
      <c r="P2919" s="40" t="s">
        <v>502</v>
      </c>
      <c r="Q2919" s="40" t="s">
        <v>1051</v>
      </c>
      <c r="R2919" s="84">
        <v>114520100</v>
      </c>
      <c r="S2919" s="40">
        <v>100</v>
      </c>
    </row>
    <row r="2920" spans="1:19" s="92" customFormat="1" ht="89.25">
      <c r="A2920" s="5">
        <v>2905</v>
      </c>
      <c r="B2920" s="15" t="s">
        <v>710</v>
      </c>
      <c r="C2920" s="40" t="s">
        <v>597</v>
      </c>
      <c r="D2920" s="40" t="s">
        <v>598</v>
      </c>
      <c r="E2920" s="31" t="s">
        <v>599</v>
      </c>
      <c r="F2920" s="31" t="s">
        <v>782</v>
      </c>
      <c r="G2920" s="31" t="s">
        <v>3195</v>
      </c>
      <c r="H2920" s="40" t="s">
        <v>602</v>
      </c>
      <c r="I2920" s="40" t="s">
        <v>3196</v>
      </c>
      <c r="J2920" s="40" t="s">
        <v>3197</v>
      </c>
      <c r="K2920" s="40" t="s">
        <v>591</v>
      </c>
      <c r="L2920" s="11" t="s">
        <v>914</v>
      </c>
      <c r="M2920" s="93">
        <v>1</v>
      </c>
      <c r="N2920" s="94">
        <v>624400</v>
      </c>
      <c r="O2920" s="94">
        <v>624400</v>
      </c>
      <c r="P2920" s="40" t="s">
        <v>502</v>
      </c>
      <c r="Q2920" s="40" t="s">
        <v>766</v>
      </c>
      <c r="R2920" s="84">
        <v>114620100</v>
      </c>
      <c r="S2920" s="40">
        <v>0</v>
      </c>
    </row>
    <row r="2921" spans="1:19" s="92" customFormat="1" ht="89.25">
      <c r="A2921" s="5">
        <v>2906</v>
      </c>
      <c r="B2921" s="15" t="s">
        <v>710</v>
      </c>
      <c r="C2921" s="40" t="s">
        <v>597</v>
      </c>
      <c r="D2921" s="40" t="s">
        <v>598</v>
      </c>
      <c r="E2921" s="31" t="s">
        <v>599</v>
      </c>
      <c r="F2921" s="31" t="s">
        <v>782</v>
      </c>
      <c r="G2921" s="31" t="s">
        <v>3195</v>
      </c>
      <c r="H2921" s="40" t="s">
        <v>602</v>
      </c>
      <c r="I2921" s="40" t="s">
        <v>3196</v>
      </c>
      <c r="J2921" s="40" t="s">
        <v>3197</v>
      </c>
      <c r="K2921" s="40" t="s">
        <v>591</v>
      </c>
      <c r="L2921" s="11" t="s">
        <v>914</v>
      </c>
      <c r="M2921" s="93">
        <v>1</v>
      </c>
      <c r="N2921" s="94">
        <v>624400</v>
      </c>
      <c r="O2921" s="94">
        <v>624400</v>
      </c>
      <c r="P2921" s="40" t="s">
        <v>502</v>
      </c>
      <c r="Q2921" s="40" t="s">
        <v>766</v>
      </c>
      <c r="R2921" s="84">
        <v>114620100</v>
      </c>
      <c r="S2921" s="40">
        <v>0</v>
      </c>
    </row>
    <row r="2922" spans="1:19" s="92" customFormat="1" ht="51">
      <c r="A2922" s="5">
        <v>2907</v>
      </c>
      <c r="B2922" s="15" t="s">
        <v>710</v>
      </c>
      <c r="C2922" s="40" t="s">
        <v>597</v>
      </c>
      <c r="D2922" s="11" t="s">
        <v>850</v>
      </c>
      <c r="E2922" s="76" t="s">
        <v>1736</v>
      </c>
      <c r="F2922" s="76" t="s">
        <v>851</v>
      </c>
      <c r="G2922" s="76" t="s">
        <v>1737</v>
      </c>
      <c r="H2922" s="76" t="s">
        <v>852</v>
      </c>
      <c r="I2922" s="76" t="s">
        <v>3199</v>
      </c>
      <c r="J2922" s="76" t="s">
        <v>3200</v>
      </c>
      <c r="K2922" s="40" t="s">
        <v>591</v>
      </c>
      <c r="L2922" s="11" t="s">
        <v>914</v>
      </c>
      <c r="M2922" s="97">
        <v>1</v>
      </c>
      <c r="N2922" s="94">
        <f>10000*5</f>
        <v>50000</v>
      </c>
      <c r="O2922" s="94">
        <f>N2922</f>
        <v>50000</v>
      </c>
      <c r="P2922" s="40" t="s">
        <v>698</v>
      </c>
      <c r="Q2922" s="40" t="s">
        <v>766</v>
      </c>
      <c r="R2922" s="84">
        <v>114620100</v>
      </c>
      <c r="S2922" s="40">
        <v>0</v>
      </c>
    </row>
    <row r="2923" spans="1:19" s="92" customFormat="1" ht="51">
      <c r="A2923" s="5">
        <v>2908</v>
      </c>
      <c r="B2923" s="15" t="s">
        <v>710</v>
      </c>
      <c r="C2923" s="40" t="s">
        <v>597</v>
      </c>
      <c r="D2923" s="40" t="s">
        <v>2594</v>
      </c>
      <c r="E2923" s="31" t="s">
        <v>2618</v>
      </c>
      <c r="F2923" s="31" t="s">
        <v>2595</v>
      </c>
      <c r="G2923" s="31" t="s">
        <v>2618</v>
      </c>
      <c r="H2923" s="40" t="s">
        <v>2595</v>
      </c>
      <c r="I2923" s="40" t="s">
        <v>3201</v>
      </c>
      <c r="J2923" s="40" t="s">
        <v>3202</v>
      </c>
      <c r="K2923" s="40" t="s">
        <v>591</v>
      </c>
      <c r="L2923" s="11" t="s">
        <v>914</v>
      </c>
      <c r="M2923" s="93">
        <v>1</v>
      </c>
      <c r="N2923" s="94">
        <f>10500*3</f>
        <v>31500</v>
      </c>
      <c r="O2923" s="94">
        <f>N2923</f>
        <v>31500</v>
      </c>
      <c r="P2923" s="40" t="s">
        <v>3116</v>
      </c>
      <c r="Q2923" s="40" t="s">
        <v>766</v>
      </c>
      <c r="R2923" s="84">
        <v>114620100</v>
      </c>
      <c r="S2923" s="40">
        <v>30</v>
      </c>
    </row>
    <row r="2924" spans="1:19" s="92" customFormat="1" ht="89.25">
      <c r="A2924" s="5">
        <v>2909</v>
      </c>
      <c r="B2924" s="15" t="s">
        <v>710</v>
      </c>
      <c r="C2924" s="40" t="s">
        <v>711</v>
      </c>
      <c r="D2924" s="40" t="s">
        <v>976</v>
      </c>
      <c r="E2924" s="31" t="s">
        <v>730</v>
      </c>
      <c r="F2924" s="31" t="s">
        <v>731</v>
      </c>
      <c r="G2924" s="31" t="s">
        <v>977</v>
      </c>
      <c r="H2924" s="40" t="s">
        <v>978</v>
      </c>
      <c r="I2924" s="40" t="s">
        <v>3203</v>
      </c>
      <c r="J2924" s="40" t="s">
        <v>3204</v>
      </c>
      <c r="K2924" s="40" t="s">
        <v>591</v>
      </c>
      <c r="L2924" s="40" t="s">
        <v>644</v>
      </c>
      <c r="M2924" s="93">
        <f>2-1</f>
        <v>1</v>
      </c>
      <c r="N2924" s="94">
        <f>O2924/M2924</f>
        <v>26800</v>
      </c>
      <c r="O2924" s="94">
        <f>53600-26800</f>
        <v>26800</v>
      </c>
      <c r="P2924" s="40" t="s">
        <v>3116</v>
      </c>
      <c r="Q2924" s="40" t="s">
        <v>1051</v>
      </c>
      <c r="R2924" s="84">
        <v>114620100</v>
      </c>
      <c r="S2924" s="40">
        <v>100</v>
      </c>
    </row>
    <row r="2925" spans="1:19" s="92" customFormat="1" ht="63.75">
      <c r="A2925" s="5">
        <v>2910</v>
      </c>
      <c r="B2925" s="15" t="s">
        <v>710</v>
      </c>
      <c r="C2925" s="40" t="s">
        <v>711</v>
      </c>
      <c r="D2925" s="40" t="s">
        <v>744</v>
      </c>
      <c r="E2925" s="31" t="s">
        <v>745</v>
      </c>
      <c r="F2925" s="31" t="s">
        <v>109</v>
      </c>
      <c r="G2925" s="31" t="s">
        <v>746</v>
      </c>
      <c r="H2925" s="40" t="s">
        <v>3205</v>
      </c>
      <c r="I2925" s="40" t="s">
        <v>3206</v>
      </c>
      <c r="J2925" s="40" t="s">
        <v>3207</v>
      </c>
      <c r="K2925" s="40" t="s">
        <v>591</v>
      </c>
      <c r="L2925" s="40" t="s">
        <v>644</v>
      </c>
      <c r="M2925" s="93">
        <v>6</v>
      </c>
      <c r="N2925" s="94">
        <v>4500</v>
      </c>
      <c r="O2925" s="94">
        <f>M2925*N2925</f>
        <v>27000</v>
      </c>
      <c r="P2925" s="40" t="s">
        <v>3116</v>
      </c>
      <c r="Q2925" s="40" t="s">
        <v>1051</v>
      </c>
      <c r="R2925" s="84">
        <v>114620100</v>
      </c>
      <c r="S2925" s="40">
        <v>100</v>
      </c>
    </row>
    <row r="2926" spans="1:19" s="92" customFormat="1" ht="51">
      <c r="A2926" s="5">
        <v>2911</v>
      </c>
      <c r="B2926" s="15" t="s">
        <v>710</v>
      </c>
      <c r="C2926" s="40" t="s">
        <v>711</v>
      </c>
      <c r="D2926" s="98" t="s">
        <v>422</v>
      </c>
      <c r="E2926" s="76" t="s">
        <v>423</v>
      </c>
      <c r="F2926" s="76" t="s">
        <v>427</v>
      </c>
      <c r="G2926" s="76" t="s">
        <v>837</v>
      </c>
      <c r="H2926" s="76" t="s">
        <v>425</v>
      </c>
      <c r="I2926" s="76" t="s">
        <v>3208</v>
      </c>
      <c r="J2926" s="76" t="s">
        <v>3209</v>
      </c>
      <c r="K2926" s="76" t="s">
        <v>591</v>
      </c>
      <c r="L2926" s="11" t="s">
        <v>909</v>
      </c>
      <c r="M2926" s="53">
        <v>18</v>
      </c>
      <c r="N2926" s="94">
        <v>640</v>
      </c>
      <c r="O2926" s="94">
        <f>N2926*M2926</f>
        <v>11520</v>
      </c>
      <c r="P2926" s="40" t="s">
        <v>3116</v>
      </c>
      <c r="Q2926" s="40" t="s">
        <v>766</v>
      </c>
      <c r="R2926" s="84">
        <v>114620100</v>
      </c>
      <c r="S2926" s="40">
        <v>100</v>
      </c>
    </row>
    <row r="2927" spans="1:19" s="92" customFormat="1" ht="63.75">
      <c r="A2927" s="5">
        <v>2912</v>
      </c>
      <c r="B2927" s="15" t="s">
        <v>710</v>
      </c>
      <c r="C2927" s="40" t="s">
        <v>711</v>
      </c>
      <c r="D2927" s="15" t="s">
        <v>726</v>
      </c>
      <c r="E2927" s="57" t="s">
        <v>720</v>
      </c>
      <c r="F2927" s="57" t="s">
        <v>720</v>
      </c>
      <c r="G2927" s="57" t="s">
        <v>727</v>
      </c>
      <c r="H2927" s="57" t="s">
        <v>728</v>
      </c>
      <c r="I2927" s="40" t="s">
        <v>3210</v>
      </c>
      <c r="J2927" s="40" t="s">
        <v>3211</v>
      </c>
      <c r="K2927" s="40" t="s">
        <v>591</v>
      </c>
      <c r="L2927" s="40" t="s">
        <v>644</v>
      </c>
      <c r="M2927" s="93">
        <v>1</v>
      </c>
      <c r="N2927" s="94">
        <v>30000</v>
      </c>
      <c r="O2927" s="94">
        <f>N2927*M2927</f>
        <v>30000</v>
      </c>
      <c r="P2927" s="40" t="s">
        <v>502</v>
      </c>
      <c r="Q2927" s="40" t="s">
        <v>1051</v>
      </c>
      <c r="R2927" s="84">
        <v>114620100</v>
      </c>
      <c r="S2927" s="40">
        <v>100</v>
      </c>
    </row>
    <row r="2928" spans="1:19" s="92" customFormat="1" ht="89.25">
      <c r="A2928" s="5">
        <v>2913</v>
      </c>
      <c r="B2928" s="15" t="s">
        <v>710</v>
      </c>
      <c r="C2928" s="40" t="s">
        <v>597</v>
      </c>
      <c r="D2928" s="40" t="s">
        <v>598</v>
      </c>
      <c r="E2928" s="31" t="s">
        <v>599</v>
      </c>
      <c r="F2928" s="31" t="s">
        <v>782</v>
      </c>
      <c r="G2928" s="31" t="s">
        <v>3195</v>
      </c>
      <c r="H2928" s="40" t="s">
        <v>602</v>
      </c>
      <c r="I2928" s="40" t="s">
        <v>3196</v>
      </c>
      <c r="J2928" s="40" t="s">
        <v>3197</v>
      </c>
      <c r="K2928" s="40" t="s">
        <v>591</v>
      </c>
      <c r="L2928" s="11" t="s">
        <v>914</v>
      </c>
      <c r="M2928" s="93">
        <v>1</v>
      </c>
      <c r="N2928" s="94">
        <v>624400</v>
      </c>
      <c r="O2928" s="94">
        <v>624400</v>
      </c>
      <c r="P2928" s="40" t="s">
        <v>502</v>
      </c>
      <c r="Q2928" s="40" t="s">
        <v>766</v>
      </c>
      <c r="R2928" s="84">
        <v>114820100</v>
      </c>
      <c r="S2928" s="40">
        <v>0</v>
      </c>
    </row>
    <row r="2929" spans="1:19" s="92" customFormat="1" ht="89.25">
      <c r="A2929" s="5">
        <v>2914</v>
      </c>
      <c r="B2929" s="15" t="s">
        <v>710</v>
      </c>
      <c r="C2929" s="40" t="s">
        <v>597</v>
      </c>
      <c r="D2929" s="40" t="s">
        <v>598</v>
      </c>
      <c r="E2929" s="31" t="s">
        <v>599</v>
      </c>
      <c r="F2929" s="31" t="s">
        <v>782</v>
      </c>
      <c r="G2929" s="31" t="s">
        <v>3195</v>
      </c>
      <c r="H2929" s="40" t="s">
        <v>602</v>
      </c>
      <c r="I2929" s="40" t="s">
        <v>3196</v>
      </c>
      <c r="J2929" s="40" t="s">
        <v>3197</v>
      </c>
      <c r="K2929" s="40" t="s">
        <v>591</v>
      </c>
      <c r="L2929" s="11" t="s">
        <v>914</v>
      </c>
      <c r="M2929" s="93">
        <v>1</v>
      </c>
      <c r="N2929" s="94">
        <v>624400</v>
      </c>
      <c r="O2929" s="94">
        <v>624400</v>
      </c>
      <c r="P2929" s="40" t="s">
        <v>502</v>
      </c>
      <c r="Q2929" s="40" t="s">
        <v>766</v>
      </c>
      <c r="R2929" s="84">
        <v>114820100</v>
      </c>
      <c r="S2929" s="40">
        <v>0</v>
      </c>
    </row>
    <row r="2930" spans="1:19" s="92" customFormat="1" ht="51">
      <c r="A2930" s="5">
        <v>2915</v>
      </c>
      <c r="B2930" s="15" t="s">
        <v>710</v>
      </c>
      <c r="C2930" s="40" t="s">
        <v>597</v>
      </c>
      <c r="D2930" s="11" t="s">
        <v>850</v>
      </c>
      <c r="E2930" s="76" t="s">
        <v>1736</v>
      </c>
      <c r="F2930" s="76" t="s">
        <v>851</v>
      </c>
      <c r="G2930" s="76" t="s">
        <v>1737</v>
      </c>
      <c r="H2930" s="76" t="s">
        <v>852</v>
      </c>
      <c r="I2930" s="76" t="s">
        <v>3199</v>
      </c>
      <c r="J2930" s="76" t="s">
        <v>3200</v>
      </c>
      <c r="K2930" s="40" t="s">
        <v>591</v>
      </c>
      <c r="L2930" s="11" t="s">
        <v>914</v>
      </c>
      <c r="M2930" s="97">
        <v>1</v>
      </c>
      <c r="N2930" s="94">
        <f>10000*5</f>
        <v>50000</v>
      </c>
      <c r="O2930" s="94">
        <f>N2930</f>
        <v>50000</v>
      </c>
      <c r="P2930" s="40" t="s">
        <v>698</v>
      </c>
      <c r="Q2930" s="40" t="s">
        <v>766</v>
      </c>
      <c r="R2930" s="84">
        <v>114820100</v>
      </c>
      <c r="S2930" s="40">
        <v>0</v>
      </c>
    </row>
    <row r="2931" spans="1:19" s="92" customFormat="1" ht="51">
      <c r="A2931" s="5">
        <v>2916</v>
      </c>
      <c r="B2931" s="15" t="s">
        <v>710</v>
      </c>
      <c r="C2931" s="40" t="s">
        <v>597</v>
      </c>
      <c r="D2931" s="40" t="s">
        <v>2594</v>
      </c>
      <c r="E2931" s="31" t="s">
        <v>2618</v>
      </c>
      <c r="F2931" s="31" t="s">
        <v>2595</v>
      </c>
      <c r="G2931" s="31" t="s">
        <v>2618</v>
      </c>
      <c r="H2931" s="40" t="s">
        <v>2595</v>
      </c>
      <c r="I2931" s="40" t="s">
        <v>3201</v>
      </c>
      <c r="J2931" s="40" t="s">
        <v>3202</v>
      </c>
      <c r="K2931" s="40" t="s">
        <v>591</v>
      </c>
      <c r="L2931" s="11" t="s">
        <v>914</v>
      </c>
      <c r="M2931" s="93">
        <v>1</v>
      </c>
      <c r="N2931" s="94">
        <f>10500*3</f>
        <v>31500</v>
      </c>
      <c r="O2931" s="94">
        <f>N2931</f>
        <v>31500</v>
      </c>
      <c r="P2931" s="40" t="s">
        <v>3116</v>
      </c>
      <c r="Q2931" s="40" t="s">
        <v>766</v>
      </c>
      <c r="R2931" s="84">
        <v>114820100</v>
      </c>
      <c r="S2931" s="40">
        <v>30</v>
      </c>
    </row>
    <row r="2932" spans="1:19" s="92" customFormat="1" ht="89.25">
      <c r="A2932" s="5">
        <v>2917</v>
      </c>
      <c r="B2932" s="15" t="s">
        <v>710</v>
      </c>
      <c r="C2932" s="40" t="s">
        <v>711</v>
      </c>
      <c r="D2932" s="40" t="s">
        <v>976</v>
      </c>
      <c r="E2932" s="31" t="s">
        <v>730</v>
      </c>
      <c r="F2932" s="31" t="s">
        <v>731</v>
      </c>
      <c r="G2932" s="31" t="s">
        <v>977</v>
      </c>
      <c r="H2932" s="40" t="s">
        <v>978</v>
      </c>
      <c r="I2932" s="40" t="s">
        <v>3203</v>
      </c>
      <c r="J2932" s="40" t="s">
        <v>3204</v>
      </c>
      <c r="K2932" s="40" t="s">
        <v>591</v>
      </c>
      <c r="L2932" s="40" t="s">
        <v>644</v>
      </c>
      <c r="M2932" s="93">
        <v>2</v>
      </c>
      <c r="N2932" s="94">
        <v>26800</v>
      </c>
      <c r="O2932" s="94">
        <f>N2932*M2932</f>
        <v>53600</v>
      </c>
      <c r="P2932" s="40" t="s">
        <v>3116</v>
      </c>
      <c r="Q2932" s="40" t="s">
        <v>1051</v>
      </c>
      <c r="R2932" s="84">
        <v>114820100</v>
      </c>
      <c r="S2932" s="40">
        <v>100</v>
      </c>
    </row>
    <row r="2933" spans="1:19" s="92" customFormat="1" ht="63.75">
      <c r="A2933" s="5">
        <v>2918</v>
      </c>
      <c r="B2933" s="15" t="s">
        <v>710</v>
      </c>
      <c r="C2933" s="40" t="s">
        <v>711</v>
      </c>
      <c r="D2933" s="40" t="s">
        <v>744</v>
      </c>
      <c r="E2933" s="31" t="s">
        <v>745</v>
      </c>
      <c r="F2933" s="31" t="s">
        <v>109</v>
      </c>
      <c r="G2933" s="31" t="s">
        <v>746</v>
      </c>
      <c r="H2933" s="40" t="s">
        <v>3205</v>
      </c>
      <c r="I2933" s="40" t="s">
        <v>3206</v>
      </c>
      <c r="J2933" s="40" t="s">
        <v>3207</v>
      </c>
      <c r="K2933" s="40" t="s">
        <v>591</v>
      </c>
      <c r="L2933" s="40" t="s">
        <v>644</v>
      </c>
      <c r="M2933" s="93">
        <v>6</v>
      </c>
      <c r="N2933" s="94">
        <v>4500</v>
      </c>
      <c r="O2933" s="94">
        <f>M2933*N2933</f>
        <v>27000</v>
      </c>
      <c r="P2933" s="40" t="s">
        <v>3116</v>
      </c>
      <c r="Q2933" s="40" t="s">
        <v>1051</v>
      </c>
      <c r="R2933" s="84">
        <v>114820100</v>
      </c>
      <c r="S2933" s="40">
        <v>100</v>
      </c>
    </row>
    <row r="2934" spans="1:19" s="92" customFormat="1" ht="51">
      <c r="A2934" s="5">
        <v>2919</v>
      </c>
      <c r="B2934" s="15" t="s">
        <v>710</v>
      </c>
      <c r="C2934" s="40" t="s">
        <v>711</v>
      </c>
      <c r="D2934" s="98" t="s">
        <v>422</v>
      </c>
      <c r="E2934" s="76" t="s">
        <v>423</v>
      </c>
      <c r="F2934" s="76" t="s">
        <v>427</v>
      </c>
      <c r="G2934" s="76" t="s">
        <v>837</v>
      </c>
      <c r="H2934" s="76" t="s">
        <v>425</v>
      </c>
      <c r="I2934" s="76" t="s">
        <v>3208</v>
      </c>
      <c r="J2934" s="76" t="s">
        <v>3209</v>
      </c>
      <c r="K2934" s="76" t="s">
        <v>591</v>
      </c>
      <c r="L2934" s="11" t="s">
        <v>909</v>
      </c>
      <c r="M2934" s="53">
        <v>18</v>
      </c>
      <c r="N2934" s="94">
        <v>640</v>
      </c>
      <c r="O2934" s="94">
        <f>N2934*M2934</f>
        <v>11520</v>
      </c>
      <c r="P2934" s="40" t="s">
        <v>3116</v>
      </c>
      <c r="Q2934" s="40" t="s">
        <v>766</v>
      </c>
      <c r="R2934" s="84">
        <v>114820100</v>
      </c>
      <c r="S2934" s="40">
        <v>100</v>
      </c>
    </row>
    <row r="2935" spans="1:19" s="92" customFormat="1" ht="63.75">
      <c r="A2935" s="5">
        <v>2920</v>
      </c>
      <c r="B2935" s="15" t="s">
        <v>710</v>
      </c>
      <c r="C2935" s="40" t="s">
        <v>711</v>
      </c>
      <c r="D2935" s="15" t="s">
        <v>726</v>
      </c>
      <c r="E2935" s="57" t="s">
        <v>720</v>
      </c>
      <c r="F2935" s="57" t="s">
        <v>720</v>
      </c>
      <c r="G2935" s="57" t="s">
        <v>727</v>
      </c>
      <c r="H2935" s="57" t="s">
        <v>728</v>
      </c>
      <c r="I2935" s="40" t="s">
        <v>3210</v>
      </c>
      <c r="J2935" s="40" t="s">
        <v>3211</v>
      </c>
      <c r="K2935" s="40" t="s">
        <v>591</v>
      </c>
      <c r="L2935" s="40" t="s">
        <v>644</v>
      </c>
      <c r="M2935" s="93">
        <v>1</v>
      </c>
      <c r="N2935" s="94">
        <v>30000</v>
      </c>
      <c r="O2935" s="94">
        <f>N2935*M2935</f>
        <v>30000</v>
      </c>
      <c r="P2935" s="40" t="s">
        <v>502</v>
      </c>
      <c r="Q2935" s="40" t="s">
        <v>1051</v>
      </c>
      <c r="R2935" s="84">
        <v>114820100</v>
      </c>
      <c r="S2935" s="40">
        <v>100</v>
      </c>
    </row>
    <row r="2936" spans="1:19" s="92" customFormat="1" ht="89.25">
      <c r="A2936" s="5">
        <v>2921</v>
      </c>
      <c r="B2936" s="15" t="s">
        <v>710</v>
      </c>
      <c r="C2936" s="40" t="s">
        <v>597</v>
      </c>
      <c r="D2936" s="40" t="s">
        <v>598</v>
      </c>
      <c r="E2936" s="31" t="s">
        <v>599</v>
      </c>
      <c r="F2936" s="31" t="s">
        <v>782</v>
      </c>
      <c r="G2936" s="31" t="s">
        <v>3195</v>
      </c>
      <c r="H2936" s="40" t="s">
        <v>602</v>
      </c>
      <c r="I2936" s="40" t="s">
        <v>3196</v>
      </c>
      <c r="J2936" s="40" t="s">
        <v>3197</v>
      </c>
      <c r="K2936" s="40" t="s">
        <v>591</v>
      </c>
      <c r="L2936" s="11" t="s">
        <v>914</v>
      </c>
      <c r="M2936" s="93">
        <v>1</v>
      </c>
      <c r="N2936" s="94">
        <v>624400</v>
      </c>
      <c r="O2936" s="94">
        <v>624400</v>
      </c>
      <c r="P2936" s="40" t="s">
        <v>502</v>
      </c>
      <c r="Q2936" s="40" t="s">
        <v>766</v>
      </c>
      <c r="R2936" s="84">
        <v>115230100</v>
      </c>
      <c r="S2936" s="40">
        <v>0</v>
      </c>
    </row>
    <row r="2937" spans="1:19" s="92" customFormat="1" ht="89.25">
      <c r="A2937" s="5">
        <v>2922</v>
      </c>
      <c r="B2937" s="15" t="s">
        <v>710</v>
      </c>
      <c r="C2937" s="40" t="s">
        <v>597</v>
      </c>
      <c r="D2937" s="40" t="s">
        <v>598</v>
      </c>
      <c r="E2937" s="31" t="s">
        <v>599</v>
      </c>
      <c r="F2937" s="31" t="s">
        <v>782</v>
      </c>
      <c r="G2937" s="31" t="s">
        <v>3195</v>
      </c>
      <c r="H2937" s="40" t="s">
        <v>602</v>
      </c>
      <c r="I2937" s="40" t="s">
        <v>3196</v>
      </c>
      <c r="J2937" s="40" t="s">
        <v>3197</v>
      </c>
      <c r="K2937" s="40" t="s">
        <v>591</v>
      </c>
      <c r="L2937" s="11" t="s">
        <v>914</v>
      </c>
      <c r="M2937" s="93">
        <v>1</v>
      </c>
      <c r="N2937" s="94">
        <v>624400</v>
      </c>
      <c r="O2937" s="94">
        <v>624400</v>
      </c>
      <c r="P2937" s="40" t="s">
        <v>502</v>
      </c>
      <c r="Q2937" s="40" t="s">
        <v>766</v>
      </c>
      <c r="R2937" s="84">
        <v>115230100</v>
      </c>
      <c r="S2937" s="40">
        <v>0</v>
      </c>
    </row>
    <row r="2938" spans="1:19" s="92" customFormat="1" ht="51">
      <c r="A2938" s="5">
        <v>2923</v>
      </c>
      <c r="B2938" s="15" t="s">
        <v>710</v>
      </c>
      <c r="C2938" s="40" t="s">
        <v>597</v>
      </c>
      <c r="D2938" s="11" t="s">
        <v>850</v>
      </c>
      <c r="E2938" s="76" t="s">
        <v>1736</v>
      </c>
      <c r="F2938" s="76" t="s">
        <v>851</v>
      </c>
      <c r="G2938" s="76" t="s">
        <v>1737</v>
      </c>
      <c r="H2938" s="76" t="s">
        <v>852</v>
      </c>
      <c r="I2938" s="76" t="s">
        <v>3199</v>
      </c>
      <c r="J2938" s="76" t="s">
        <v>3200</v>
      </c>
      <c r="K2938" s="40" t="s">
        <v>591</v>
      </c>
      <c r="L2938" s="11" t="s">
        <v>914</v>
      </c>
      <c r="M2938" s="97">
        <v>1</v>
      </c>
      <c r="N2938" s="94">
        <f>10000*5</f>
        <v>50000</v>
      </c>
      <c r="O2938" s="94">
        <f>N2938</f>
        <v>50000</v>
      </c>
      <c r="P2938" s="40" t="s">
        <v>698</v>
      </c>
      <c r="Q2938" s="40" t="s">
        <v>766</v>
      </c>
      <c r="R2938" s="84">
        <v>115230100</v>
      </c>
      <c r="S2938" s="40">
        <v>0</v>
      </c>
    </row>
    <row r="2939" spans="1:19" s="92" customFormat="1" ht="51">
      <c r="A2939" s="5">
        <v>2924</v>
      </c>
      <c r="B2939" s="15" t="s">
        <v>710</v>
      </c>
      <c r="C2939" s="40" t="s">
        <v>597</v>
      </c>
      <c r="D2939" s="40" t="s">
        <v>2594</v>
      </c>
      <c r="E2939" s="31" t="s">
        <v>2618</v>
      </c>
      <c r="F2939" s="31" t="s">
        <v>2595</v>
      </c>
      <c r="G2939" s="31" t="s">
        <v>2618</v>
      </c>
      <c r="H2939" s="40" t="s">
        <v>2595</v>
      </c>
      <c r="I2939" s="40" t="s">
        <v>3201</v>
      </c>
      <c r="J2939" s="40" t="s">
        <v>3202</v>
      </c>
      <c r="K2939" s="40" t="s">
        <v>591</v>
      </c>
      <c r="L2939" s="11" t="s">
        <v>914</v>
      </c>
      <c r="M2939" s="93">
        <v>1</v>
      </c>
      <c r="N2939" s="94">
        <f>10500*3</f>
        <v>31500</v>
      </c>
      <c r="O2939" s="94">
        <f>N2939</f>
        <v>31500</v>
      </c>
      <c r="P2939" s="40" t="s">
        <v>3116</v>
      </c>
      <c r="Q2939" s="40" t="s">
        <v>766</v>
      </c>
      <c r="R2939" s="84">
        <v>115230100</v>
      </c>
      <c r="S2939" s="40">
        <v>30</v>
      </c>
    </row>
    <row r="2940" spans="1:19" s="92" customFormat="1" ht="89.25">
      <c r="A2940" s="5">
        <v>2925</v>
      </c>
      <c r="B2940" s="15" t="s">
        <v>710</v>
      </c>
      <c r="C2940" s="40" t="s">
        <v>711</v>
      </c>
      <c r="D2940" s="40" t="s">
        <v>976</v>
      </c>
      <c r="E2940" s="31" t="s">
        <v>730</v>
      </c>
      <c r="F2940" s="31" t="s">
        <v>731</v>
      </c>
      <c r="G2940" s="31" t="s">
        <v>977</v>
      </c>
      <c r="H2940" s="40" t="s">
        <v>978</v>
      </c>
      <c r="I2940" s="40" t="s">
        <v>3203</v>
      </c>
      <c r="J2940" s="40" t="s">
        <v>3204</v>
      </c>
      <c r="K2940" s="40" t="s">
        <v>591</v>
      </c>
      <c r="L2940" s="40" t="s">
        <v>644</v>
      </c>
      <c r="M2940" s="93">
        <v>2</v>
      </c>
      <c r="N2940" s="94">
        <v>26800</v>
      </c>
      <c r="O2940" s="94">
        <f>N2940*M2940</f>
        <v>53600</v>
      </c>
      <c r="P2940" s="40" t="s">
        <v>3116</v>
      </c>
      <c r="Q2940" s="40" t="s">
        <v>1051</v>
      </c>
      <c r="R2940" s="84">
        <v>115230100</v>
      </c>
      <c r="S2940" s="40">
        <v>100</v>
      </c>
    </row>
    <row r="2941" spans="1:19" s="92" customFormat="1" ht="63.75">
      <c r="A2941" s="5">
        <v>2926</v>
      </c>
      <c r="B2941" s="15" t="s">
        <v>710</v>
      </c>
      <c r="C2941" s="40" t="s">
        <v>711</v>
      </c>
      <c r="D2941" s="40" t="s">
        <v>744</v>
      </c>
      <c r="E2941" s="31" t="s">
        <v>745</v>
      </c>
      <c r="F2941" s="31" t="s">
        <v>109</v>
      </c>
      <c r="G2941" s="31" t="s">
        <v>746</v>
      </c>
      <c r="H2941" s="40" t="s">
        <v>3205</v>
      </c>
      <c r="I2941" s="40" t="s">
        <v>3206</v>
      </c>
      <c r="J2941" s="40" t="s">
        <v>3207</v>
      </c>
      <c r="K2941" s="40" t="s">
        <v>591</v>
      </c>
      <c r="L2941" s="40" t="s">
        <v>644</v>
      </c>
      <c r="M2941" s="93">
        <v>6</v>
      </c>
      <c r="N2941" s="94">
        <v>4500</v>
      </c>
      <c r="O2941" s="94">
        <f>M2941*N2941</f>
        <v>27000</v>
      </c>
      <c r="P2941" s="40" t="s">
        <v>3116</v>
      </c>
      <c r="Q2941" s="40" t="s">
        <v>1051</v>
      </c>
      <c r="R2941" s="84">
        <v>115230100</v>
      </c>
      <c r="S2941" s="40">
        <v>100</v>
      </c>
    </row>
    <row r="2942" spans="1:19" s="92" customFormat="1" ht="51">
      <c r="A2942" s="5">
        <v>2927</v>
      </c>
      <c r="B2942" s="15" t="s">
        <v>710</v>
      </c>
      <c r="C2942" s="40" t="s">
        <v>711</v>
      </c>
      <c r="D2942" s="98" t="s">
        <v>422</v>
      </c>
      <c r="E2942" s="76" t="s">
        <v>423</v>
      </c>
      <c r="F2942" s="76" t="s">
        <v>427</v>
      </c>
      <c r="G2942" s="76" t="s">
        <v>837</v>
      </c>
      <c r="H2942" s="76" t="s">
        <v>425</v>
      </c>
      <c r="I2942" s="76" t="s">
        <v>3208</v>
      </c>
      <c r="J2942" s="76" t="s">
        <v>3209</v>
      </c>
      <c r="K2942" s="76" t="s">
        <v>591</v>
      </c>
      <c r="L2942" s="11" t="s">
        <v>909</v>
      </c>
      <c r="M2942" s="53">
        <v>18</v>
      </c>
      <c r="N2942" s="94">
        <v>640</v>
      </c>
      <c r="O2942" s="94">
        <f>N2942*M2942</f>
        <v>11520</v>
      </c>
      <c r="P2942" s="40" t="s">
        <v>3116</v>
      </c>
      <c r="Q2942" s="40" t="s">
        <v>766</v>
      </c>
      <c r="R2942" s="84">
        <v>115230100</v>
      </c>
      <c r="S2942" s="40">
        <v>100</v>
      </c>
    </row>
    <row r="2943" spans="1:19" s="92" customFormat="1" ht="63.75">
      <c r="A2943" s="5">
        <v>2928</v>
      </c>
      <c r="B2943" s="15" t="s">
        <v>710</v>
      </c>
      <c r="C2943" s="40" t="s">
        <v>711</v>
      </c>
      <c r="D2943" s="15" t="s">
        <v>726</v>
      </c>
      <c r="E2943" s="57" t="s">
        <v>720</v>
      </c>
      <c r="F2943" s="57" t="s">
        <v>720</v>
      </c>
      <c r="G2943" s="57" t="s">
        <v>727</v>
      </c>
      <c r="H2943" s="57" t="s">
        <v>728</v>
      </c>
      <c r="I2943" s="40" t="s">
        <v>3210</v>
      </c>
      <c r="J2943" s="40" t="s">
        <v>3211</v>
      </c>
      <c r="K2943" s="40" t="s">
        <v>591</v>
      </c>
      <c r="L2943" s="40" t="s">
        <v>644</v>
      </c>
      <c r="M2943" s="93">
        <f>2-1</f>
        <v>1</v>
      </c>
      <c r="N2943" s="94">
        <f>O2943/M2943</f>
        <v>30000</v>
      </c>
      <c r="O2943" s="94">
        <f>60000-30000</f>
        <v>30000</v>
      </c>
      <c r="P2943" s="40" t="s">
        <v>502</v>
      </c>
      <c r="Q2943" s="40" t="s">
        <v>1051</v>
      </c>
      <c r="R2943" s="84">
        <v>115230100</v>
      </c>
      <c r="S2943" s="40">
        <v>100</v>
      </c>
    </row>
    <row r="2944" spans="1:19" s="92" customFormat="1" ht="89.25">
      <c r="A2944" s="5">
        <v>2929</v>
      </c>
      <c r="B2944" s="15" t="s">
        <v>710</v>
      </c>
      <c r="C2944" s="40" t="s">
        <v>597</v>
      </c>
      <c r="D2944" s="40" t="s">
        <v>598</v>
      </c>
      <c r="E2944" s="31" t="s">
        <v>599</v>
      </c>
      <c r="F2944" s="31" t="s">
        <v>782</v>
      </c>
      <c r="G2944" s="31" t="s">
        <v>3195</v>
      </c>
      <c r="H2944" s="40" t="s">
        <v>602</v>
      </c>
      <c r="I2944" s="40" t="s">
        <v>3196</v>
      </c>
      <c r="J2944" s="40" t="s">
        <v>3197</v>
      </c>
      <c r="K2944" s="40" t="s">
        <v>591</v>
      </c>
      <c r="L2944" s="11" t="s">
        <v>914</v>
      </c>
      <c r="M2944" s="93">
        <v>1</v>
      </c>
      <c r="N2944" s="94">
        <v>624400</v>
      </c>
      <c r="O2944" s="94">
        <v>624400</v>
      </c>
      <c r="P2944" s="40" t="s">
        <v>502</v>
      </c>
      <c r="Q2944" s="40" t="s">
        <v>766</v>
      </c>
      <c r="R2944" s="84">
        <v>115420100</v>
      </c>
      <c r="S2944" s="40">
        <v>0</v>
      </c>
    </row>
    <row r="2945" spans="1:19" s="92" customFormat="1" ht="89.25">
      <c r="A2945" s="5">
        <v>2930</v>
      </c>
      <c r="B2945" s="15" t="s">
        <v>710</v>
      </c>
      <c r="C2945" s="40" t="s">
        <v>597</v>
      </c>
      <c r="D2945" s="40" t="s">
        <v>598</v>
      </c>
      <c r="E2945" s="31" t="s">
        <v>599</v>
      </c>
      <c r="F2945" s="31" t="s">
        <v>782</v>
      </c>
      <c r="G2945" s="31" t="s">
        <v>3195</v>
      </c>
      <c r="H2945" s="40" t="s">
        <v>602</v>
      </c>
      <c r="I2945" s="40" t="s">
        <v>3196</v>
      </c>
      <c r="J2945" s="40" t="s">
        <v>3197</v>
      </c>
      <c r="K2945" s="40" t="s">
        <v>591</v>
      </c>
      <c r="L2945" s="11" t="s">
        <v>914</v>
      </c>
      <c r="M2945" s="93">
        <v>1</v>
      </c>
      <c r="N2945" s="94">
        <v>624400</v>
      </c>
      <c r="O2945" s="94">
        <v>624400</v>
      </c>
      <c r="P2945" s="40" t="s">
        <v>502</v>
      </c>
      <c r="Q2945" s="40" t="s">
        <v>766</v>
      </c>
      <c r="R2945" s="84">
        <v>115420100</v>
      </c>
      <c r="S2945" s="40">
        <v>0</v>
      </c>
    </row>
    <row r="2946" spans="1:19" s="92" customFormat="1" ht="51">
      <c r="A2946" s="5">
        <v>2931</v>
      </c>
      <c r="B2946" s="15" t="s">
        <v>710</v>
      </c>
      <c r="C2946" s="40" t="s">
        <v>597</v>
      </c>
      <c r="D2946" s="11" t="s">
        <v>850</v>
      </c>
      <c r="E2946" s="76" t="s">
        <v>1736</v>
      </c>
      <c r="F2946" s="76" t="s">
        <v>851</v>
      </c>
      <c r="G2946" s="76" t="s">
        <v>1737</v>
      </c>
      <c r="H2946" s="76" t="s">
        <v>852</v>
      </c>
      <c r="I2946" s="76" t="s">
        <v>3199</v>
      </c>
      <c r="J2946" s="76" t="s">
        <v>3200</v>
      </c>
      <c r="K2946" s="40" t="s">
        <v>591</v>
      </c>
      <c r="L2946" s="11" t="s">
        <v>914</v>
      </c>
      <c r="M2946" s="97">
        <v>1</v>
      </c>
      <c r="N2946" s="94">
        <f>10000*5</f>
        <v>50000</v>
      </c>
      <c r="O2946" s="94">
        <f>N2946</f>
        <v>50000</v>
      </c>
      <c r="P2946" s="40" t="s">
        <v>698</v>
      </c>
      <c r="Q2946" s="40" t="s">
        <v>766</v>
      </c>
      <c r="R2946" s="84">
        <v>115420100</v>
      </c>
      <c r="S2946" s="40">
        <v>0</v>
      </c>
    </row>
    <row r="2947" spans="1:19" s="92" customFormat="1" ht="51">
      <c r="A2947" s="5">
        <v>2932</v>
      </c>
      <c r="B2947" s="15" t="s">
        <v>710</v>
      </c>
      <c r="C2947" s="40" t="s">
        <v>597</v>
      </c>
      <c r="D2947" s="40" t="s">
        <v>2594</v>
      </c>
      <c r="E2947" s="31" t="s">
        <v>2618</v>
      </c>
      <c r="F2947" s="31" t="s">
        <v>2595</v>
      </c>
      <c r="G2947" s="31" t="s">
        <v>2618</v>
      </c>
      <c r="H2947" s="40" t="s">
        <v>2595</v>
      </c>
      <c r="I2947" s="40" t="s">
        <v>3201</v>
      </c>
      <c r="J2947" s="40" t="s">
        <v>3202</v>
      </c>
      <c r="K2947" s="40" t="s">
        <v>591</v>
      </c>
      <c r="L2947" s="11" t="s">
        <v>914</v>
      </c>
      <c r="M2947" s="93">
        <v>1</v>
      </c>
      <c r="N2947" s="94">
        <f>10500*3</f>
        <v>31500</v>
      </c>
      <c r="O2947" s="94">
        <f>N2947</f>
        <v>31500</v>
      </c>
      <c r="P2947" s="40" t="s">
        <v>3116</v>
      </c>
      <c r="Q2947" s="40" t="s">
        <v>766</v>
      </c>
      <c r="R2947" s="84">
        <v>115420100</v>
      </c>
      <c r="S2947" s="40">
        <v>30</v>
      </c>
    </row>
    <row r="2948" spans="1:19" s="92" customFormat="1" ht="89.25">
      <c r="A2948" s="5">
        <v>2933</v>
      </c>
      <c r="B2948" s="15" t="s">
        <v>710</v>
      </c>
      <c r="C2948" s="40" t="s">
        <v>711</v>
      </c>
      <c r="D2948" s="40" t="s">
        <v>976</v>
      </c>
      <c r="E2948" s="31" t="s">
        <v>730</v>
      </c>
      <c r="F2948" s="31" t="s">
        <v>731</v>
      </c>
      <c r="G2948" s="31" t="s">
        <v>977</v>
      </c>
      <c r="H2948" s="40" t="s">
        <v>978</v>
      </c>
      <c r="I2948" s="40" t="s">
        <v>3203</v>
      </c>
      <c r="J2948" s="40" t="s">
        <v>3204</v>
      </c>
      <c r="K2948" s="40" t="s">
        <v>591</v>
      </c>
      <c r="L2948" s="40" t="s">
        <v>644</v>
      </c>
      <c r="M2948" s="93">
        <f>2-1</f>
        <v>1</v>
      </c>
      <c r="N2948" s="94">
        <f>O2948/M2948</f>
        <v>24280</v>
      </c>
      <c r="O2948" s="94">
        <f>53600-29320</f>
        <v>24280</v>
      </c>
      <c r="P2948" s="40" t="s">
        <v>3116</v>
      </c>
      <c r="Q2948" s="40" t="s">
        <v>1051</v>
      </c>
      <c r="R2948" s="84">
        <v>115420100</v>
      </c>
      <c r="S2948" s="40">
        <v>100</v>
      </c>
    </row>
    <row r="2949" spans="1:19" s="92" customFormat="1" ht="63.75">
      <c r="A2949" s="5">
        <v>2934</v>
      </c>
      <c r="B2949" s="15" t="s">
        <v>710</v>
      </c>
      <c r="C2949" s="40" t="s">
        <v>711</v>
      </c>
      <c r="D2949" s="40" t="s">
        <v>744</v>
      </c>
      <c r="E2949" s="31" t="s">
        <v>745</v>
      </c>
      <c r="F2949" s="31" t="s">
        <v>109</v>
      </c>
      <c r="G2949" s="31" t="s">
        <v>746</v>
      </c>
      <c r="H2949" s="40" t="s">
        <v>3205</v>
      </c>
      <c r="I2949" s="40" t="s">
        <v>3206</v>
      </c>
      <c r="J2949" s="40" t="s">
        <v>3207</v>
      </c>
      <c r="K2949" s="40" t="s">
        <v>591</v>
      </c>
      <c r="L2949" s="40" t="s">
        <v>644</v>
      </c>
      <c r="M2949" s="93">
        <v>6</v>
      </c>
      <c r="N2949" s="94">
        <v>4500</v>
      </c>
      <c r="O2949" s="94">
        <f>M2949*N2949</f>
        <v>27000</v>
      </c>
      <c r="P2949" s="40" t="s">
        <v>3116</v>
      </c>
      <c r="Q2949" s="40" t="s">
        <v>1051</v>
      </c>
      <c r="R2949" s="84">
        <v>115420100</v>
      </c>
      <c r="S2949" s="40">
        <v>100</v>
      </c>
    </row>
    <row r="2950" spans="1:19" s="92" customFormat="1" ht="51">
      <c r="A2950" s="5">
        <v>2935</v>
      </c>
      <c r="B2950" s="15" t="s">
        <v>710</v>
      </c>
      <c r="C2950" s="40" t="s">
        <v>711</v>
      </c>
      <c r="D2950" s="98" t="s">
        <v>422</v>
      </c>
      <c r="E2950" s="76" t="s">
        <v>423</v>
      </c>
      <c r="F2950" s="76" t="s">
        <v>427</v>
      </c>
      <c r="G2950" s="76" t="s">
        <v>837</v>
      </c>
      <c r="H2950" s="76" t="s">
        <v>425</v>
      </c>
      <c r="I2950" s="76" t="s">
        <v>3208</v>
      </c>
      <c r="J2950" s="76" t="s">
        <v>3209</v>
      </c>
      <c r="K2950" s="76" t="s">
        <v>591</v>
      </c>
      <c r="L2950" s="11" t="s">
        <v>909</v>
      </c>
      <c r="M2950" s="53">
        <v>18</v>
      </c>
      <c r="N2950" s="94">
        <v>640</v>
      </c>
      <c r="O2950" s="94">
        <f>N2950*M2950</f>
        <v>11520</v>
      </c>
      <c r="P2950" s="40" t="s">
        <v>3116</v>
      </c>
      <c r="Q2950" s="40" t="s">
        <v>766</v>
      </c>
      <c r="R2950" s="84">
        <v>115420100</v>
      </c>
      <c r="S2950" s="40">
        <v>100</v>
      </c>
    </row>
    <row r="2951" spans="1:19" s="92" customFormat="1" ht="63.75">
      <c r="A2951" s="5">
        <v>2936</v>
      </c>
      <c r="B2951" s="15" t="s">
        <v>710</v>
      </c>
      <c r="C2951" s="40" t="s">
        <v>711</v>
      </c>
      <c r="D2951" s="15" t="s">
        <v>726</v>
      </c>
      <c r="E2951" s="57" t="s">
        <v>720</v>
      </c>
      <c r="F2951" s="57" t="s">
        <v>720</v>
      </c>
      <c r="G2951" s="57" t="s">
        <v>727</v>
      </c>
      <c r="H2951" s="57" t="s">
        <v>728</v>
      </c>
      <c r="I2951" s="40" t="s">
        <v>3210</v>
      </c>
      <c r="J2951" s="40" t="s">
        <v>3211</v>
      </c>
      <c r="K2951" s="40" t="s">
        <v>591</v>
      </c>
      <c r="L2951" s="40" t="s">
        <v>644</v>
      </c>
      <c r="M2951" s="93">
        <v>1</v>
      </c>
      <c r="N2951" s="94">
        <v>30000</v>
      </c>
      <c r="O2951" s="94">
        <f>N2951*M2951</f>
        <v>30000</v>
      </c>
      <c r="P2951" s="40" t="s">
        <v>502</v>
      </c>
      <c r="Q2951" s="40" t="s">
        <v>1051</v>
      </c>
      <c r="R2951" s="84">
        <v>115420100</v>
      </c>
      <c r="S2951" s="40">
        <v>100</v>
      </c>
    </row>
    <row r="2952" spans="1:19" s="92" customFormat="1" ht="89.25">
      <c r="A2952" s="5">
        <v>2937</v>
      </c>
      <c r="B2952" s="15" t="s">
        <v>710</v>
      </c>
      <c r="C2952" s="40" t="s">
        <v>597</v>
      </c>
      <c r="D2952" s="40" t="s">
        <v>598</v>
      </c>
      <c r="E2952" s="31" t="s">
        <v>599</v>
      </c>
      <c r="F2952" s="31" t="s">
        <v>782</v>
      </c>
      <c r="G2952" s="31" t="s">
        <v>3195</v>
      </c>
      <c r="H2952" s="40" t="s">
        <v>602</v>
      </c>
      <c r="I2952" s="40" t="s">
        <v>3196</v>
      </c>
      <c r="J2952" s="40" t="s">
        <v>3197</v>
      </c>
      <c r="K2952" s="40" t="s">
        <v>591</v>
      </c>
      <c r="L2952" s="11" t="s">
        <v>914</v>
      </c>
      <c r="M2952" s="93">
        <v>1</v>
      </c>
      <c r="N2952" s="94">
        <v>624400</v>
      </c>
      <c r="O2952" s="94">
        <v>624400</v>
      </c>
      <c r="P2952" s="40" t="s">
        <v>502</v>
      </c>
      <c r="Q2952" s="40" t="s">
        <v>766</v>
      </c>
      <c r="R2952" s="84">
        <v>115630100</v>
      </c>
      <c r="S2952" s="40">
        <v>0</v>
      </c>
    </row>
    <row r="2953" spans="1:19" s="92" customFormat="1" ht="89.25">
      <c r="A2953" s="5">
        <v>2938</v>
      </c>
      <c r="B2953" s="15" t="s">
        <v>710</v>
      </c>
      <c r="C2953" s="40" t="s">
        <v>597</v>
      </c>
      <c r="D2953" s="40" t="s">
        <v>598</v>
      </c>
      <c r="E2953" s="31" t="s">
        <v>599</v>
      </c>
      <c r="F2953" s="31" t="s">
        <v>782</v>
      </c>
      <c r="G2953" s="31" t="s">
        <v>3195</v>
      </c>
      <c r="H2953" s="40" t="s">
        <v>602</v>
      </c>
      <c r="I2953" s="40" t="s">
        <v>3196</v>
      </c>
      <c r="J2953" s="40" t="s">
        <v>3197</v>
      </c>
      <c r="K2953" s="40" t="s">
        <v>591</v>
      </c>
      <c r="L2953" s="11" t="s">
        <v>914</v>
      </c>
      <c r="M2953" s="93">
        <v>1</v>
      </c>
      <c r="N2953" s="94">
        <v>624400</v>
      </c>
      <c r="O2953" s="94">
        <v>624400</v>
      </c>
      <c r="P2953" s="40" t="s">
        <v>502</v>
      </c>
      <c r="Q2953" s="40" t="s">
        <v>766</v>
      </c>
      <c r="R2953" s="84">
        <v>115630100</v>
      </c>
      <c r="S2953" s="40">
        <v>0</v>
      </c>
    </row>
    <row r="2954" spans="1:19" s="92" customFormat="1" ht="51">
      <c r="A2954" s="5">
        <v>2939</v>
      </c>
      <c r="B2954" s="15" t="s">
        <v>710</v>
      </c>
      <c r="C2954" s="40" t="s">
        <v>597</v>
      </c>
      <c r="D2954" s="11" t="s">
        <v>850</v>
      </c>
      <c r="E2954" s="76" t="s">
        <v>1736</v>
      </c>
      <c r="F2954" s="76" t="s">
        <v>851</v>
      </c>
      <c r="G2954" s="76" t="s">
        <v>1737</v>
      </c>
      <c r="H2954" s="76" t="s">
        <v>852</v>
      </c>
      <c r="I2954" s="76" t="s">
        <v>3199</v>
      </c>
      <c r="J2954" s="76" t="s">
        <v>3200</v>
      </c>
      <c r="K2954" s="40" t="s">
        <v>591</v>
      </c>
      <c r="L2954" s="11" t="s">
        <v>914</v>
      </c>
      <c r="M2954" s="97">
        <v>1</v>
      </c>
      <c r="N2954" s="94">
        <f>10000*5</f>
        <v>50000</v>
      </c>
      <c r="O2954" s="94">
        <f>N2954</f>
        <v>50000</v>
      </c>
      <c r="P2954" s="40" t="s">
        <v>698</v>
      </c>
      <c r="Q2954" s="40" t="s">
        <v>766</v>
      </c>
      <c r="R2954" s="84">
        <v>115630100</v>
      </c>
      <c r="S2954" s="40">
        <v>0</v>
      </c>
    </row>
    <row r="2955" spans="1:19" s="92" customFormat="1" ht="51">
      <c r="A2955" s="5">
        <v>2940</v>
      </c>
      <c r="B2955" s="15" t="s">
        <v>710</v>
      </c>
      <c r="C2955" s="40" t="s">
        <v>597</v>
      </c>
      <c r="D2955" s="40" t="s">
        <v>2594</v>
      </c>
      <c r="E2955" s="31" t="s">
        <v>2618</v>
      </c>
      <c r="F2955" s="31" t="s">
        <v>2595</v>
      </c>
      <c r="G2955" s="31" t="s">
        <v>2618</v>
      </c>
      <c r="H2955" s="40" t="s">
        <v>2595</v>
      </c>
      <c r="I2955" s="40" t="s">
        <v>3201</v>
      </c>
      <c r="J2955" s="40" t="s">
        <v>3202</v>
      </c>
      <c r="K2955" s="40" t="s">
        <v>591</v>
      </c>
      <c r="L2955" s="11" t="s">
        <v>914</v>
      </c>
      <c r="M2955" s="93">
        <v>1</v>
      </c>
      <c r="N2955" s="94">
        <f>10500*3</f>
        <v>31500</v>
      </c>
      <c r="O2955" s="94">
        <f>N2955</f>
        <v>31500</v>
      </c>
      <c r="P2955" s="40" t="s">
        <v>3116</v>
      </c>
      <c r="Q2955" s="40" t="s">
        <v>766</v>
      </c>
      <c r="R2955" s="84">
        <v>115630100</v>
      </c>
      <c r="S2955" s="40">
        <v>30</v>
      </c>
    </row>
    <row r="2956" spans="1:19" s="92" customFormat="1" ht="89.25">
      <c r="A2956" s="5">
        <v>2941</v>
      </c>
      <c r="B2956" s="15" t="s">
        <v>710</v>
      </c>
      <c r="C2956" s="40" t="s">
        <v>711</v>
      </c>
      <c r="D2956" s="40" t="s">
        <v>976</v>
      </c>
      <c r="E2956" s="31" t="s">
        <v>730</v>
      </c>
      <c r="F2956" s="31" t="s">
        <v>731</v>
      </c>
      <c r="G2956" s="31" t="s">
        <v>977</v>
      </c>
      <c r="H2956" s="40" t="s">
        <v>978</v>
      </c>
      <c r="I2956" s="40" t="s">
        <v>3203</v>
      </c>
      <c r="J2956" s="40" t="s">
        <v>3204</v>
      </c>
      <c r="K2956" s="40" t="s">
        <v>591</v>
      </c>
      <c r="L2956" s="40" t="s">
        <v>644</v>
      </c>
      <c r="M2956" s="93">
        <v>2</v>
      </c>
      <c r="N2956" s="94">
        <f>O2956/M2956</f>
        <v>0</v>
      </c>
      <c r="O2956" s="94">
        <f>53600-53600</f>
        <v>0</v>
      </c>
      <c r="P2956" s="40" t="s">
        <v>3116</v>
      </c>
      <c r="Q2956" s="40" t="s">
        <v>1051</v>
      </c>
      <c r="R2956" s="84">
        <v>115630100</v>
      </c>
      <c r="S2956" s="40">
        <v>100</v>
      </c>
    </row>
    <row r="2957" spans="1:19" s="92" customFormat="1" ht="63.75">
      <c r="A2957" s="5">
        <v>2942</v>
      </c>
      <c r="B2957" s="15" t="s">
        <v>710</v>
      </c>
      <c r="C2957" s="40" t="s">
        <v>711</v>
      </c>
      <c r="D2957" s="40" t="s">
        <v>744</v>
      </c>
      <c r="E2957" s="31" t="s">
        <v>745</v>
      </c>
      <c r="F2957" s="31" t="s">
        <v>109</v>
      </c>
      <c r="G2957" s="31" t="s">
        <v>746</v>
      </c>
      <c r="H2957" s="40" t="s">
        <v>3205</v>
      </c>
      <c r="I2957" s="40" t="s">
        <v>3206</v>
      </c>
      <c r="J2957" s="40" t="s">
        <v>3207</v>
      </c>
      <c r="K2957" s="40" t="s">
        <v>591</v>
      </c>
      <c r="L2957" s="40" t="s">
        <v>644</v>
      </c>
      <c r="M2957" s="93">
        <v>6</v>
      </c>
      <c r="N2957" s="94">
        <v>4500</v>
      </c>
      <c r="O2957" s="94">
        <f>M2957*N2957</f>
        <v>27000</v>
      </c>
      <c r="P2957" s="40" t="s">
        <v>3116</v>
      </c>
      <c r="Q2957" s="40" t="s">
        <v>1051</v>
      </c>
      <c r="R2957" s="84">
        <v>115630100</v>
      </c>
      <c r="S2957" s="40">
        <v>100</v>
      </c>
    </row>
    <row r="2958" spans="1:19" s="92" customFormat="1" ht="51">
      <c r="A2958" s="5">
        <v>2943</v>
      </c>
      <c r="B2958" s="15" t="s">
        <v>710</v>
      </c>
      <c r="C2958" s="40" t="s">
        <v>711</v>
      </c>
      <c r="D2958" s="98" t="s">
        <v>422</v>
      </c>
      <c r="E2958" s="76" t="s">
        <v>423</v>
      </c>
      <c r="F2958" s="76" t="s">
        <v>427</v>
      </c>
      <c r="G2958" s="76" t="s">
        <v>837</v>
      </c>
      <c r="H2958" s="76" t="s">
        <v>425</v>
      </c>
      <c r="I2958" s="76" t="s">
        <v>3208</v>
      </c>
      <c r="J2958" s="76" t="s">
        <v>3209</v>
      </c>
      <c r="K2958" s="76" t="s">
        <v>591</v>
      </c>
      <c r="L2958" s="11" t="s">
        <v>909</v>
      </c>
      <c r="M2958" s="53">
        <v>18</v>
      </c>
      <c r="N2958" s="94">
        <v>640</v>
      </c>
      <c r="O2958" s="94">
        <f>N2958*M2958</f>
        <v>11520</v>
      </c>
      <c r="P2958" s="40" t="s">
        <v>3116</v>
      </c>
      <c r="Q2958" s="40" t="s">
        <v>766</v>
      </c>
      <c r="R2958" s="84">
        <v>115630100</v>
      </c>
      <c r="S2958" s="40">
        <v>100</v>
      </c>
    </row>
    <row r="2959" spans="1:19" s="92" customFormat="1" ht="76.5">
      <c r="A2959" s="5">
        <v>2944</v>
      </c>
      <c r="B2959" s="15" t="s">
        <v>710</v>
      </c>
      <c r="C2959" s="40" t="s">
        <v>711</v>
      </c>
      <c r="D2959" s="40" t="s">
        <v>723</v>
      </c>
      <c r="E2959" s="31" t="s">
        <v>874</v>
      </c>
      <c r="F2959" s="31" t="s">
        <v>874</v>
      </c>
      <c r="G2959" s="31" t="s">
        <v>875</v>
      </c>
      <c r="H2959" s="40" t="s">
        <v>876</v>
      </c>
      <c r="I2959" s="40" t="s">
        <v>3210</v>
      </c>
      <c r="J2959" s="40" t="s">
        <v>3211</v>
      </c>
      <c r="K2959" s="40" t="s">
        <v>591</v>
      </c>
      <c r="L2959" s="40" t="s">
        <v>644</v>
      </c>
      <c r="M2959" s="93">
        <v>1</v>
      </c>
      <c r="N2959" s="94">
        <f>O2959/M2959</f>
        <v>0</v>
      </c>
      <c r="O2959" s="94">
        <f>30000-30000</f>
        <v>0</v>
      </c>
      <c r="P2959" s="40" t="s">
        <v>3116</v>
      </c>
      <c r="Q2959" s="40" t="s">
        <v>1051</v>
      </c>
      <c r="R2959" s="84">
        <v>115630100</v>
      </c>
      <c r="S2959" s="40">
        <v>100</v>
      </c>
    </row>
    <row r="2960" spans="1:19" s="92" customFormat="1" ht="89.25">
      <c r="A2960" s="5">
        <v>2945</v>
      </c>
      <c r="B2960" s="15" t="s">
        <v>710</v>
      </c>
      <c r="C2960" s="40" t="s">
        <v>597</v>
      </c>
      <c r="D2960" s="40" t="s">
        <v>598</v>
      </c>
      <c r="E2960" s="31" t="s">
        <v>599</v>
      </c>
      <c r="F2960" s="31" t="s">
        <v>782</v>
      </c>
      <c r="G2960" s="31" t="s">
        <v>3195</v>
      </c>
      <c r="H2960" s="40" t="s">
        <v>602</v>
      </c>
      <c r="I2960" s="40" t="s">
        <v>3196</v>
      </c>
      <c r="J2960" s="40" t="s">
        <v>3197</v>
      </c>
      <c r="K2960" s="40" t="s">
        <v>591</v>
      </c>
      <c r="L2960" s="11" t="s">
        <v>914</v>
      </c>
      <c r="M2960" s="93">
        <v>1</v>
      </c>
      <c r="N2960" s="94">
        <v>624400</v>
      </c>
      <c r="O2960" s="94">
        <v>624400</v>
      </c>
      <c r="P2960" s="40" t="s">
        <v>502</v>
      </c>
      <c r="Q2960" s="40" t="s">
        <v>766</v>
      </c>
      <c r="R2960" s="84">
        <v>116030100</v>
      </c>
      <c r="S2960" s="40">
        <v>0</v>
      </c>
    </row>
    <row r="2961" spans="1:19" s="92" customFormat="1" ht="89.25">
      <c r="A2961" s="5">
        <v>2946</v>
      </c>
      <c r="B2961" s="15" t="s">
        <v>710</v>
      </c>
      <c r="C2961" s="40" t="s">
        <v>597</v>
      </c>
      <c r="D2961" s="40" t="s">
        <v>598</v>
      </c>
      <c r="E2961" s="31" t="s">
        <v>599</v>
      </c>
      <c r="F2961" s="31" t="s">
        <v>782</v>
      </c>
      <c r="G2961" s="31" t="s">
        <v>3195</v>
      </c>
      <c r="H2961" s="40" t="s">
        <v>602</v>
      </c>
      <c r="I2961" s="40" t="s">
        <v>3196</v>
      </c>
      <c r="J2961" s="40" t="s">
        <v>3197</v>
      </c>
      <c r="K2961" s="40" t="s">
        <v>591</v>
      </c>
      <c r="L2961" s="11" t="s">
        <v>914</v>
      </c>
      <c r="M2961" s="93">
        <v>1</v>
      </c>
      <c r="N2961" s="94">
        <v>624400</v>
      </c>
      <c r="O2961" s="94">
        <v>624400</v>
      </c>
      <c r="P2961" s="40" t="s">
        <v>502</v>
      </c>
      <c r="Q2961" s="40" t="s">
        <v>766</v>
      </c>
      <c r="R2961" s="84">
        <v>116030100</v>
      </c>
      <c r="S2961" s="40">
        <v>0</v>
      </c>
    </row>
    <row r="2962" spans="1:19" s="92" customFormat="1" ht="51">
      <c r="A2962" s="5">
        <v>2947</v>
      </c>
      <c r="B2962" s="15" t="s">
        <v>710</v>
      </c>
      <c r="C2962" s="40" t="s">
        <v>597</v>
      </c>
      <c r="D2962" s="11" t="s">
        <v>850</v>
      </c>
      <c r="E2962" s="76" t="s">
        <v>1736</v>
      </c>
      <c r="F2962" s="76" t="s">
        <v>851</v>
      </c>
      <c r="G2962" s="76" t="s">
        <v>1737</v>
      </c>
      <c r="H2962" s="76" t="s">
        <v>852</v>
      </c>
      <c r="I2962" s="76" t="s">
        <v>3199</v>
      </c>
      <c r="J2962" s="76" t="s">
        <v>3200</v>
      </c>
      <c r="K2962" s="40" t="s">
        <v>591</v>
      </c>
      <c r="L2962" s="11" t="s">
        <v>914</v>
      </c>
      <c r="M2962" s="97">
        <v>1</v>
      </c>
      <c r="N2962" s="94">
        <f>10000*5</f>
        <v>50000</v>
      </c>
      <c r="O2962" s="94">
        <f>N2962</f>
        <v>50000</v>
      </c>
      <c r="P2962" s="40" t="s">
        <v>698</v>
      </c>
      <c r="Q2962" s="40" t="s">
        <v>766</v>
      </c>
      <c r="R2962" s="84">
        <v>116030100</v>
      </c>
      <c r="S2962" s="40">
        <v>0</v>
      </c>
    </row>
    <row r="2963" spans="1:19" s="92" customFormat="1" ht="51">
      <c r="A2963" s="5">
        <v>2948</v>
      </c>
      <c r="B2963" s="15" t="s">
        <v>710</v>
      </c>
      <c r="C2963" s="40" t="s">
        <v>597</v>
      </c>
      <c r="D2963" s="40" t="s">
        <v>2594</v>
      </c>
      <c r="E2963" s="31" t="s">
        <v>2618</v>
      </c>
      <c r="F2963" s="31" t="s">
        <v>2595</v>
      </c>
      <c r="G2963" s="31" t="s">
        <v>2618</v>
      </c>
      <c r="H2963" s="40" t="s">
        <v>2595</v>
      </c>
      <c r="I2963" s="40" t="s">
        <v>3201</v>
      </c>
      <c r="J2963" s="40" t="s">
        <v>3202</v>
      </c>
      <c r="K2963" s="40" t="s">
        <v>591</v>
      </c>
      <c r="L2963" s="11" t="s">
        <v>914</v>
      </c>
      <c r="M2963" s="93">
        <v>1</v>
      </c>
      <c r="N2963" s="94">
        <f>10500*3</f>
        <v>31500</v>
      </c>
      <c r="O2963" s="94">
        <f>N2963</f>
        <v>31500</v>
      </c>
      <c r="P2963" s="40" t="s">
        <v>3116</v>
      </c>
      <c r="Q2963" s="40" t="s">
        <v>766</v>
      </c>
      <c r="R2963" s="84">
        <v>116030100</v>
      </c>
      <c r="S2963" s="40">
        <v>30</v>
      </c>
    </row>
    <row r="2964" spans="1:19" s="92" customFormat="1" ht="89.25">
      <c r="A2964" s="5">
        <v>2949</v>
      </c>
      <c r="B2964" s="15" t="s">
        <v>710</v>
      </c>
      <c r="C2964" s="40" t="s">
        <v>711</v>
      </c>
      <c r="D2964" s="40" t="s">
        <v>976</v>
      </c>
      <c r="E2964" s="31" t="s">
        <v>730</v>
      </c>
      <c r="F2964" s="31" t="s">
        <v>731</v>
      </c>
      <c r="G2964" s="31" t="s">
        <v>977</v>
      </c>
      <c r="H2964" s="40" t="s">
        <v>978</v>
      </c>
      <c r="I2964" s="40" t="s">
        <v>3203</v>
      </c>
      <c r="J2964" s="40" t="s">
        <v>3204</v>
      </c>
      <c r="K2964" s="40" t="s">
        <v>591</v>
      </c>
      <c r="L2964" s="40" t="s">
        <v>644</v>
      </c>
      <c r="M2964" s="93">
        <v>2</v>
      </c>
      <c r="N2964" s="94">
        <v>26800</v>
      </c>
      <c r="O2964" s="94">
        <f>N2964*M2964</f>
        <v>53600</v>
      </c>
      <c r="P2964" s="40" t="s">
        <v>3116</v>
      </c>
      <c r="Q2964" s="40" t="s">
        <v>1051</v>
      </c>
      <c r="R2964" s="84">
        <v>116030100</v>
      </c>
      <c r="S2964" s="40">
        <v>100</v>
      </c>
    </row>
    <row r="2965" spans="1:19" s="92" customFormat="1" ht="63.75">
      <c r="A2965" s="5">
        <v>2950</v>
      </c>
      <c r="B2965" s="15" t="s">
        <v>710</v>
      </c>
      <c r="C2965" s="40" t="s">
        <v>711</v>
      </c>
      <c r="D2965" s="40" t="s">
        <v>744</v>
      </c>
      <c r="E2965" s="31" t="s">
        <v>745</v>
      </c>
      <c r="F2965" s="31" t="s">
        <v>109</v>
      </c>
      <c r="G2965" s="31" t="s">
        <v>746</v>
      </c>
      <c r="H2965" s="40" t="s">
        <v>3205</v>
      </c>
      <c r="I2965" s="40" t="s">
        <v>3206</v>
      </c>
      <c r="J2965" s="40" t="s">
        <v>3207</v>
      </c>
      <c r="K2965" s="40" t="s">
        <v>591</v>
      </c>
      <c r="L2965" s="40" t="s">
        <v>644</v>
      </c>
      <c r="M2965" s="93">
        <v>6</v>
      </c>
      <c r="N2965" s="94">
        <v>4500</v>
      </c>
      <c r="O2965" s="94">
        <f>M2965*N2965</f>
        <v>27000</v>
      </c>
      <c r="P2965" s="40" t="s">
        <v>3116</v>
      </c>
      <c r="Q2965" s="40" t="s">
        <v>1051</v>
      </c>
      <c r="R2965" s="84">
        <v>116030100</v>
      </c>
      <c r="S2965" s="40">
        <v>100</v>
      </c>
    </row>
    <row r="2966" spans="1:19" s="92" customFormat="1" ht="51">
      <c r="A2966" s="5">
        <v>2951</v>
      </c>
      <c r="B2966" s="15" t="s">
        <v>710</v>
      </c>
      <c r="C2966" s="40" t="s">
        <v>711</v>
      </c>
      <c r="D2966" s="98" t="s">
        <v>422</v>
      </c>
      <c r="E2966" s="76" t="s">
        <v>423</v>
      </c>
      <c r="F2966" s="76" t="s">
        <v>427</v>
      </c>
      <c r="G2966" s="76" t="s">
        <v>837</v>
      </c>
      <c r="H2966" s="76" t="s">
        <v>425</v>
      </c>
      <c r="I2966" s="76" t="s">
        <v>3208</v>
      </c>
      <c r="J2966" s="76" t="s">
        <v>3209</v>
      </c>
      <c r="K2966" s="76" t="s">
        <v>591</v>
      </c>
      <c r="L2966" s="11" t="s">
        <v>909</v>
      </c>
      <c r="M2966" s="53">
        <v>18</v>
      </c>
      <c r="N2966" s="94">
        <v>640</v>
      </c>
      <c r="O2966" s="94">
        <f>N2966*M2966</f>
        <v>11520</v>
      </c>
      <c r="P2966" s="40" t="s">
        <v>3116</v>
      </c>
      <c r="Q2966" s="40" t="s">
        <v>766</v>
      </c>
      <c r="R2966" s="84">
        <v>116030100</v>
      </c>
      <c r="S2966" s="40">
        <v>100</v>
      </c>
    </row>
    <row r="2967" spans="1:19" s="92" customFormat="1" ht="63.75">
      <c r="A2967" s="5">
        <v>2952</v>
      </c>
      <c r="B2967" s="15" t="s">
        <v>710</v>
      </c>
      <c r="C2967" s="40" t="s">
        <v>711</v>
      </c>
      <c r="D2967" s="15" t="s">
        <v>726</v>
      </c>
      <c r="E2967" s="57" t="s">
        <v>720</v>
      </c>
      <c r="F2967" s="57" t="s">
        <v>720</v>
      </c>
      <c r="G2967" s="57" t="s">
        <v>727</v>
      </c>
      <c r="H2967" s="57" t="s">
        <v>728</v>
      </c>
      <c r="I2967" s="40" t="s">
        <v>3210</v>
      </c>
      <c r="J2967" s="40" t="s">
        <v>3211</v>
      </c>
      <c r="K2967" s="40" t="s">
        <v>591</v>
      </c>
      <c r="L2967" s="40" t="s">
        <v>644</v>
      </c>
      <c r="M2967" s="93">
        <f>2-1</f>
        <v>1</v>
      </c>
      <c r="N2967" s="94">
        <v>30000</v>
      </c>
      <c r="O2967" s="94">
        <f>60000-30000</f>
        <v>30000</v>
      </c>
      <c r="P2967" s="40" t="s">
        <v>502</v>
      </c>
      <c r="Q2967" s="40" t="s">
        <v>1051</v>
      </c>
      <c r="R2967" s="84">
        <v>116030100</v>
      </c>
      <c r="S2967" s="40">
        <v>100</v>
      </c>
    </row>
    <row r="2968" spans="1:19" s="92" customFormat="1" ht="89.25">
      <c r="A2968" s="5">
        <v>2953</v>
      </c>
      <c r="B2968" s="15" t="s">
        <v>710</v>
      </c>
      <c r="C2968" s="40" t="s">
        <v>597</v>
      </c>
      <c r="D2968" s="40" t="s">
        <v>598</v>
      </c>
      <c r="E2968" s="31" t="s">
        <v>599</v>
      </c>
      <c r="F2968" s="31" t="s">
        <v>782</v>
      </c>
      <c r="G2968" s="31" t="s">
        <v>3195</v>
      </c>
      <c r="H2968" s="40" t="s">
        <v>602</v>
      </c>
      <c r="I2968" s="40" t="s">
        <v>3196</v>
      </c>
      <c r="J2968" s="40" t="s">
        <v>3197</v>
      </c>
      <c r="K2968" s="40" t="s">
        <v>591</v>
      </c>
      <c r="L2968" s="11" t="s">
        <v>914</v>
      </c>
      <c r="M2968" s="93">
        <v>1</v>
      </c>
      <c r="N2968" s="94">
        <v>624400</v>
      </c>
      <c r="O2968" s="94">
        <v>624400</v>
      </c>
      <c r="P2968" s="40" t="s">
        <v>502</v>
      </c>
      <c r="Q2968" s="40" t="s">
        <v>766</v>
      </c>
      <c r="R2968" s="84">
        <v>116430100</v>
      </c>
      <c r="S2968" s="40">
        <v>0</v>
      </c>
    </row>
    <row r="2969" spans="1:19" s="92" customFormat="1" ht="89.25">
      <c r="A2969" s="5">
        <v>2954</v>
      </c>
      <c r="B2969" s="15" t="s">
        <v>710</v>
      </c>
      <c r="C2969" s="40" t="s">
        <v>597</v>
      </c>
      <c r="D2969" s="40" t="s">
        <v>598</v>
      </c>
      <c r="E2969" s="31" t="s">
        <v>599</v>
      </c>
      <c r="F2969" s="31" t="s">
        <v>782</v>
      </c>
      <c r="G2969" s="31" t="s">
        <v>3195</v>
      </c>
      <c r="H2969" s="40" t="s">
        <v>602</v>
      </c>
      <c r="I2969" s="40" t="s">
        <v>3196</v>
      </c>
      <c r="J2969" s="40" t="s">
        <v>3197</v>
      </c>
      <c r="K2969" s="40" t="s">
        <v>591</v>
      </c>
      <c r="L2969" s="11" t="s">
        <v>914</v>
      </c>
      <c r="M2969" s="93">
        <v>1</v>
      </c>
      <c r="N2969" s="94">
        <v>624400</v>
      </c>
      <c r="O2969" s="94">
        <v>624400</v>
      </c>
      <c r="P2969" s="40" t="s">
        <v>502</v>
      </c>
      <c r="Q2969" s="40" t="s">
        <v>766</v>
      </c>
      <c r="R2969" s="84">
        <v>116430100</v>
      </c>
      <c r="S2969" s="40">
        <v>0</v>
      </c>
    </row>
    <row r="2970" spans="1:19" s="92" customFormat="1" ht="51">
      <c r="A2970" s="5">
        <v>2955</v>
      </c>
      <c r="B2970" s="15" t="s">
        <v>710</v>
      </c>
      <c r="C2970" s="40" t="s">
        <v>597</v>
      </c>
      <c r="D2970" s="11" t="s">
        <v>850</v>
      </c>
      <c r="E2970" s="76" t="s">
        <v>1736</v>
      </c>
      <c r="F2970" s="76" t="s">
        <v>851</v>
      </c>
      <c r="G2970" s="76" t="s">
        <v>1737</v>
      </c>
      <c r="H2970" s="76" t="s">
        <v>852</v>
      </c>
      <c r="I2970" s="76" t="s">
        <v>3199</v>
      </c>
      <c r="J2970" s="76" t="s">
        <v>3200</v>
      </c>
      <c r="K2970" s="40" t="s">
        <v>591</v>
      </c>
      <c r="L2970" s="11" t="s">
        <v>914</v>
      </c>
      <c r="M2970" s="97">
        <v>1</v>
      </c>
      <c r="N2970" s="94">
        <f>10000*5</f>
        <v>50000</v>
      </c>
      <c r="O2970" s="94">
        <f>N2970</f>
        <v>50000</v>
      </c>
      <c r="P2970" s="40" t="s">
        <v>698</v>
      </c>
      <c r="Q2970" s="40" t="s">
        <v>766</v>
      </c>
      <c r="R2970" s="84">
        <v>116430100</v>
      </c>
      <c r="S2970" s="40">
        <v>0</v>
      </c>
    </row>
    <row r="2971" spans="1:19" s="92" customFormat="1" ht="51">
      <c r="A2971" s="5">
        <v>2956</v>
      </c>
      <c r="B2971" s="15" t="s">
        <v>710</v>
      </c>
      <c r="C2971" s="40" t="s">
        <v>597</v>
      </c>
      <c r="D2971" s="40" t="s">
        <v>2594</v>
      </c>
      <c r="E2971" s="31" t="s">
        <v>2618</v>
      </c>
      <c r="F2971" s="31" t="s">
        <v>2595</v>
      </c>
      <c r="G2971" s="31" t="s">
        <v>2618</v>
      </c>
      <c r="H2971" s="40" t="s">
        <v>2595</v>
      </c>
      <c r="I2971" s="40" t="s">
        <v>3201</v>
      </c>
      <c r="J2971" s="40" t="s">
        <v>3202</v>
      </c>
      <c r="K2971" s="40" t="s">
        <v>591</v>
      </c>
      <c r="L2971" s="11" t="s">
        <v>914</v>
      </c>
      <c r="M2971" s="93">
        <v>1</v>
      </c>
      <c r="N2971" s="94">
        <f>10500*3</f>
        <v>31500</v>
      </c>
      <c r="O2971" s="94">
        <f>N2971</f>
        <v>31500</v>
      </c>
      <c r="P2971" s="40" t="s">
        <v>3116</v>
      </c>
      <c r="Q2971" s="40" t="s">
        <v>766</v>
      </c>
      <c r="R2971" s="84">
        <v>116430100</v>
      </c>
      <c r="S2971" s="40">
        <v>30</v>
      </c>
    </row>
    <row r="2972" spans="1:19" s="92" customFormat="1" ht="89.25">
      <c r="A2972" s="5">
        <v>2957</v>
      </c>
      <c r="B2972" s="15" t="s">
        <v>710</v>
      </c>
      <c r="C2972" s="40" t="s">
        <v>711</v>
      </c>
      <c r="D2972" s="40" t="s">
        <v>976</v>
      </c>
      <c r="E2972" s="31" t="s">
        <v>730</v>
      </c>
      <c r="F2972" s="31" t="s">
        <v>731</v>
      </c>
      <c r="G2972" s="31" t="s">
        <v>977</v>
      </c>
      <c r="H2972" s="40" t="s">
        <v>978</v>
      </c>
      <c r="I2972" s="40" t="s">
        <v>3203</v>
      </c>
      <c r="J2972" s="40" t="s">
        <v>3204</v>
      </c>
      <c r="K2972" s="40" t="s">
        <v>591</v>
      </c>
      <c r="L2972" s="40" t="s">
        <v>644</v>
      </c>
      <c r="M2972" s="93">
        <v>2</v>
      </c>
      <c r="N2972" s="94">
        <f>O2972/M2972</f>
        <v>0</v>
      </c>
      <c r="O2972" s="94">
        <f>53600-53600</f>
        <v>0</v>
      </c>
      <c r="P2972" s="40" t="s">
        <v>3116</v>
      </c>
      <c r="Q2972" s="40" t="s">
        <v>1051</v>
      </c>
      <c r="R2972" s="84">
        <v>116430100</v>
      </c>
      <c r="S2972" s="40">
        <v>100</v>
      </c>
    </row>
    <row r="2973" spans="1:19" s="92" customFormat="1" ht="63.75">
      <c r="A2973" s="5">
        <v>2958</v>
      </c>
      <c r="B2973" s="15" t="s">
        <v>710</v>
      </c>
      <c r="C2973" s="40" t="s">
        <v>711</v>
      </c>
      <c r="D2973" s="40" t="s">
        <v>744</v>
      </c>
      <c r="E2973" s="31" t="s">
        <v>745</v>
      </c>
      <c r="F2973" s="31" t="s">
        <v>109</v>
      </c>
      <c r="G2973" s="31" t="s">
        <v>746</v>
      </c>
      <c r="H2973" s="40" t="s">
        <v>3205</v>
      </c>
      <c r="I2973" s="40" t="s">
        <v>3206</v>
      </c>
      <c r="J2973" s="40" t="s">
        <v>3207</v>
      </c>
      <c r="K2973" s="40" t="s">
        <v>591</v>
      </c>
      <c r="L2973" s="40" t="s">
        <v>644</v>
      </c>
      <c r="M2973" s="93">
        <v>6</v>
      </c>
      <c r="N2973" s="94">
        <v>4500</v>
      </c>
      <c r="O2973" s="94">
        <f>M2973*N2973</f>
        <v>27000</v>
      </c>
      <c r="P2973" s="40" t="s">
        <v>3116</v>
      </c>
      <c r="Q2973" s="40" t="s">
        <v>1051</v>
      </c>
      <c r="R2973" s="84">
        <v>116430100</v>
      </c>
      <c r="S2973" s="40">
        <v>100</v>
      </c>
    </row>
    <row r="2974" spans="1:19" s="92" customFormat="1" ht="51">
      <c r="A2974" s="5">
        <v>2959</v>
      </c>
      <c r="B2974" s="15" t="s">
        <v>710</v>
      </c>
      <c r="C2974" s="40" t="s">
        <v>711</v>
      </c>
      <c r="D2974" s="98" t="s">
        <v>422</v>
      </c>
      <c r="E2974" s="76" t="s">
        <v>423</v>
      </c>
      <c r="F2974" s="76" t="s">
        <v>427</v>
      </c>
      <c r="G2974" s="76" t="s">
        <v>837</v>
      </c>
      <c r="H2974" s="76" t="s">
        <v>425</v>
      </c>
      <c r="I2974" s="76" t="s">
        <v>3208</v>
      </c>
      <c r="J2974" s="76" t="s">
        <v>3209</v>
      </c>
      <c r="K2974" s="76" t="s">
        <v>591</v>
      </c>
      <c r="L2974" s="11" t="s">
        <v>909</v>
      </c>
      <c r="M2974" s="53">
        <v>18</v>
      </c>
      <c r="N2974" s="94">
        <v>640</v>
      </c>
      <c r="O2974" s="94">
        <f>N2974*M2974</f>
        <v>11520</v>
      </c>
      <c r="P2974" s="40" t="s">
        <v>3116</v>
      </c>
      <c r="Q2974" s="40" t="s">
        <v>766</v>
      </c>
      <c r="R2974" s="84">
        <v>116430100</v>
      </c>
      <c r="S2974" s="40">
        <v>100</v>
      </c>
    </row>
    <row r="2975" spans="1:19" s="92" customFormat="1" ht="63.75">
      <c r="A2975" s="5">
        <v>2960</v>
      </c>
      <c r="B2975" s="15" t="s">
        <v>710</v>
      </c>
      <c r="C2975" s="40" t="s">
        <v>711</v>
      </c>
      <c r="D2975" s="15" t="s">
        <v>726</v>
      </c>
      <c r="E2975" s="57" t="s">
        <v>720</v>
      </c>
      <c r="F2975" s="57" t="s">
        <v>720</v>
      </c>
      <c r="G2975" s="57" t="s">
        <v>727</v>
      </c>
      <c r="H2975" s="57" t="s">
        <v>728</v>
      </c>
      <c r="I2975" s="40" t="s">
        <v>3210</v>
      </c>
      <c r="J2975" s="40" t="s">
        <v>3211</v>
      </c>
      <c r="K2975" s="40" t="s">
        <v>591</v>
      </c>
      <c r="L2975" s="40" t="s">
        <v>644</v>
      </c>
      <c r="M2975" s="93">
        <v>1</v>
      </c>
      <c r="N2975" s="94">
        <v>30000</v>
      </c>
      <c r="O2975" s="94">
        <f>N2975*M2975</f>
        <v>30000</v>
      </c>
      <c r="P2975" s="40" t="s">
        <v>502</v>
      </c>
      <c r="Q2975" s="40" t="s">
        <v>1051</v>
      </c>
      <c r="R2975" s="84">
        <v>116430100</v>
      </c>
      <c r="S2975" s="40">
        <v>100</v>
      </c>
    </row>
    <row r="2976" spans="1:19" s="92" customFormat="1" ht="89.25">
      <c r="A2976" s="5">
        <v>2961</v>
      </c>
      <c r="B2976" s="15" t="s">
        <v>710</v>
      </c>
      <c r="C2976" s="40" t="s">
        <v>597</v>
      </c>
      <c r="D2976" s="40" t="s">
        <v>598</v>
      </c>
      <c r="E2976" s="31" t="s">
        <v>599</v>
      </c>
      <c r="F2976" s="31" t="s">
        <v>782</v>
      </c>
      <c r="G2976" s="31" t="s">
        <v>3195</v>
      </c>
      <c r="H2976" s="40" t="s">
        <v>602</v>
      </c>
      <c r="I2976" s="40" t="s">
        <v>3196</v>
      </c>
      <c r="J2976" s="40" t="s">
        <v>3197</v>
      </c>
      <c r="K2976" s="40" t="s">
        <v>591</v>
      </c>
      <c r="L2976" s="11" t="s">
        <v>914</v>
      </c>
      <c r="M2976" s="93">
        <v>1</v>
      </c>
      <c r="N2976" s="94">
        <v>624400</v>
      </c>
      <c r="O2976" s="94">
        <v>624400</v>
      </c>
      <c r="P2976" s="40" t="s">
        <v>502</v>
      </c>
      <c r="Q2976" s="40" t="s">
        <v>766</v>
      </c>
      <c r="R2976" s="84">
        <v>116630100</v>
      </c>
      <c r="S2976" s="40">
        <v>0</v>
      </c>
    </row>
    <row r="2977" spans="1:19" s="92" customFormat="1" ht="89.25">
      <c r="A2977" s="5">
        <v>2962</v>
      </c>
      <c r="B2977" s="15" t="s">
        <v>710</v>
      </c>
      <c r="C2977" s="40" t="s">
        <v>597</v>
      </c>
      <c r="D2977" s="40" t="s">
        <v>598</v>
      </c>
      <c r="E2977" s="31" t="s">
        <v>599</v>
      </c>
      <c r="F2977" s="31" t="s">
        <v>782</v>
      </c>
      <c r="G2977" s="31" t="s">
        <v>3195</v>
      </c>
      <c r="H2977" s="40" t="s">
        <v>602</v>
      </c>
      <c r="I2977" s="40" t="s">
        <v>3196</v>
      </c>
      <c r="J2977" s="40" t="s">
        <v>3197</v>
      </c>
      <c r="K2977" s="40" t="s">
        <v>591</v>
      </c>
      <c r="L2977" s="11" t="s">
        <v>914</v>
      </c>
      <c r="M2977" s="93">
        <v>1</v>
      </c>
      <c r="N2977" s="94">
        <v>624400</v>
      </c>
      <c r="O2977" s="94">
        <v>624400</v>
      </c>
      <c r="P2977" s="40" t="s">
        <v>502</v>
      </c>
      <c r="Q2977" s="40" t="s">
        <v>766</v>
      </c>
      <c r="R2977" s="84">
        <v>116630100</v>
      </c>
      <c r="S2977" s="40">
        <v>0</v>
      </c>
    </row>
    <row r="2978" spans="1:19" s="92" customFormat="1" ht="51">
      <c r="A2978" s="5">
        <v>2963</v>
      </c>
      <c r="B2978" s="15" t="s">
        <v>710</v>
      </c>
      <c r="C2978" s="40" t="s">
        <v>597</v>
      </c>
      <c r="D2978" s="11" t="s">
        <v>850</v>
      </c>
      <c r="E2978" s="76" t="s">
        <v>1736</v>
      </c>
      <c r="F2978" s="76" t="s">
        <v>851</v>
      </c>
      <c r="G2978" s="76" t="s">
        <v>1737</v>
      </c>
      <c r="H2978" s="76" t="s">
        <v>852</v>
      </c>
      <c r="I2978" s="76" t="s">
        <v>3199</v>
      </c>
      <c r="J2978" s="76" t="s">
        <v>3200</v>
      </c>
      <c r="K2978" s="40" t="s">
        <v>591</v>
      </c>
      <c r="L2978" s="11" t="s">
        <v>914</v>
      </c>
      <c r="M2978" s="97">
        <v>1</v>
      </c>
      <c r="N2978" s="94">
        <f>10000*5</f>
        <v>50000</v>
      </c>
      <c r="O2978" s="94">
        <f>N2978</f>
        <v>50000</v>
      </c>
      <c r="P2978" s="40" t="s">
        <v>698</v>
      </c>
      <c r="Q2978" s="40" t="s">
        <v>766</v>
      </c>
      <c r="R2978" s="84">
        <v>116630100</v>
      </c>
      <c r="S2978" s="40">
        <v>0</v>
      </c>
    </row>
    <row r="2979" spans="1:19" s="92" customFormat="1" ht="51">
      <c r="A2979" s="5">
        <v>2964</v>
      </c>
      <c r="B2979" s="15" t="s">
        <v>710</v>
      </c>
      <c r="C2979" s="40" t="s">
        <v>597</v>
      </c>
      <c r="D2979" s="40" t="s">
        <v>2594</v>
      </c>
      <c r="E2979" s="31" t="s">
        <v>2618</v>
      </c>
      <c r="F2979" s="31" t="s">
        <v>2595</v>
      </c>
      <c r="G2979" s="31" t="s">
        <v>2618</v>
      </c>
      <c r="H2979" s="40" t="s">
        <v>2595</v>
      </c>
      <c r="I2979" s="40" t="s">
        <v>3201</v>
      </c>
      <c r="J2979" s="40" t="s">
        <v>3202</v>
      </c>
      <c r="K2979" s="40" t="s">
        <v>591</v>
      </c>
      <c r="L2979" s="11" t="s">
        <v>914</v>
      </c>
      <c r="M2979" s="93">
        <v>1</v>
      </c>
      <c r="N2979" s="94">
        <f>10500*3</f>
        <v>31500</v>
      </c>
      <c r="O2979" s="94">
        <f>N2979</f>
        <v>31500</v>
      </c>
      <c r="P2979" s="40" t="s">
        <v>3116</v>
      </c>
      <c r="Q2979" s="40" t="s">
        <v>766</v>
      </c>
      <c r="R2979" s="84">
        <v>116630100</v>
      </c>
      <c r="S2979" s="40">
        <v>30</v>
      </c>
    </row>
    <row r="2980" spans="1:19" s="92" customFormat="1" ht="89.25">
      <c r="A2980" s="5">
        <v>2965</v>
      </c>
      <c r="B2980" s="15" t="s">
        <v>710</v>
      </c>
      <c r="C2980" s="40" t="s">
        <v>711</v>
      </c>
      <c r="D2980" s="40" t="s">
        <v>976</v>
      </c>
      <c r="E2980" s="31" t="s">
        <v>730</v>
      </c>
      <c r="F2980" s="31" t="s">
        <v>731</v>
      </c>
      <c r="G2980" s="31" t="s">
        <v>977</v>
      </c>
      <c r="H2980" s="40" t="s">
        <v>978</v>
      </c>
      <c r="I2980" s="40" t="s">
        <v>3203</v>
      </c>
      <c r="J2980" s="40" t="s">
        <v>3204</v>
      </c>
      <c r="K2980" s="40" t="s">
        <v>591</v>
      </c>
      <c r="L2980" s="40" t="s">
        <v>644</v>
      </c>
      <c r="M2980" s="93">
        <v>2</v>
      </c>
      <c r="N2980" s="94">
        <v>26800</v>
      </c>
      <c r="O2980" s="94">
        <f>N2980*M2980</f>
        <v>53600</v>
      </c>
      <c r="P2980" s="40" t="s">
        <v>3116</v>
      </c>
      <c r="Q2980" s="40" t="s">
        <v>1051</v>
      </c>
      <c r="R2980" s="84">
        <v>116630100</v>
      </c>
      <c r="S2980" s="40">
        <v>100</v>
      </c>
    </row>
    <row r="2981" spans="1:19" s="92" customFormat="1" ht="63.75">
      <c r="A2981" s="5">
        <v>2966</v>
      </c>
      <c r="B2981" s="15" t="s">
        <v>710</v>
      </c>
      <c r="C2981" s="40" t="s">
        <v>711</v>
      </c>
      <c r="D2981" s="40" t="s">
        <v>744</v>
      </c>
      <c r="E2981" s="31" t="s">
        <v>745</v>
      </c>
      <c r="F2981" s="31" t="s">
        <v>109</v>
      </c>
      <c r="G2981" s="31" t="s">
        <v>746</v>
      </c>
      <c r="H2981" s="40" t="s">
        <v>3205</v>
      </c>
      <c r="I2981" s="40" t="s">
        <v>3206</v>
      </c>
      <c r="J2981" s="40" t="s">
        <v>3207</v>
      </c>
      <c r="K2981" s="40" t="s">
        <v>591</v>
      </c>
      <c r="L2981" s="40" t="s">
        <v>644</v>
      </c>
      <c r="M2981" s="93">
        <v>6</v>
      </c>
      <c r="N2981" s="94">
        <v>4500</v>
      </c>
      <c r="O2981" s="94">
        <f>M2981*N2981</f>
        <v>27000</v>
      </c>
      <c r="P2981" s="40" t="s">
        <v>3116</v>
      </c>
      <c r="Q2981" s="40" t="s">
        <v>1051</v>
      </c>
      <c r="R2981" s="84">
        <v>116630100</v>
      </c>
      <c r="S2981" s="40">
        <v>100</v>
      </c>
    </row>
    <row r="2982" spans="1:19" s="92" customFormat="1" ht="51">
      <c r="A2982" s="5">
        <v>2967</v>
      </c>
      <c r="B2982" s="15" t="s">
        <v>710</v>
      </c>
      <c r="C2982" s="40" t="s">
        <v>711</v>
      </c>
      <c r="D2982" s="98" t="s">
        <v>422</v>
      </c>
      <c r="E2982" s="76" t="s">
        <v>423</v>
      </c>
      <c r="F2982" s="76" t="s">
        <v>427</v>
      </c>
      <c r="G2982" s="76" t="s">
        <v>837</v>
      </c>
      <c r="H2982" s="76" t="s">
        <v>425</v>
      </c>
      <c r="I2982" s="76" t="s">
        <v>3208</v>
      </c>
      <c r="J2982" s="76" t="s">
        <v>3209</v>
      </c>
      <c r="K2982" s="76" t="s">
        <v>591</v>
      </c>
      <c r="L2982" s="11" t="s">
        <v>909</v>
      </c>
      <c r="M2982" s="53">
        <v>18</v>
      </c>
      <c r="N2982" s="94">
        <v>640</v>
      </c>
      <c r="O2982" s="94">
        <f>N2982*M2982</f>
        <v>11520</v>
      </c>
      <c r="P2982" s="40" t="s">
        <v>3116</v>
      </c>
      <c r="Q2982" s="40" t="s">
        <v>766</v>
      </c>
      <c r="R2982" s="84">
        <v>116630100</v>
      </c>
      <c r="S2982" s="40">
        <v>100</v>
      </c>
    </row>
    <row r="2983" spans="1:19" s="92" customFormat="1" ht="63.75">
      <c r="A2983" s="5">
        <v>2968</v>
      </c>
      <c r="B2983" s="15" t="s">
        <v>710</v>
      </c>
      <c r="C2983" s="40" t="s">
        <v>711</v>
      </c>
      <c r="D2983" s="15" t="s">
        <v>726</v>
      </c>
      <c r="E2983" s="57" t="s">
        <v>720</v>
      </c>
      <c r="F2983" s="57" t="s">
        <v>720</v>
      </c>
      <c r="G2983" s="57" t="s">
        <v>727</v>
      </c>
      <c r="H2983" s="57" t="s">
        <v>728</v>
      </c>
      <c r="I2983" s="40" t="s">
        <v>3210</v>
      </c>
      <c r="J2983" s="40" t="s">
        <v>3211</v>
      </c>
      <c r="K2983" s="40" t="s">
        <v>591</v>
      </c>
      <c r="L2983" s="40" t="s">
        <v>644</v>
      </c>
      <c r="M2983" s="93">
        <v>1</v>
      </c>
      <c r="N2983" s="94">
        <v>30000</v>
      </c>
      <c r="O2983" s="94">
        <f>N2983*M2983</f>
        <v>30000</v>
      </c>
      <c r="P2983" s="40" t="s">
        <v>502</v>
      </c>
      <c r="Q2983" s="40" t="s">
        <v>1051</v>
      </c>
      <c r="R2983" s="84">
        <v>116630100</v>
      </c>
      <c r="S2983" s="40">
        <v>100</v>
      </c>
    </row>
    <row r="2984" spans="1:19" s="92" customFormat="1" ht="89.25">
      <c r="A2984" s="5">
        <v>2969</v>
      </c>
      <c r="B2984" s="15" t="s">
        <v>710</v>
      </c>
      <c r="C2984" s="40" t="s">
        <v>597</v>
      </c>
      <c r="D2984" s="40" t="s">
        <v>598</v>
      </c>
      <c r="E2984" s="31" t="s">
        <v>599</v>
      </c>
      <c r="F2984" s="31" t="s">
        <v>782</v>
      </c>
      <c r="G2984" s="31" t="s">
        <v>3195</v>
      </c>
      <c r="H2984" s="40" t="s">
        <v>602</v>
      </c>
      <c r="I2984" s="40" t="s">
        <v>3196</v>
      </c>
      <c r="J2984" s="40" t="s">
        <v>3197</v>
      </c>
      <c r="K2984" s="40" t="s">
        <v>591</v>
      </c>
      <c r="L2984" s="11" t="s">
        <v>914</v>
      </c>
      <c r="M2984" s="93">
        <v>1</v>
      </c>
      <c r="N2984" s="94">
        <v>624400</v>
      </c>
      <c r="O2984" s="94">
        <v>624400</v>
      </c>
      <c r="P2984" s="40" t="s">
        <v>502</v>
      </c>
      <c r="Q2984" s="40" t="s">
        <v>766</v>
      </c>
      <c r="R2984" s="84">
        <v>116830100</v>
      </c>
      <c r="S2984" s="40">
        <v>0</v>
      </c>
    </row>
    <row r="2985" spans="1:19" s="92" customFormat="1" ht="89.25">
      <c r="A2985" s="5">
        <v>2970</v>
      </c>
      <c r="B2985" s="15" t="s">
        <v>710</v>
      </c>
      <c r="C2985" s="40" t="s">
        <v>597</v>
      </c>
      <c r="D2985" s="40" t="s">
        <v>598</v>
      </c>
      <c r="E2985" s="31" t="s">
        <v>599</v>
      </c>
      <c r="F2985" s="31" t="s">
        <v>782</v>
      </c>
      <c r="G2985" s="31" t="s">
        <v>3195</v>
      </c>
      <c r="H2985" s="40" t="s">
        <v>602</v>
      </c>
      <c r="I2985" s="40" t="s">
        <v>3196</v>
      </c>
      <c r="J2985" s="40" t="s">
        <v>3197</v>
      </c>
      <c r="K2985" s="40" t="s">
        <v>591</v>
      </c>
      <c r="L2985" s="11" t="s">
        <v>914</v>
      </c>
      <c r="M2985" s="93">
        <v>1</v>
      </c>
      <c r="N2985" s="94">
        <v>624400</v>
      </c>
      <c r="O2985" s="94">
        <v>624400</v>
      </c>
      <c r="P2985" s="40" t="s">
        <v>502</v>
      </c>
      <c r="Q2985" s="40" t="s">
        <v>766</v>
      </c>
      <c r="R2985" s="84">
        <v>116830100</v>
      </c>
      <c r="S2985" s="40">
        <v>0</v>
      </c>
    </row>
    <row r="2986" spans="1:19" s="92" customFormat="1" ht="51">
      <c r="A2986" s="5">
        <v>2971</v>
      </c>
      <c r="B2986" s="15" t="s">
        <v>710</v>
      </c>
      <c r="C2986" s="40" t="s">
        <v>597</v>
      </c>
      <c r="D2986" s="11" t="s">
        <v>850</v>
      </c>
      <c r="E2986" s="76" t="s">
        <v>1736</v>
      </c>
      <c r="F2986" s="76" t="s">
        <v>851</v>
      </c>
      <c r="G2986" s="76" t="s">
        <v>1737</v>
      </c>
      <c r="H2986" s="76" t="s">
        <v>852</v>
      </c>
      <c r="I2986" s="76" t="s">
        <v>3199</v>
      </c>
      <c r="J2986" s="76" t="s">
        <v>3200</v>
      </c>
      <c r="K2986" s="40" t="s">
        <v>591</v>
      </c>
      <c r="L2986" s="11" t="s">
        <v>914</v>
      </c>
      <c r="M2986" s="97">
        <v>1</v>
      </c>
      <c r="N2986" s="94">
        <f>10000*5</f>
        <v>50000</v>
      </c>
      <c r="O2986" s="94">
        <f>N2986</f>
        <v>50000</v>
      </c>
      <c r="P2986" s="40" t="s">
        <v>698</v>
      </c>
      <c r="Q2986" s="40" t="s">
        <v>766</v>
      </c>
      <c r="R2986" s="84">
        <v>116830100</v>
      </c>
      <c r="S2986" s="40">
        <v>0</v>
      </c>
    </row>
    <row r="2987" spans="1:19" s="92" customFormat="1" ht="51">
      <c r="A2987" s="5">
        <v>2972</v>
      </c>
      <c r="B2987" s="15" t="s">
        <v>710</v>
      </c>
      <c r="C2987" s="40" t="s">
        <v>597</v>
      </c>
      <c r="D2987" s="40" t="s">
        <v>2594</v>
      </c>
      <c r="E2987" s="31" t="s">
        <v>2618</v>
      </c>
      <c r="F2987" s="31" t="s">
        <v>2595</v>
      </c>
      <c r="G2987" s="31" t="s">
        <v>2618</v>
      </c>
      <c r="H2987" s="40" t="s">
        <v>2595</v>
      </c>
      <c r="I2987" s="40" t="s">
        <v>3201</v>
      </c>
      <c r="J2987" s="40" t="s">
        <v>3202</v>
      </c>
      <c r="K2987" s="40" t="s">
        <v>591</v>
      </c>
      <c r="L2987" s="11" t="s">
        <v>914</v>
      </c>
      <c r="M2987" s="93">
        <v>1</v>
      </c>
      <c r="N2987" s="94">
        <f>10500*3</f>
        <v>31500</v>
      </c>
      <c r="O2987" s="94">
        <f>N2987</f>
        <v>31500</v>
      </c>
      <c r="P2987" s="40" t="s">
        <v>3116</v>
      </c>
      <c r="Q2987" s="40" t="s">
        <v>766</v>
      </c>
      <c r="R2987" s="84">
        <v>116830100</v>
      </c>
      <c r="S2987" s="40">
        <v>30</v>
      </c>
    </row>
    <row r="2988" spans="1:19" s="92" customFormat="1" ht="89.25">
      <c r="A2988" s="5">
        <v>2973</v>
      </c>
      <c r="B2988" s="15" t="s">
        <v>710</v>
      </c>
      <c r="C2988" s="40" t="s">
        <v>711</v>
      </c>
      <c r="D2988" s="40" t="s">
        <v>976</v>
      </c>
      <c r="E2988" s="31" t="s">
        <v>730</v>
      </c>
      <c r="F2988" s="31" t="s">
        <v>731</v>
      </c>
      <c r="G2988" s="31" t="s">
        <v>977</v>
      </c>
      <c r="H2988" s="40" t="s">
        <v>978</v>
      </c>
      <c r="I2988" s="40" t="s">
        <v>3203</v>
      </c>
      <c r="J2988" s="40" t="s">
        <v>3204</v>
      </c>
      <c r="K2988" s="40" t="s">
        <v>591</v>
      </c>
      <c r="L2988" s="40" t="s">
        <v>644</v>
      </c>
      <c r="M2988" s="93">
        <v>2</v>
      </c>
      <c r="N2988" s="94">
        <v>26800</v>
      </c>
      <c r="O2988" s="94">
        <f>N2988*M2988</f>
        <v>53600</v>
      </c>
      <c r="P2988" s="40" t="s">
        <v>3116</v>
      </c>
      <c r="Q2988" s="40" t="s">
        <v>1051</v>
      </c>
      <c r="R2988" s="84">
        <v>116830100</v>
      </c>
      <c r="S2988" s="40">
        <v>100</v>
      </c>
    </row>
    <row r="2989" spans="1:19" s="92" customFormat="1" ht="63.75">
      <c r="A2989" s="5">
        <v>2974</v>
      </c>
      <c r="B2989" s="15" t="s">
        <v>710</v>
      </c>
      <c r="C2989" s="40" t="s">
        <v>711</v>
      </c>
      <c r="D2989" s="40" t="s">
        <v>744</v>
      </c>
      <c r="E2989" s="31" t="s">
        <v>745</v>
      </c>
      <c r="F2989" s="31" t="s">
        <v>109</v>
      </c>
      <c r="G2989" s="31" t="s">
        <v>746</v>
      </c>
      <c r="H2989" s="40" t="s">
        <v>3205</v>
      </c>
      <c r="I2989" s="40" t="s">
        <v>3206</v>
      </c>
      <c r="J2989" s="40" t="s">
        <v>3207</v>
      </c>
      <c r="K2989" s="40" t="s">
        <v>591</v>
      </c>
      <c r="L2989" s="40" t="s">
        <v>644</v>
      </c>
      <c r="M2989" s="93">
        <v>6</v>
      </c>
      <c r="N2989" s="94">
        <v>4500</v>
      </c>
      <c r="O2989" s="94">
        <f>M2989*N2989</f>
        <v>27000</v>
      </c>
      <c r="P2989" s="40" t="s">
        <v>3116</v>
      </c>
      <c r="Q2989" s="40" t="s">
        <v>1051</v>
      </c>
      <c r="R2989" s="84">
        <v>116830100</v>
      </c>
      <c r="S2989" s="40">
        <v>100</v>
      </c>
    </row>
    <row r="2990" spans="1:19" s="92" customFormat="1" ht="51">
      <c r="A2990" s="5">
        <v>2975</v>
      </c>
      <c r="B2990" s="15" t="s">
        <v>710</v>
      </c>
      <c r="C2990" s="40" t="s">
        <v>711</v>
      </c>
      <c r="D2990" s="98" t="s">
        <v>422</v>
      </c>
      <c r="E2990" s="76" t="s">
        <v>423</v>
      </c>
      <c r="F2990" s="76" t="s">
        <v>427</v>
      </c>
      <c r="G2990" s="76" t="s">
        <v>837</v>
      </c>
      <c r="H2990" s="76" t="s">
        <v>425</v>
      </c>
      <c r="I2990" s="76" t="s">
        <v>3208</v>
      </c>
      <c r="J2990" s="76" t="s">
        <v>3209</v>
      </c>
      <c r="K2990" s="76" t="s">
        <v>591</v>
      </c>
      <c r="L2990" s="11" t="s">
        <v>909</v>
      </c>
      <c r="M2990" s="53">
        <v>18</v>
      </c>
      <c r="N2990" s="94">
        <v>640</v>
      </c>
      <c r="O2990" s="94">
        <f>N2990*M2990</f>
        <v>11520</v>
      </c>
      <c r="P2990" s="40" t="s">
        <v>3116</v>
      </c>
      <c r="Q2990" s="40" t="s">
        <v>766</v>
      </c>
      <c r="R2990" s="84">
        <v>116830100</v>
      </c>
      <c r="S2990" s="40">
        <v>100</v>
      </c>
    </row>
    <row r="2991" spans="1:19" s="92" customFormat="1" ht="76.5">
      <c r="A2991" s="5">
        <v>2976</v>
      </c>
      <c r="B2991" s="15" t="s">
        <v>710</v>
      </c>
      <c r="C2991" s="40" t="s">
        <v>711</v>
      </c>
      <c r="D2991" s="40" t="s">
        <v>723</v>
      </c>
      <c r="E2991" s="31" t="s">
        <v>874</v>
      </c>
      <c r="F2991" s="31" t="s">
        <v>874</v>
      </c>
      <c r="G2991" s="31" t="s">
        <v>875</v>
      </c>
      <c r="H2991" s="40" t="s">
        <v>876</v>
      </c>
      <c r="I2991" s="40" t="s">
        <v>3210</v>
      </c>
      <c r="J2991" s="40" t="s">
        <v>3211</v>
      </c>
      <c r="K2991" s="40" t="s">
        <v>591</v>
      </c>
      <c r="L2991" s="40" t="s">
        <v>644</v>
      </c>
      <c r="M2991" s="93">
        <v>1</v>
      </c>
      <c r="N2991" s="94">
        <v>30000</v>
      </c>
      <c r="O2991" s="94">
        <f>N2991*M2991</f>
        <v>30000</v>
      </c>
      <c r="P2991" s="40" t="s">
        <v>3116</v>
      </c>
      <c r="Q2991" s="40" t="s">
        <v>1051</v>
      </c>
      <c r="R2991" s="84">
        <v>116830100</v>
      </c>
      <c r="S2991" s="40">
        <v>100</v>
      </c>
    </row>
    <row r="2992" spans="1:19" s="92" customFormat="1" ht="51">
      <c r="A2992" s="5">
        <v>2977</v>
      </c>
      <c r="B2992" s="15" t="s">
        <v>710</v>
      </c>
      <c r="C2992" s="40" t="s">
        <v>597</v>
      </c>
      <c r="D2992" s="40" t="s">
        <v>3128</v>
      </c>
      <c r="E2992" s="31" t="s">
        <v>2620</v>
      </c>
      <c r="F2992" s="31" t="s">
        <v>1304</v>
      </c>
      <c r="G2992" s="31" t="s">
        <v>3129</v>
      </c>
      <c r="H2992" s="40" t="s">
        <v>3130</v>
      </c>
      <c r="I2992" s="40" t="s">
        <v>3131</v>
      </c>
      <c r="J2992" s="40" t="s">
        <v>3132</v>
      </c>
      <c r="K2992" s="40" t="s">
        <v>591</v>
      </c>
      <c r="L2992" s="11" t="s">
        <v>914</v>
      </c>
      <c r="M2992" s="93">
        <v>1</v>
      </c>
      <c r="N2992" s="94">
        <f>59000*6</f>
        <v>354000</v>
      </c>
      <c r="O2992" s="94">
        <f>N2992*M2992</f>
        <v>354000</v>
      </c>
      <c r="P2992" s="40" t="s">
        <v>3116</v>
      </c>
      <c r="Q2992" s="40" t="s">
        <v>766</v>
      </c>
      <c r="R2992" s="84">
        <v>231010000</v>
      </c>
      <c r="S2992" s="40">
        <v>50</v>
      </c>
    </row>
    <row r="2993" spans="1:19" s="92" customFormat="1" ht="76.5">
      <c r="A2993" s="5">
        <v>2978</v>
      </c>
      <c r="B2993" s="15" t="s">
        <v>710</v>
      </c>
      <c r="C2993" s="40" t="s">
        <v>3117</v>
      </c>
      <c r="D2993" s="40" t="s">
        <v>532</v>
      </c>
      <c r="E2993" s="31" t="s">
        <v>3133</v>
      </c>
      <c r="F2993" s="31" t="s">
        <v>534</v>
      </c>
      <c r="G2993" s="31" t="s">
        <v>3133</v>
      </c>
      <c r="H2993" s="31" t="s">
        <v>534</v>
      </c>
      <c r="I2993" s="40" t="s">
        <v>3134</v>
      </c>
      <c r="J2993" s="40" t="s">
        <v>3135</v>
      </c>
      <c r="K2993" s="40" t="s">
        <v>591</v>
      </c>
      <c r="L2993" s="11" t="s">
        <v>914</v>
      </c>
      <c r="M2993" s="93">
        <v>1</v>
      </c>
      <c r="N2993" s="94">
        <f>5*30000+85000</f>
        <v>235000</v>
      </c>
      <c r="O2993" s="94">
        <f>N2993*M2993</f>
        <v>235000</v>
      </c>
      <c r="P2993" s="40" t="s">
        <v>3116</v>
      </c>
      <c r="Q2993" s="40" t="s">
        <v>1051</v>
      </c>
      <c r="R2993" s="84">
        <v>231010000</v>
      </c>
      <c r="S2993" s="40">
        <v>50</v>
      </c>
    </row>
    <row r="2994" spans="1:19" s="92" customFormat="1" ht="51">
      <c r="A2994" s="5">
        <v>2979</v>
      </c>
      <c r="B2994" s="15" t="s">
        <v>710</v>
      </c>
      <c r="C2994" s="40" t="s">
        <v>2433</v>
      </c>
      <c r="D2994" s="40" t="s">
        <v>3136</v>
      </c>
      <c r="E2994" s="40" t="s">
        <v>466</v>
      </c>
      <c r="F2994" s="40" t="s">
        <v>25</v>
      </c>
      <c r="G2994" s="40" t="s">
        <v>3212</v>
      </c>
      <c r="H2994" s="40" t="s">
        <v>467</v>
      </c>
      <c r="I2994" s="40" t="s">
        <v>3137</v>
      </c>
      <c r="J2994" s="40" t="s">
        <v>3138</v>
      </c>
      <c r="K2994" s="40" t="s">
        <v>591</v>
      </c>
      <c r="L2994" s="95" t="s">
        <v>644</v>
      </c>
      <c r="M2994" s="93">
        <f>12*5</f>
        <v>60</v>
      </c>
      <c r="N2994" s="94">
        <v>40</v>
      </c>
      <c r="O2994" s="94">
        <f>N2994*M2994</f>
        <v>2400</v>
      </c>
      <c r="P2994" s="40" t="s">
        <v>3139</v>
      </c>
      <c r="Q2994" s="40" t="s">
        <v>766</v>
      </c>
      <c r="R2994" s="84">
        <v>231010000</v>
      </c>
      <c r="S2994" s="40">
        <v>0</v>
      </c>
    </row>
    <row r="2995" spans="1:19" s="92" customFormat="1" ht="51">
      <c r="A2995" s="5">
        <v>2980</v>
      </c>
      <c r="B2995" s="15" t="s">
        <v>710</v>
      </c>
      <c r="C2995" s="40" t="s">
        <v>2433</v>
      </c>
      <c r="D2995" s="40" t="s">
        <v>3140</v>
      </c>
      <c r="E2995" s="40" t="s">
        <v>3141</v>
      </c>
      <c r="F2995" s="40" t="s">
        <v>3142</v>
      </c>
      <c r="G2995" s="40" t="s">
        <v>3213</v>
      </c>
      <c r="H2995" s="40" t="s">
        <v>3214</v>
      </c>
      <c r="I2995" s="40" t="s">
        <v>3143</v>
      </c>
      <c r="J2995" s="40" t="s">
        <v>3144</v>
      </c>
      <c r="K2995" s="40" t="s">
        <v>591</v>
      </c>
      <c r="L2995" s="95" t="s">
        <v>644</v>
      </c>
      <c r="M2995" s="93">
        <f>12*2</f>
        <v>24</v>
      </c>
      <c r="N2995" s="94">
        <v>170</v>
      </c>
      <c r="O2995" s="94">
        <f t="shared" ref="O2995:O3012" si="74">N2995*M2995</f>
        <v>4080</v>
      </c>
      <c r="P2995" s="40" t="s">
        <v>3139</v>
      </c>
      <c r="Q2995" s="40" t="s">
        <v>766</v>
      </c>
      <c r="R2995" s="84">
        <v>231010000</v>
      </c>
      <c r="S2995" s="40">
        <v>0</v>
      </c>
    </row>
    <row r="2996" spans="1:19" s="92" customFormat="1" ht="51">
      <c r="A2996" s="5">
        <v>2981</v>
      </c>
      <c r="B2996" s="15" t="s">
        <v>710</v>
      </c>
      <c r="C2996" s="40" t="s">
        <v>2433</v>
      </c>
      <c r="D2996" s="40" t="s">
        <v>452</v>
      </c>
      <c r="E2996" s="40" t="s">
        <v>453</v>
      </c>
      <c r="F2996" s="40" t="s">
        <v>454</v>
      </c>
      <c r="G2996" s="40" t="s">
        <v>455</v>
      </c>
      <c r="H2996" s="40" t="s">
        <v>456</v>
      </c>
      <c r="I2996" s="40" t="s">
        <v>3145</v>
      </c>
      <c r="J2996" s="40" t="s">
        <v>3146</v>
      </c>
      <c r="K2996" s="40" t="s">
        <v>591</v>
      </c>
      <c r="L2996" s="95" t="s">
        <v>480</v>
      </c>
      <c r="M2996" s="93">
        <f>12*5</f>
        <v>60</v>
      </c>
      <c r="N2996" s="94">
        <v>155</v>
      </c>
      <c r="O2996" s="94">
        <f t="shared" si="74"/>
        <v>9300</v>
      </c>
      <c r="P2996" s="40" t="s">
        <v>3139</v>
      </c>
      <c r="Q2996" s="40" t="s">
        <v>766</v>
      </c>
      <c r="R2996" s="84">
        <v>231010000</v>
      </c>
      <c r="S2996" s="40">
        <v>0</v>
      </c>
    </row>
    <row r="2997" spans="1:19" s="92" customFormat="1" ht="51">
      <c r="A2997" s="5">
        <v>2982</v>
      </c>
      <c r="B2997" s="15" t="s">
        <v>710</v>
      </c>
      <c r="C2997" s="40" t="s">
        <v>2433</v>
      </c>
      <c r="D2997" s="40" t="s">
        <v>452</v>
      </c>
      <c r="E2997" s="40" t="s">
        <v>453</v>
      </c>
      <c r="F2997" s="40" t="s">
        <v>454</v>
      </c>
      <c r="G2997" s="40" t="s">
        <v>455</v>
      </c>
      <c r="H2997" s="40" t="s">
        <v>456</v>
      </c>
      <c r="I2997" s="40" t="s">
        <v>3147</v>
      </c>
      <c r="J2997" s="40" t="s">
        <v>3148</v>
      </c>
      <c r="K2997" s="40" t="s">
        <v>591</v>
      </c>
      <c r="L2997" s="95" t="s">
        <v>480</v>
      </c>
      <c r="M2997" s="93">
        <f>12*5</f>
        <v>60</v>
      </c>
      <c r="N2997" s="94">
        <v>200</v>
      </c>
      <c r="O2997" s="94">
        <f t="shared" si="74"/>
        <v>12000</v>
      </c>
      <c r="P2997" s="40" t="s">
        <v>3139</v>
      </c>
      <c r="Q2997" s="40" t="s">
        <v>766</v>
      </c>
      <c r="R2997" s="84">
        <v>231010000</v>
      </c>
      <c r="S2997" s="40">
        <v>0</v>
      </c>
    </row>
    <row r="2998" spans="1:19" s="92" customFormat="1" ht="51">
      <c r="A2998" s="5">
        <v>2983</v>
      </c>
      <c r="B2998" s="15" t="s">
        <v>710</v>
      </c>
      <c r="C2998" s="40" t="s">
        <v>2433</v>
      </c>
      <c r="D2998" s="40" t="s">
        <v>432</v>
      </c>
      <c r="E2998" s="40" t="s">
        <v>433</v>
      </c>
      <c r="F2998" s="40" t="s">
        <v>434</v>
      </c>
      <c r="G2998" s="40" t="s">
        <v>435</v>
      </c>
      <c r="H2998" s="40" t="s">
        <v>436</v>
      </c>
      <c r="I2998" s="40" t="s">
        <v>3149</v>
      </c>
      <c r="J2998" s="40" t="s">
        <v>3150</v>
      </c>
      <c r="K2998" s="40" t="s">
        <v>591</v>
      </c>
      <c r="L2998" s="95" t="s">
        <v>644</v>
      </c>
      <c r="M2998" s="93">
        <f>12*5</f>
        <v>60</v>
      </c>
      <c r="N2998" s="94">
        <v>250</v>
      </c>
      <c r="O2998" s="94">
        <f t="shared" si="74"/>
        <v>15000</v>
      </c>
      <c r="P2998" s="40" t="s">
        <v>3139</v>
      </c>
      <c r="Q2998" s="40" t="s">
        <v>766</v>
      </c>
      <c r="R2998" s="84">
        <v>231010000</v>
      </c>
      <c r="S2998" s="40">
        <v>0</v>
      </c>
    </row>
    <row r="2999" spans="1:19" s="92" customFormat="1" ht="51">
      <c r="A2999" s="5">
        <v>2984</v>
      </c>
      <c r="B2999" s="15" t="s">
        <v>710</v>
      </c>
      <c r="C2999" s="40" t="s">
        <v>2433</v>
      </c>
      <c r="D2999" s="40" t="s">
        <v>447</v>
      </c>
      <c r="E2999" s="40" t="s">
        <v>24</v>
      </c>
      <c r="F2999" s="40" t="s">
        <v>24</v>
      </c>
      <c r="G2999" s="40" t="s">
        <v>3215</v>
      </c>
      <c r="H2999" s="40" t="s">
        <v>448</v>
      </c>
      <c r="I2999" s="40" t="s">
        <v>3151</v>
      </c>
      <c r="J2999" s="40" t="s">
        <v>3152</v>
      </c>
      <c r="K2999" s="40" t="s">
        <v>591</v>
      </c>
      <c r="L2999" s="95" t="s">
        <v>644</v>
      </c>
      <c r="M2999" s="93">
        <f>12*3</f>
        <v>36</v>
      </c>
      <c r="N2999" s="94">
        <v>250</v>
      </c>
      <c r="O2999" s="94">
        <f t="shared" si="74"/>
        <v>9000</v>
      </c>
      <c r="P2999" s="40" t="s">
        <v>3139</v>
      </c>
      <c r="Q2999" s="40" t="s">
        <v>766</v>
      </c>
      <c r="R2999" s="84">
        <v>231010000</v>
      </c>
      <c r="S2999" s="40">
        <v>0</v>
      </c>
    </row>
    <row r="3000" spans="1:19" s="92" customFormat="1" ht="51">
      <c r="A3000" s="5">
        <v>2985</v>
      </c>
      <c r="B3000" s="15" t="s">
        <v>710</v>
      </c>
      <c r="C3000" s="40" t="s">
        <v>2433</v>
      </c>
      <c r="D3000" s="40" t="s">
        <v>449</v>
      </c>
      <c r="E3000" s="40" t="s">
        <v>450</v>
      </c>
      <c r="F3000" s="40" t="s">
        <v>450</v>
      </c>
      <c r="G3000" s="40" t="s">
        <v>3216</v>
      </c>
      <c r="H3000" s="40" t="s">
        <v>451</v>
      </c>
      <c r="I3000" s="40" t="s">
        <v>3153</v>
      </c>
      <c r="J3000" s="40" t="s">
        <v>3154</v>
      </c>
      <c r="K3000" s="40" t="s">
        <v>591</v>
      </c>
      <c r="L3000" s="95" t="s">
        <v>480</v>
      </c>
      <c r="M3000" s="93">
        <f>12*3</f>
        <v>36</v>
      </c>
      <c r="N3000" s="94">
        <v>250</v>
      </c>
      <c r="O3000" s="94">
        <f t="shared" si="74"/>
        <v>9000</v>
      </c>
      <c r="P3000" s="40" t="s">
        <v>3139</v>
      </c>
      <c r="Q3000" s="40" t="s">
        <v>766</v>
      </c>
      <c r="R3000" s="84">
        <v>231010000</v>
      </c>
      <c r="S3000" s="40">
        <v>0</v>
      </c>
    </row>
    <row r="3001" spans="1:19" s="92" customFormat="1" ht="51">
      <c r="A3001" s="5">
        <v>2986</v>
      </c>
      <c r="B3001" s="15" t="s">
        <v>710</v>
      </c>
      <c r="C3001" s="40" t="s">
        <v>2433</v>
      </c>
      <c r="D3001" s="40" t="s">
        <v>3155</v>
      </c>
      <c r="E3001" s="40" t="s">
        <v>3156</v>
      </c>
      <c r="F3001" s="40" t="s">
        <v>3157</v>
      </c>
      <c r="G3001" s="40" t="s">
        <v>3217</v>
      </c>
      <c r="H3001" s="40" t="s">
        <v>3218</v>
      </c>
      <c r="I3001" s="40" t="s">
        <v>3158</v>
      </c>
      <c r="J3001" s="40" t="s">
        <v>3159</v>
      </c>
      <c r="K3001" s="40" t="s">
        <v>591</v>
      </c>
      <c r="L3001" s="95" t="s">
        <v>644</v>
      </c>
      <c r="M3001" s="93">
        <f>12*2</f>
        <v>24</v>
      </c>
      <c r="N3001" s="94">
        <v>150</v>
      </c>
      <c r="O3001" s="94">
        <f t="shared" si="74"/>
        <v>3600</v>
      </c>
      <c r="P3001" s="40" t="s">
        <v>3139</v>
      </c>
      <c r="Q3001" s="40" t="s">
        <v>766</v>
      </c>
      <c r="R3001" s="84">
        <v>231010000</v>
      </c>
      <c r="S3001" s="40">
        <v>0</v>
      </c>
    </row>
    <row r="3002" spans="1:19" s="92" customFormat="1" ht="51">
      <c r="A3002" s="5">
        <v>2987</v>
      </c>
      <c r="B3002" s="15" t="s">
        <v>710</v>
      </c>
      <c r="C3002" s="40" t="s">
        <v>2433</v>
      </c>
      <c r="D3002" s="40" t="s">
        <v>437</v>
      </c>
      <c r="E3002" s="40" t="s">
        <v>20</v>
      </c>
      <c r="F3002" s="40" t="s">
        <v>20</v>
      </c>
      <c r="G3002" s="40" t="s">
        <v>438</v>
      </c>
      <c r="H3002" s="40" t="s">
        <v>439</v>
      </c>
      <c r="I3002" s="40" t="s">
        <v>3160</v>
      </c>
      <c r="J3002" s="40" t="s">
        <v>3161</v>
      </c>
      <c r="K3002" s="40" t="s">
        <v>591</v>
      </c>
      <c r="L3002" s="95" t="s">
        <v>644</v>
      </c>
      <c r="M3002" s="93">
        <f>12*5</f>
        <v>60</v>
      </c>
      <c r="N3002" s="94">
        <v>100</v>
      </c>
      <c r="O3002" s="94">
        <f t="shared" si="74"/>
        <v>6000</v>
      </c>
      <c r="P3002" s="40" t="s">
        <v>3139</v>
      </c>
      <c r="Q3002" s="40" t="s">
        <v>766</v>
      </c>
      <c r="R3002" s="84">
        <v>231010000</v>
      </c>
      <c r="S3002" s="40">
        <v>0</v>
      </c>
    </row>
    <row r="3003" spans="1:19" s="92" customFormat="1" ht="51">
      <c r="A3003" s="5">
        <v>2988</v>
      </c>
      <c r="B3003" s="15" t="s">
        <v>710</v>
      </c>
      <c r="C3003" s="40" t="s">
        <v>2433</v>
      </c>
      <c r="D3003" s="40" t="s">
        <v>3162</v>
      </c>
      <c r="E3003" s="40" t="s">
        <v>3163</v>
      </c>
      <c r="F3003" s="40" t="s">
        <v>3164</v>
      </c>
      <c r="G3003" s="40" t="s">
        <v>3219</v>
      </c>
      <c r="H3003" s="40" t="s">
        <v>3220</v>
      </c>
      <c r="I3003" s="40" t="s">
        <v>3165</v>
      </c>
      <c r="J3003" s="40" t="s">
        <v>3166</v>
      </c>
      <c r="K3003" s="40" t="s">
        <v>591</v>
      </c>
      <c r="L3003" s="95" t="s">
        <v>480</v>
      </c>
      <c r="M3003" s="93">
        <f>12*5</f>
        <v>60</v>
      </c>
      <c r="N3003" s="94">
        <v>500</v>
      </c>
      <c r="O3003" s="94">
        <f t="shared" si="74"/>
        <v>30000</v>
      </c>
      <c r="P3003" s="40" t="s">
        <v>3139</v>
      </c>
      <c r="Q3003" s="40" t="s">
        <v>766</v>
      </c>
      <c r="R3003" s="84">
        <v>231010000</v>
      </c>
      <c r="S3003" s="40">
        <v>0</v>
      </c>
    </row>
    <row r="3004" spans="1:19" s="92" customFormat="1" ht="51">
      <c r="A3004" s="5">
        <v>2989</v>
      </c>
      <c r="B3004" s="15" t="s">
        <v>710</v>
      </c>
      <c r="C3004" s="40" t="s">
        <v>2433</v>
      </c>
      <c r="D3004" s="40" t="s">
        <v>440</v>
      </c>
      <c r="E3004" s="40" t="s">
        <v>21</v>
      </c>
      <c r="F3004" s="40" t="s">
        <v>21</v>
      </c>
      <c r="G3004" s="40" t="s">
        <v>441</v>
      </c>
      <c r="H3004" s="40" t="s">
        <v>442</v>
      </c>
      <c r="I3004" s="40" t="s">
        <v>3167</v>
      </c>
      <c r="J3004" s="40" t="s">
        <v>3168</v>
      </c>
      <c r="K3004" s="40" t="s">
        <v>591</v>
      </c>
      <c r="L3004" s="95" t="s">
        <v>644</v>
      </c>
      <c r="M3004" s="93">
        <f t="shared" ref="M3004:M3009" si="75">12*1</f>
        <v>12</v>
      </c>
      <c r="N3004" s="94">
        <v>1500</v>
      </c>
      <c r="O3004" s="94">
        <f t="shared" si="74"/>
        <v>18000</v>
      </c>
      <c r="P3004" s="40" t="s">
        <v>3139</v>
      </c>
      <c r="Q3004" s="40" t="s">
        <v>766</v>
      </c>
      <c r="R3004" s="84">
        <v>231010000</v>
      </c>
      <c r="S3004" s="40">
        <v>0</v>
      </c>
    </row>
    <row r="3005" spans="1:19" s="92" customFormat="1" ht="127.5">
      <c r="A3005" s="5">
        <v>2990</v>
      </c>
      <c r="B3005" s="15" t="s">
        <v>710</v>
      </c>
      <c r="C3005" s="40" t="s">
        <v>2433</v>
      </c>
      <c r="D3005" s="40" t="s">
        <v>470</v>
      </c>
      <c r="E3005" s="40" t="s">
        <v>27</v>
      </c>
      <c r="F3005" s="40" t="s">
        <v>27</v>
      </c>
      <c r="G3005" s="40" t="s">
        <v>471</v>
      </c>
      <c r="H3005" s="40" t="s">
        <v>472</v>
      </c>
      <c r="I3005" s="40" t="s">
        <v>3169</v>
      </c>
      <c r="J3005" s="40" t="s">
        <v>3170</v>
      </c>
      <c r="K3005" s="40" t="s">
        <v>591</v>
      </c>
      <c r="L3005" s="95" t="s">
        <v>644</v>
      </c>
      <c r="M3005" s="93">
        <f t="shared" si="75"/>
        <v>12</v>
      </c>
      <c r="N3005" s="94">
        <v>3500</v>
      </c>
      <c r="O3005" s="94">
        <f t="shared" si="74"/>
        <v>42000</v>
      </c>
      <c r="P3005" s="40" t="s">
        <v>3139</v>
      </c>
      <c r="Q3005" s="40" t="s">
        <v>766</v>
      </c>
      <c r="R3005" s="84">
        <v>231010000</v>
      </c>
      <c r="S3005" s="40">
        <v>0</v>
      </c>
    </row>
    <row r="3006" spans="1:19" s="92" customFormat="1" ht="76.5">
      <c r="A3006" s="5">
        <v>2991</v>
      </c>
      <c r="B3006" s="15" t="s">
        <v>710</v>
      </c>
      <c r="C3006" s="40" t="s">
        <v>2433</v>
      </c>
      <c r="D3006" s="40" t="s">
        <v>3171</v>
      </c>
      <c r="E3006" s="40" t="s">
        <v>3172</v>
      </c>
      <c r="F3006" s="40" t="s">
        <v>3172</v>
      </c>
      <c r="G3006" s="40" t="s">
        <v>3173</v>
      </c>
      <c r="H3006" s="40" t="s">
        <v>3174</v>
      </c>
      <c r="I3006" s="40" t="s">
        <v>3175</v>
      </c>
      <c r="J3006" s="40" t="s">
        <v>3176</v>
      </c>
      <c r="K3006" s="40" t="s">
        <v>591</v>
      </c>
      <c r="L3006" s="95" t="s">
        <v>644</v>
      </c>
      <c r="M3006" s="93">
        <f t="shared" si="75"/>
        <v>12</v>
      </c>
      <c r="N3006" s="94">
        <v>150</v>
      </c>
      <c r="O3006" s="94">
        <f t="shared" si="74"/>
        <v>1800</v>
      </c>
      <c r="P3006" s="40" t="s">
        <v>3139</v>
      </c>
      <c r="Q3006" s="40" t="s">
        <v>766</v>
      </c>
      <c r="R3006" s="84">
        <v>231010000</v>
      </c>
      <c r="S3006" s="40">
        <v>0</v>
      </c>
    </row>
    <row r="3007" spans="1:19" s="92" customFormat="1" ht="51">
      <c r="A3007" s="5">
        <v>2992</v>
      </c>
      <c r="B3007" s="15" t="s">
        <v>710</v>
      </c>
      <c r="C3007" s="40" t="s">
        <v>2433</v>
      </c>
      <c r="D3007" s="40" t="s">
        <v>457</v>
      </c>
      <c r="E3007" s="40" t="s">
        <v>17</v>
      </c>
      <c r="F3007" s="40" t="s">
        <v>17</v>
      </c>
      <c r="G3007" s="40" t="s">
        <v>3177</v>
      </c>
      <c r="H3007" s="40" t="s">
        <v>458</v>
      </c>
      <c r="I3007" s="40" t="s">
        <v>3178</v>
      </c>
      <c r="J3007" s="40" t="s">
        <v>3179</v>
      </c>
      <c r="K3007" s="40" t="s">
        <v>591</v>
      </c>
      <c r="L3007" s="95" t="s">
        <v>644</v>
      </c>
      <c r="M3007" s="93">
        <f t="shared" si="75"/>
        <v>12</v>
      </c>
      <c r="N3007" s="94">
        <v>600</v>
      </c>
      <c r="O3007" s="94">
        <f t="shared" si="74"/>
        <v>7200</v>
      </c>
      <c r="P3007" s="40" t="s">
        <v>3139</v>
      </c>
      <c r="Q3007" s="40" t="s">
        <v>766</v>
      </c>
      <c r="R3007" s="84">
        <v>231010000</v>
      </c>
      <c r="S3007" s="40">
        <v>0</v>
      </c>
    </row>
    <row r="3008" spans="1:19" s="92" customFormat="1" ht="51">
      <c r="A3008" s="5">
        <v>2993</v>
      </c>
      <c r="B3008" s="15" t="s">
        <v>710</v>
      </c>
      <c r="C3008" s="40" t="s">
        <v>2433</v>
      </c>
      <c r="D3008" s="40" t="s">
        <v>457</v>
      </c>
      <c r="E3008" s="40" t="s">
        <v>17</v>
      </c>
      <c r="F3008" s="40" t="s">
        <v>17</v>
      </c>
      <c r="G3008" s="40" t="s">
        <v>3177</v>
      </c>
      <c r="H3008" s="40" t="s">
        <v>458</v>
      </c>
      <c r="I3008" s="40" t="s">
        <v>3180</v>
      </c>
      <c r="J3008" s="40" t="s">
        <v>3181</v>
      </c>
      <c r="K3008" s="40" t="s">
        <v>591</v>
      </c>
      <c r="L3008" s="95" t="s">
        <v>644</v>
      </c>
      <c r="M3008" s="93">
        <f t="shared" si="75"/>
        <v>12</v>
      </c>
      <c r="N3008" s="94">
        <v>800</v>
      </c>
      <c r="O3008" s="94">
        <f t="shared" si="74"/>
        <v>9600</v>
      </c>
      <c r="P3008" s="40" t="s">
        <v>3139</v>
      </c>
      <c r="Q3008" s="40" t="s">
        <v>766</v>
      </c>
      <c r="R3008" s="84">
        <v>231010000</v>
      </c>
      <c r="S3008" s="40">
        <v>0</v>
      </c>
    </row>
    <row r="3009" spans="1:19" s="92" customFormat="1" ht="51">
      <c r="A3009" s="5">
        <v>2994</v>
      </c>
      <c r="B3009" s="15" t="s">
        <v>710</v>
      </c>
      <c r="C3009" s="40" t="s">
        <v>2433</v>
      </c>
      <c r="D3009" s="40" t="s">
        <v>476</v>
      </c>
      <c r="E3009" s="40" t="s">
        <v>477</v>
      </c>
      <c r="F3009" s="40" t="s">
        <v>28</v>
      </c>
      <c r="G3009" s="40" t="s">
        <v>478</v>
      </c>
      <c r="H3009" s="40" t="s">
        <v>479</v>
      </c>
      <c r="I3009" s="40" t="s">
        <v>3182</v>
      </c>
      <c r="J3009" s="40" t="s">
        <v>3183</v>
      </c>
      <c r="K3009" s="40" t="s">
        <v>591</v>
      </c>
      <c r="L3009" s="95" t="s">
        <v>644</v>
      </c>
      <c r="M3009" s="93">
        <f t="shared" si="75"/>
        <v>12</v>
      </c>
      <c r="N3009" s="94">
        <v>1500</v>
      </c>
      <c r="O3009" s="94">
        <f t="shared" si="74"/>
        <v>18000</v>
      </c>
      <c r="P3009" s="40" t="s">
        <v>3139</v>
      </c>
      <c r="Q3009" s="40" t="s">
        <v>766</v>
      </c>
      <c r="R3009" s="84">
        <v>231010000</v>
      </c>
      <c r="S3009" s="40">
        <v>0</v>
      </c>
    </row>
    <row r="3010" spans="1:19" s="92" customFormat="1" ht="51">
      <c r="A3010" s="5">
        <v>2995</v>
      </c>
      <c r="B3010" s="15" t="s">
        <v>710</v>
      </c>
      <c r="C3010" s="40" t="s">
        <v>2433</v>
      </c>
      <c r="D3010" s="40" t="s">
        <v>468</v>
      </c>
      <c r="E3010" s="40" t="s">
        <v>3184</v>
      </c>
      <c r="F3010" s="40" t="s">
        <v>26</v>
      </c>
      <c r="G3010" s="40" t="s">
        <v>3185</v>
      </c>
      <c r="H3010" s="40" t="s">
        <v>469</v>
      </c>
      <c r="I3010" s="40" t="s">
        <v>3186</v>
      </c>
      <c r="J3010" s="40" t="s">
        <v>3187</v>
      </c>
      <c r="K3010" s="40" t="s">
        <v>591</v>
      </c>
      <c r="L3010" s="95" t="s">
        <v>644</v>
      </c>
      <c r="M3010" s="93">
        <f>12*5</f>
        <v>60</v>
      </c>
      <c r="N3010" s="94">
        <v>250</v>
      </c>
      <c r="O3010" s="94">
        <f t="shared" si="74"/>
        <v>15000</v>
      </c>
      <c r="P3010" s="40" t="s">
        <v>3139</v>
      </c>
      <c r="Q3010" s="40" t="s">
        <v>766</v>
      </c>
      <c r="R3010" s="84">
        <v>231010000</v>
      </c>
      <c r="S3010" s="40">
        <v>0</v>
      </c>
    </row>
    <row r="3011" spans="1:19" s="92" customFormat="1" ht="51">
      <c r="A3011" s="5">
        <v>2996</v>
      </c>
      <c r="B3011" s="15" t="s">
        <v>710</v>
      </c>
      <c r="C3011" s="40" t="s">
        <v>2433</v>
      </c>
      <c r="D3011" s="40" t="s">
        <v>443</v>
      </c>
      <c r="E3011" s="40" t="s">
        <v>444</v>
      </c>
      <c r="F3011" s="40" t="s">
        <v>444</v>
      </c>
      <c r="G3011" s="40" t="s">
        <v>445</v>
      </c>
      <c r="H3011" s="40" t="s">
        <v>446</v>
      </c>
      <c r="I3011" s="40" t="s">
        <v>3188</v>
      </c>
      <c r="J3011" s="40" t="s">
        <v>3189</v>
      </c>
      <c r="K3011" s="40" t="s">
        <v>591</v>
      </c>
      <c r="L3011" s="95" t="s">
        <v>644</v>
      </c>
      <c r="M3011" s="93">
        <f>12*5</f>
        <v>60</v>
      </c>
      <c r="N3011" s="94">
        <v>500</v>
      </c>
      <c r="O3011" s="94">
        <f t="shared" si="74"/>
        <v>30000</v>
      </c>
      <c r="P3011" s="40" t="s">
        <v>3139</v>
      </c>
      <c r="Q3011" s="40" t="s">
        <v>766</v>
      </c>
      <c r="R3011" s="84">
        <v>231010000</v>
      </c>
      <c r="S3011" s="40">
        <v>0</v>
      </c>
    </row>
    <row r="3012" spans="1:19" s="92" customFormat="1" ht="51">
      <c r="A3012" s="5">
        <v>2997</v>
      </c>
      <c r="B3012" s="15" t="s">
        <v>710</v>
      </c>
      <c r="C3012" s="40" t="s">
        <v>711</v>
      </c>
      <c r="D3012" s="40" t="s">
        <v>3190</v>
      </c>
      <c r="E3012" s="31" t="s">
        <v>3191</v>
      </c>
      <c r="F3012" s="31" t="s">
        <v>3192</v>
      </c>
      <c r="G3012" s="40" t="s">
        <v>3264</v>
      </c>
      <c r="H3012" s="40" t="s">
        <v>3264</v>
      </c>
      <c r="I3012" s="31" t="s">
        <v>3193</v>
      </c>
      <c r="J3012" s="31" t="s">
        <v>3194</v>
      </c>
      <c r="K3012" s="40" t="s">
        <v>591</v>
      </c>
      <c r="L3012" s="95" t="s">
        <v>644</v>
      </c>
      <c r="M3012" s="93">
        <f>12*1</f>
        <v>12</v>
      </c>
      <c r="N3012" s="94">
        <v>1200</v>
      </c>
      <c r="O3012" s="94">
        <f t="shared" si="74"/>
        <v>14400</v>
      </c>
      <c r="P3012" s="40" t="s">
        <v>3139</v>
      </c>
      <c r="Q3012" s="40" t="s">
        <v>766</v>
      </c>
      <c r="R3012" s="84">
        <v>231010000</v>
      </c>
      <c r="S3012" s="40">
        <v>0</v>
      </c>
    </row>
    <row r="3013" spans="1:19" s="92" customFormat="1" ht="89.25">
      <c r="A3013" s="5">
        <v>2998</v>
      </c>
      <c r="B3013" s="15" t="s">
        <v>710</v>
      </c>
      <c r="C3013" s="40" t="s">
        <v>597</v>
      </c>
      <c r="D3013" s="40" t="s">
        <v>598</v>
      </c>
      <c r="E3013" s="31" t="s">
        <v>599</v>
      </c>
      <c r="F3013" s="31" t="s">
        <v>782</v>
      </c>
      <c r="G3013" s="31" t="s">
        <v>3195</v>
      </c>
      <c r="H3013" s="40" t="s">
        <v>602</v>
      </c>
      <c r="I3013" s="40" t="s">
        <v>3196</v>
      </c>
      <c r="J3013" s="40" t="s">
        <v>3197</v>
      </c>
      <c r="K3013" s="40" t="s">
        <v>591</v>
      </c>
      <c r="L3013" s="11" t="s">
        <v>914</v>
      </c>
      <c r="M3013" s="93">
        <v>1</v>
      </c>
      <c r="N3013" s="94">
        <v>624400</v>
      </c>
      <c r="O3013" s="94">
        <v>624400</v>
      </c>
      <c r="P3013" s="40" t="s">
        <v>502</v>
      </c>
      <c r="Q3013" s="40" t="s">
        <v>766</v>
      </c>
      <c r="R3013" s="84">
        <v>234030100</v>
      </c>
      <c r="S3013" s="40">
        <v>0</v>
      </c>
    </row>
    <row r="3014" spans="1:19" s="92" customFormat="1" ht="89.25">
      <c r="A3014" s="5">
        <v>2999</v>
      </c>
      <c r="B3014" s="15" t="s">
        <v>710</v>
      </c>
      <c r="C3014" s="40" t="s">
        <v>597</v>
      </c>
      <c r="D3014" s="40" t="s">
        <v>598</v>
      </c>
      <c r="E3014" s="31" t="s">
        <v>599</v>
      </c>
      <c r="F3014" s="31" t="s">
        <v>782</v>
      </c>
      <c r="G3014" s="31" t="s">
        <v>3195</v>
      </c>
      <c r="H3014" s="40" t="s">
        <v>602</v>
      </c>
      <c r="I3014" s="40" t="s">
        <v>3196</v>
      </c>
      <c r="J3014" s="40" t="s">
        <v>3197</v>
      </c>
      <c r="K3014" s="40" t="s">
        <v>591</v>
      </c>
      <c r="L3014" s="11" t="s">
        <v>914</v>
      </c>
      <c r="M3014" s="93">
        <v>1</v>
      </c>
      <c r="N3014" s="94">
        <v>624400</v>
      </c>
      <c r="O3014" s="94">
        <v>624400</v>
      </c>
      <c r="P3014" s="40" t="s">
        <v>502</v>
      </c>
      <c r="Q3014" s="40" t="s">
        <v>766</v>
      </c>
      <c r="R3014" s="84">
        <v>234030100</v>
      </c>
      <c r="S3014" s="40">
        <v>0</v>
      </c>
    </row>
    <row r="3015" spans="1:19" s="92" customFormat="1" ht="51">
      <c r="A3015" s="5">
        <v>3000</v>
      </c>
      <c r="B3015" s="15" t="s">
        <v>710</v>
      </c>
      <c r="C3015" s="40" t="s">
        <v>597</v>
      </c>
      <c r="D3015" s="11" t="s">
        <v>850</v>
      </c>
      <c r="E3015" s="76" t="s">
        <v>1736</v>
      </c>
      <c r="F3015" s="76" t="s">
        <v>851</v>
      </c>
      <c r="G3015" s="76" t="s">
        <v>1737</v>
      </c>
      <c r="H3015" s="76" t="s">
        <v>852</v>
      </c>
      <c r="I3015" s="76" t="s">
        <v>3199</v>
      </c>
      <c r="J3015" s="76" t="s">
        <v>3200</v>
      </c>
      <c r="K3015" s="40" t="s">
        <v>591</v>
      </c>
      <c r="L3015" s="11" t="s">
        <v>914</v>
      </c>
      <c r="M3015" s="97">
        <v>1</v>
      </c>
      <c r="N3015" s="94">
        <f>10000*5</f>
        <v>50000</v>
      </c>
      <c r="O3015" s="94">
        <f>N3015</f>
        <v>50000</v>
      </c>
      <c r="P3015" s="40" t="s">
        <v>698</v>
      </c>
      <c r="Q3015" s="40" t="s">
        <v>766</v>
      </c>
      <c r="R3015" s="84">
        <v>234030100</v>
      </c>
      <c r="S3015" s="40">
        <v>0</v>
      </c>
    </row>
    <row r="3016" spans="1:19" s="92" customFormat="1" ht="51">
      <c r="A3016" s="5">
        <v>3001</v>
      </c>
      <c r="B3016" s="15" t="s">
        <v>710</v>
      </c>
      <c r="C3016" s="40" t="s">
        <v>597</v>
      </c>
      <c r="D3016" s="40" t="s">
        <v>2594</v>
      </c>
      <c r="E3016" s="31" t="s">
        <v>2618</v>
      </c>
      <c r="F3016" s="31" t="s">
        <v>2595</v>
      </c>
      <c r="G3016" s="31" t="s">
        <v>2618</v>
      </c>
      <c r="H3016" s="40" t="s">
        <v>2595</v>
      </c>
      <c r="I3016" s="40" t="s">
        <v>3201</v>
      </c>
      <c r="J3016" s="40" t="s">
        <v>3202</v>
      </c>
      <c r="K3016" s="40" t="s">
        <v>591</v>
      </c>
      <c r="L3016" s="11" t="s">
        <v>914</v>
      </c>
      <c r="M3016" s="93">
        <v>1</v>
      </c>
      <c r="N3016" s="94">
        <f>10500*3</f>
        <v>31500</v>
      </c>
      <c r="O3016" s="94">
        <f>N3016</f>
        <v>31500</v>
      </c>
      <c r="P3016" s="40" t="s">
        <v>3116</v>
      </c>
      <c r="Q3016" s="40" t="s">
        <v>766</v>
      </c>
      <c r="R3016" s="84">
        <v>234030100</v>
      </c>
      <c r="S3016" s="40">
        <v>30</v>
      </c>
    </row>
    <row r="3017" spans="1:19" s="92" customFormat="1" ht="89.25">
      <c r="A3017" s="5">
        <v>3002</v>
      </c>
      <c r="B3017" s="15" t="s">
        <v>710</v>
      </c>
      <c r="C3017" s="40" t="s">
        <v>711</v>
      </c>
      <c r="D3017" s="40" t="s">
        <v>976</v>
      </c>
      <c r="E3017" s="31" t="s">
        <v>730</v>
      </c>
      <c r="F3017" s="31" t="s">
        <v>731</v>
      </c>
      <c r="G3017" s="31" t="s">
        <v>977</v>
      </c>
      <c r="H3017" s="40" t="s">
        <v>978</v>
      </c>
      <c r="I3017" s="40" t="s">
        <v>3203</v>
      </c>
      <c r="J3017" s="40" t="s">
        <v>3204</v>
      </c>
      <c r="K3017" s="40" t="s">
        <v>591</v>
      </c>
      <c r="L3017" s="40" t="s">
        <v>644</v>
      </c>
      <c r="M3017" s="93">
        <v>2</v>
      </c>
      <c r="N3017" s="94">
        <v>26800</v>
      </c>
      <c r="O3017" s="94">
        <f>N3017*M3017</f>
        <v>53600</v>
      </c>
      <c r="P3017" s="40" t="s">
        <v>3116</v>
      </c>
      <c r="Q3017" s="40" t="s">
        <v>1051</v>
      </c>
      <c r="R3017" s="84">
        <v>234030100</v>
      </c>
      <c r="S3017" s="40">
        <v>100</v>
      </c>
    </row>
    <row r="3018" spans="1:19" s="92" customFormat="1" ht="63.75">
      <c r="A3018" s="5">
        <v>3003</v>
      </c>
      <c r="B3018" s="15" t="s">
        <v>710</v>
      </c>
      <c r="C3018" s="40" t="s">
        <v>711</v>
      </c>
      <c r="D3018" s="40" t="s">
        <v>744</v>
      </c>
      <c r="E3018" s="31" t="s">
        <v>745</v>
      </c>
      <c r="F3018" s="31" t="s">
        <v>109</v>
      </c>
      <c r="G3018" s="31" t="s">
        <v>746</v>
      </c>
      <c r="H3018" s="40" t="s">
        <v>3205</v>
      </c>
      <c r="I3018" s="40" t="s">
        <v>3206</v>
      </c>
      <c r="J3018" s="40" t="s">
        <v>3207</v>
      </c>
      <c r="K3018" s="40" t="s">
        <v>591</v>
      </c>
      <c r="L3018" s="40" t="s">
        <v>644</v>
      </c>
      <c r="M3018" s="93">
        <v>6</v>
      </c>
      <c r="N3018" s="94">
        <v>4000</v>
      </c>
      <c r="O3018" s="94">
        <f>M3018*N3018</f>
        <v>24000</v>
      </c>
      <c r="P3018" s="40" t="s">
        <v>3116</v>
      </c>
      <c r="Q3018" s="40" t="s">
        <v>1051</v>
      </c>
      <c r="R3018" s="84">
        <v>234030100</v>
      </c>
      <c r="S3018" s="40">
        <v>100</v>
      </c>
    </row>
    <row r="3019" spans="1:19" s="92" customFormat="1" ht="51">
      <c r="A3019" s="5">
        <v>3004</v>
      </c>
      <c r="B3019" s="15" t="s">
        <v>710</v>
      </c>
      <c r="C3019" s="40" t="s">
        <v>711</v>
      </c>
      <c r="D3019" s="98" t="s">
        <v>422</v>
      </c>
      <c r="E3019" s="76" t="s">
        <v>423</v>
      </c>
      <c r="F3019" s="76" t="s">
        <v>427</v>
      </c>
      <c r="G3019" s="76" t="s">
        <v>837</v>
      </c>
      <c r="H3019" s="76" t="s">
        <v>425</v>
      </c>
      <c r="I3019" s="76" t="s">
        <v>3208</v>
      </c>
      <c r="J3019" s="76" t="s">
        <v>3209</v>
      </c>
      <c r="K3019" s="76" t="s">
        <v>591</v>
      </c>
      <c r="L3019" s="11" t="s">
        <v>909</v>
      </c>
      <c r="M3019" s="53">
        <v>18</v>
      </c>
      <c r="N3019" s="94">
        <v>640</v>
      </c>
      <c r="O3019" s="94">
        <f>N3019*M3019</f>
        <v>11520</v>
      </c>
      <c r="P3019" s="40" t="s">
        <v>3116</v>
      </c>
      <c r="Q3019" s="40" t="s">
        <v>766</v>
      </c>
      <c r="R3019" s="84">
        <v>234030100</v>
      </c>
      <c r="S3019" s="40">
        <v>100</v>
      </c>
    </row>
    <row r="3020" spans="1:19" s="92" customFormat="1" ht="76.5">
      <c r="A3020" s="5">
        <v>3005</v>
      </c>
      <c r="B3020" s="15" t="s">
        <v>710</v>
      </c>
      <c r="C3020" s="40" t="s">
        <v>711</v>
      </c>
      <c r="D3020" s="40" t="s">
        <v>723</v>
      </c>
      <c r="E3020" s="31" t="s">
        <v>874</v>
      </c>
      <c r="F3020" s="31" t="s">
        <v>874</v>
      </c>
      <c r="G3020" s="31" t="s">
        <v>875</v>
      </c>
      <c r="H3020" s="40" t="s">
        <v>876</v>
      </c>
      <c r="I3020" s="40" t="s">
        <v>3210</v>
      </c>
      <c r="J3020" s="40" t="s">
        <v>3211</v>
      </c>
      <c r="K3020" s="40" t="s">
        <v>591</v>
      </c>
      <c r="L3020" s="40" t="s">
        <v>644</v>
      </c>
      <c r="M3020" s="93">
        <v>1</v>
      </c>
      <c r="N3020" s="94">
        <v>30000</v>
      </c>
      <c r="O3020" s="94">
        <f>N3020*M3020</f>
        <v>30000</v>
      </c>
      <c r="P3020" s="40" t="s">
        <v>3116</v>
      </c>
      <c r="Q3020" s="40" t="s">
        <v>1051</v>
      </c>
      <c r="R3020" s="84">
        <v>234030100</v>
      </c>
      <c r="S3020" s="40">
        <v>100</v>
      </c>
    </row>
    <row r="3021" spans="1:19" s="92" customFormat="1" ht="89.25">
      <c r="A3021" s="5">
        <v>3006</v>
      </c>
      <c r="B3021" s="15" t="s">
        <v>710</v>
      </c>
      <c r="C3021" s="40" t="s">
        <v>597</v>
      </c>
      <c r="D3021" s="40" t="s">
        <v>598</v>
      </c>
      <c r="E3021" s="31" t="s">
        <v>599</v>
      </c>
      <c r="F3021" s="31" t="s">
        <v>782</v>
      </c>
      <c r="G3021" s="31" t="s">
        <v>3195</v>
      </c>
      <c r="H3021" s="40" t="s">
        <v>602</v>
      </c>
      <c r="I3021" s="40" t="s">
        <v>3196</v>
      </c>
      <c r="J3021" s="40" t="s">
        <v>3197</v>
      </c>
      <c r="K3021" s="40" t="s">
        <v>591</v>
      </c>
      <c r="L3021" s="11" t="s">
        <v>914</v>
      </c>
      <c r="M3021" s="93">
        <v>1</v>
      </c>
      <c r="N3021" s="94">
        <v>624400</v>
      </c>
      <c r="O3021" s="94">
        <v>624400</v>
      </c>
      <c r="P3021" s="40" t="s">
        <v>502</v>
      </c>
      <c r="Q3021" s="40" t="s">
        <v>766</v>
      </c>
      <c r="R3021" s="84">
        <v>234230100</v>
      </c>
      <c r="S3021" s="40">
        <v>0</v>
      </c>
    </row>
    <row r="3022" spans="1:19" s="92" customFormat="1" ht="89.25">
      <c r="A3022" s="5">
        <v>3007</v>
      </c>
      <c r="B3022" s="15" t="s">
        <v>710</v>
      </c>
      <c r="C3022" s="40" t="s">
        <v>597</v>
      </c>
      <c r="D3022" s="40" t="s">
        <v>598</v>
      </c>
      <c r="E3022" s="31" t="s">
        <v>599</v>
      </c>
      <c r="F3022" s="31" t="s">
        <v>782</v>
      </c>
      <c r="G3022" s="31" t="s">
        <v>3195</v>
      </c>
      <c r="H3022" s="40" t="s">
        <v>602</v>
      </c>
      <c r="I3022" s="40" t="s">
        <v>3196</v>
      </c>
      <c r="J3022" s="40" t="s">
        <v>3197</v>
      </c>
      <c r="K3022" s="40" t="s">
        <v>591</v>
      </c>
      <c r="L3022" s="11" t="s">
        <v>914</v>
      </c>
      <c r="M3022" s="93">
        <v>1</v>
      </c>
      <c r="N3022" s="94">
        <v>624400</v>
      </c>
      <c r="O3022" s="94">
        <v>624400</v>
      </c>
      <c r="P3022" s="40" t="s">
        <v>502</v>
      </c>
      <c r="Q3022" s="40" t="s">
        <v>766</v>
      </c>
      <c r="R3022" s="84">
        <v>234230100</v>
      </c>
      <c r="S3022" s="40">
        <v>0</v>
      </c>
    </row>
    <row r="3023" spans="1:19" s="92" customFormat="1" ht="51">
      <c r="A3023" s="5">
        <v>3008</v>
      </c>
      <c r="B3023" s="15" t="s">
        <v>710</v>
      </c>
      <c r="C3023" s="40" t="s">
        <v>597</v>
      </c>
      <c r="D3023" s="11" t="s">
        <v>850</v>
      </c>
      <c r="E3023" s="76" t="s">
        <v>1736</v>
      </c>
      <c r="F3023" s="76" t="s">
        <v>851</v>
      </c>
      <c r="G3023" s="76" t="s">
        <v>1737</v>
      </c>
      <c r="H3023" s="76" t="s">
        <v>852</v>
      </c>
      <c r="I3023" s="76" t="s">
        <v>3199</v>
      </c>
      <c r="J3023" s="76" t="s">
        <v>3200</v>
      </c>
      <c r="K3023" s="40" t="s">
        <v>591</v>
      </c>
      <c r="L3023" s="11" t="s">
        <v>914</v>
      </c>
      <c r="M3023" s="97">
        <v>1</v>
      </c>
      <c r="N3023" s="94">
        <f>10000*5</f>
        <v>50000</v>
      </c>
      <c r="O3023" s="94">
        <f>N3023</f>
        <v>50000</v>
      </c>
      <c r="P3023" s="40" t="s">
        <v>698</v>
      </c>
      <c r="Q3023" s="40" t="s">
        <v>766</v>
      </c>
      <c r="R3023" s="84">
        <v>234230100</v>
      </c>
      <c r="S3023" s="40">
        <v>0</v>
      </c>
    </row>
    <row r="3024" spans="1:19" s="92" customFormat="1" ht="51">
      <c r="A3024" s="5">
        <v>3009</v>
      </c>
      <c r="B3024" s="15" t="s">
        <v>710</v>
      </c>
      <c r="C3024" s="40" t="s">
        <v>597</v>
      </c>
      <c r="D3024" s="40" t="s">
        <v>2594</v>
      </c>
      <c r="E3024" s="31" t="s">
        <v>2618</v>
      </c>
      <c r="F3024" s="31" t="s">
        <v>2595</v>
      </c>
      <c r="G3024" s="31" t="s">
        <v>2618</v>
      </c>
      <c r="H3024" s="40" t="s">
        <v>2595</v>
      </c>
      <c r="I3024" s="40" t="s">
        <v>3201</v>
      </c>
      <c r="J3024" s="40" t="s">
        <v>3202</v>
      </c>
      <c r="K3024" s="40" t="s">
        <v>591</v>
      </c>
      <c r="L3024" s="11" t="s">
        <v>914</v>
      </c>
      <c r="M3024" s="93">
        <v>1</v>
      </c>
      <c r="N3024" s="94">
        <f>10500*3</f>
        <v>31500</v>
      </c>
      <c r="O3024" s="94">
        <f>N3024</f>
        <v>31500</v>
      </c>
      <c r="P3024" s="40" t="s">
        <v>3116</v>
      </c>
      <c r="Q3024" s="40" t="s">
        <v>766</v>
      </c>
      <c r="R3024" s="84">
        <v>234230100</v>
      </c>
      <c r="S3024" s="40">
        <v>30</v>
      </c>
    </row>
    <row r="3025" spans="1:19" s="92" customFormat="1" ht="89.25">
      <c r="A3025" s="5">
        <v>3010</v>
      </c>
      <c r="B3025" s="15" t="s">
        <v>710</v>
      </c>
      <c r="C3025" s="40" t="s">
        <v>711</v>
      </c>
      <c r="D3025" s="40" t="s">
        <v>976</v>
      </c>
      <c r="E3025" s="31" t="s">
        <v>730</v>
      </c>
      <c r="F3025" s="31" t="s">
        <v>731</v>
      </c>
      <c r="G3025" s="31" t="s">
        <v>977</v>
      </c>
      <c r="H3025" s="40" t="s">
        <v>978</v>
      </c>
      <c r="I3025" s="40" t="s">
        <v>3203</v>
      </c>
      <c r="J3025" s="40" t="s">
        <v>3204</v>
      </c>
      <c r="K3025" s="40" t="s">
        <v>591</v>
      </c>
      <c r="L3025" s="40" t="s">
        <v>644</v>
      </c>
      <c r="M3025" s="93">
        <v>2</v>
      </c>
      <c r="N3025" s="94">
        <v>26800</v>
      </c>
      <c r="O3025" s="94">
        <f>N3025*M3025</f>
        <v>53600</v>
      </c>
      <c r="P3025" s="40" t="s">
        <v>3116</v>
      </c>
      <c r="Q3025" s="40" t="s">
        <v>1051</v>
      </c>
      <c r="R3025" s="84">
        <v>234230100</v>
      </c>
      <c r="S3025" s="40">
        <v>100</v>
      </c>
    </row>
    <row r="3026" spans="1:19" s="92" customFormat="1" ht="63.75">
      <c r="A3026" s="5">
        <v>3011</v>
      </c>
      <c r="B3026" s="15" t="s">
        <v>710</v>
      </c>
      <c r="C3026" s="40" t="s">
        <v>711</v>
      </c>
      <c r="D3026" s="40" t="s">
        <v>744</v>
      </c>
      <c r="E3026" s="31" t="s">
        <v>745</v>
      </c>
      <c r="F3026" s="31" t="s">
        <v>109</v>
      </c>
      <c r="G3026" s="31" t="s">
        <v>746</v>
      </c>
      <c r="H3026" s="40" t="s">
        <v>3205</v>
      </c>
      <c r="I3026" s="40" t="s">
        <v>3206</v>
      </c>
      <c r="J3026" s="40" t="s">
        <v>3207</v>
      </c>
      <c r="K3026" s="40" t="s">
        <v>591</v>
      </c>
      <c r="L3026" s="40" t="s">
        <v>644</v>
      </c>
      <c r="M3026" s="93">
        <v>6</v>
      </c>
      <c r="N3026" s="94">
        <v>4000</v>
      </c>
      <c r="O3026" s="94">
        <f>M3026*N3026</f>
        <v>24000</v>
      </c>
      <c r="P3026" s="40" t="s">
        <v>3116</v>
      </c>
      <c r="Q3026" s="40" t="s">
        <v>1051</v>
      </c>
      <c r="R3026" s="84">
        <v>234230100</v>
      </c>
      <c r="S3026" s="40">
        <v>100</v>
      </c>
    </row>
    <row r="3027" spans="1:19" s="92" customFormat="1" ht="51">
      <c r="A3027" s="5">
        <v>3012</v>
      </c>
      <c r="B3027" s="15" t="s">
        <v>710</v>
      </c>
      <c r="C3027" s="40" t="s">
        <v>711</v>
      </c>
      <c r="D3027" s="98" t="s">
        <v>422</v>
      </c>
      <c r="E3027" s="76" t="s">
        <v>423</v>
      </c>
      <c r="F3027" s="76" t="s">
        <v>427</v>
      </c>
      <c r="G3027" s="76" t="s">
        <v>837</v>
      </c>
      <c r="H3027" s="76" t="s">
        <v>425</v>
      </c>
      <c r="I3027" s="76" t="s">
        <v>3208</v>
      </c>
      <c r="J3027" s="76" t="s">
        <v>3209</v>
      </c>
      <c r="K3027" s="76" t="s">
        <v>591</v>
      </c>
      <c r="L3027" s="11" t="s">
        <v>909</v>
      </c>
      <c r="M3027" s="53">
        <v>18</v>
      </c>
      <c r="N3027" s="94">
        <v>640</v>
      </c>
      <c r="O3027" s="94">
        <f>N3027*M3027</f>
        <v>11520</v>
      </c>
      <c r="P3027" s="40" t="s">
        <v>3116</v>
      </c>
      <c r="Q3027" s="40" t="s">
        <v>766</v>
      </c>
      <c r="R3027" s="84">
        <v>234230100</v>
      </c>
      <c r="S3027" s="40">
        <v>100</v>
      </c>
    </row>
    <row r="3028" spans="1:19" s="92" customFormat="1" ht="76.5">
      <c r="A3028" s="5">
        <v>3013</v>
      </c>
      <c r="B3028" s="15" t="s">
        <v>710</v>
      </c>
      <c r="C3028" s="40" t="s">
        <v>711</v>
      </c>
      <c r="D3028" s="40" t="s">
        <v>723</v>
      </c>
      <c r="E3028" s="31" t="s">
        <v>874</v>
      </c>
      <c r="F3028" s="31" t="s">
        <v>874</v>
      </c>
      <c r="G3028" s="31" t="s">
        <v>875</v>
      </c>
      <c r="H3028" s="40" t="s">
        <v>876</v>
      </c>
      <c r="I3028" s="40" t="s">
        <v>3210</v>
      </c>
      <c r="J3028" s="40" t="s">
        <v>3211</v>
      </c>
      <c r="K3028" s="40" t="s">
        <v>591</v>
      </c>
      <c r="L3028" s="40" t="s">
        <v>644</v>
      </c>
      <c r="M3028" s="93">
        <v>1</v>
      </c>
      <c r="N3028" s="94">
        <v>30000</v>
      </c>
      <c r="O3028" s="94">
        <f>N3028*M3028</f>
        <v>30000</v>
      </c>
      <c r="P3028" s="40" t="s">
        <v>3116</v>
      </c>
      <c r="Q3028" s="40" t="s">
        <v>1051</v>
      </c>
      <c r="R3028" s="84">
        <v>234230100</v>
      </c>
      <c r="S3028" s="40">
        <v>100</v>
      </c>
    </row>
    <row r="3029" spans="1:19" s="92" customFormat="1" ht="89.25">
      <c r="A3029" s="5">
        <v>3014</v>
      </c>
      <c r="B3029" s="15" t="s">
        <v>710</v>
      </c>
      <c r="C3029" s="40" t="s">
        <v>597</v>
      </c>
      <c r="D3029" s="40" t="s">
        <v>598</v>
      </c>
      <c r="E3029" s="31" t="s">
        <v>599</v>
      </c>
      <c r="F3029" s="31" t="s">
        <v>782</v>
      </c>
      <c r="G3029" s="31" t="s">
        <v>3195</v>
      </c>
      <c r="H3029" s="40" t="s">
        <v>602</v>
      </c>
      <c r="I3029" s="40" t="s">
        <v>3196</v>
      </c>
      <c r="J3029" s="40" t="s">
        <v>3197</v>
      </c>
      <c r="K3029" s="40" t="s">
        <v>591</v>
      </c>
      <c r="L3029" s="11" t="s">
        <v>914</v>
      </c>
      <c r="M3029" s="93">
        <v>1</v>
      </c>
      <c r="N3029" s="94">
        <v>624400</v>
      </c>
      <c r="O3029" s="94">
        <v>624400</v>
      </c>
      <c r="P3029" s="40" t="s">
        <v>502</v>
      </c>
      <c r="Q3029" s="40" t="s">
        <v>766</v>
      </c>
      <c r="R3029" s="84">
        <v>234830100</v>
      </c>
      <c r="S3029" s="40">
        <v>0</v>
      </c>
    </row>
    <row r="3030" spans="1:19" s="92" customFormat="1" ht="89.25">
      <c r="A3030" s="5">
        <v>3015</v>
      </c>
      <c r="B3030" s="15" t="s">
        <v>710</v>
      </c>
      <c r="C3030" s="40" t="s">
        <v>597</v>
      </c>
      <c r="D3030" s="40" t="s">
        <v>598</v>
      </c>
      <c r="E3030" s="31" t="s">
        <v>599</v>
      </c>
      <c r="F3030" s="31" t="s">
        <v>782</v>
      </c>
      <c r="G3030" s="31" t="s">
        <v>3195</v>
      </c>
      <c r="H3030" s="40" t="s">
        <v>602</v>
      </c>
      <c r="I3030" s="40" t="s">
        <v>3196</v>
      </c>
      <c r="J3030" s="40" t="s">
        <v>3197</v>
      </c>
      <c r="K3030" s="40" t="s">
        <v>591</v>
      </c>
      <c r="L3030" s="11" t="s">
        <v>914</v>
      </c>
      <c r="M3030" s="93">
        <v>1</v>
      </c>
      <c r="N3030" s="94">
        <v>624400</v>
      </c>
      <c r="O3030" s="94">
        <v>624400</v>
      </c>
      <c r="P3030" s="40" t="s">
        <v>502</v>
      </c>
      <c r="Q3030" s="40" t="s">
        <v>766</v>
      </c>
      <c r="R3030" s="84">
        <v>234830100</v>
      </c>
      <c r="S3030" s="40">
        <v>0</v>
      </c>
    </row>
    <row r="3031" spans="1:19" s="92" customFormat="1" ht="51">
      <c r="A3031" s="5">
        <v>3016</v>
      </c>
      <c r="B3031" s="15" t="s">
        <v>710</v>
      </c>
      <c r="C3031" s="40" t="s">
        <v>597</v>
      </c>
      <c r="D3031" s="11" t="s">
        <v>850</v>
      </c>
      <c r="E3031" s="76" t="s">
        <v>1736</v>
      </c>
      <c r="F3031" s="76" t="s">
        <v>851</v>
      </c>
      <c r="G3031" s="76" t="s">
        <v>1737</v>
      </c>
      <c r="H3031" s="76" t="s">
        <v>852</v>
      </c>
      <c r="I3031" s="76" t="s">
        <v>3199</v>
      </c>
      <c r="J3031" s="76" t="s">
        <v>3200</v>
      </c>
      <c r="K3031" s="40" t="s">
        <v>591</v>
      </c>
      <c r="L3031" s="11" t="s">
        <v>914</v>
      </c>
      <c r="M3031" s="97">
        <v>1</v>
      </c>
      <c r="N3031" s="94">
        <f>10000*5</f>
        <v>50000</v>
      </c>
      <c r="O3031" s="94">
        <f>N3031</f>
        <v>50000</v>
      </c>
      <c r="P3031" s="40" t="s">
        <v>698</v>
      </c>
      <c r="Q3031" s="40" t="s">
        <v>766</v>
      </c>
      <c r="R3031" s="84">
        <v>234830100</v>
      </c>
      <c r="S3031" s="40">
        <v>0</v>
      </c>
    </row>
    <row r="3032" spans="1:19" s="92" customFormat="1" ht="51">
      <c r="A3032" s="5">
        <v>3017</v>
      </c>
      <c r="B3032" s="15" t="s">
        <v>710</v>
      </c>
      <c r="C3032" s="40" t="s">
        <v>597</v>
      </c>
      <c r="D3032" s="40" t="s">
        <v>2594</v>
      </c>
      <c r="E3032" s="31" t="s">
        <v>2618</v>
      </c>
      <c r="F3032" s="31" t="s">
        <v>2595</v>
      </c>
      <c r="G3032" s="31" t="s">
        <v>2618</v>
      </c>
      <c r="H3032" s="40" t="s">
        <v>2595</v>
      </c>
      <c r="I3032" s="40" t="s">
        <v>3201</v>
      </c>
      <c r="J3032" s="40" t="s">
        <v>3202</v>
      </c>
      <c r="K3032" s="40" t="s">
        <v>591</v>
      </c>
      <c r="L3032" s="11" t="s">
        <v>914</v>
      </c>
      <c r="M3032" s="93">
        <v>1</v>
      </c>
      <c r="N3032" s="94">
        <f>10500*3</f>
        <v>31500</v>
      </c>
      <c r="O3032" s="94">
        <f>N3032</f>
        <v>31500</v>
      </c>
      <c r="P3032" s="40" t="s">
        <v>3116</v>
      </c>
      <c r="Q3032" s="40" t="s">
        <v>766</v>
      </c>
      <c r="R3032" s="84">
        <v>234830100</v>
      </c>
      <c r="S3032" s="40">
        <v>30</v>
      </c>
    </row>
    <row r="3033" spans="1:19" s="92" customFormat="1" ht="89.25">
      <c r="A3033" s="5">
        <v>3018</v>
      </c>
      <c r="B3033" s="15" t="s">
        <v>710</v>
      </c>
      <c r="C3033" s="40" t="s">
        <v>711</v>
      </c>
      <c r="D3033" s="40" t="s">
        <v>976</v>
      </c>
      <c r="E3033" s="31" t="s">
        <v>730</v>
      </c>
      <c r="F3033" s="31" t="s">
        <v>731</v>
      </c>
      <c r="G3033" s="31" t="s">
        <v>977</v>
      </c>
      <c r="H3033" s="40" t="s">
        <v>978</v>
      </c>
      <c r="I3033" s="40" t="s">
        <v>3203</v>
      </c>
      <c r="J3033" s="40" t="s">
        <v>3204</v>
      </c>
      <c r="K3033" s="40" t="s">
        <v>591</v>
      </c>
      <c r="L3033" s="40" t="s">
        <v>644</v>
      </c>
      <c r="M3033" s="93">
        <v>2</v>
      </c>
      <c r="N3033" s="94">
        <v>26800</v>
      </c>
      <c r="O3033" s="94">
        <f>N3033*M3033</f>
        <v>53600</v>
      </c>
      <c r="P3033" s="40" t="s">
        <v>3116</v>
      </c>
      <c r="Q3033" s="40" t="s">
        <v>1051</v>
      </c>
      <c r="R3033" s="84">
        <v>234830100</v>
      </c>
      <c r="S3033" s="40">
        <v>100</v>
      </c>
    </row>
    <row r="3034" spans="1:19" s="92" customFormat="1" ht="63.75">
      <c r="A3034" s="5">
        <v>3019</v>
      </c>
      <c r="B3034" s="15" t="s">
        <v>710</v>
      </c>
      <c r="C3034" s="40" t="s">
        <v>711</v>
      </c>
      <c r="D3034" s="40" t="s">
        <v>744</v>
      </c>
      <c r="E3034" s="31" t="s">
        <v>745</v>
      </c>
      <c r="F3034" s="31" t="s">
        <v>109</v>
      </c>
      <c r="G3034" s="31" t="s">
        <v>746</v>
      </c>
      <c r="H3034" s="40" t="s">
        <v>3205</v>
      </c>
      <c r="I3034" s="40" t="s">
        <v>3206</v>
      </c>
      <c r="J3034" s="40" t="s">
        <v>3207</v>
      </c>
      <c r="K3034" s="40" t="s">
        <v>591</v>
      </c>
      <c r="L3034" s="40" t="s">
        <v>644</v>
      </c>
      <c r="M3034" s="93">
        <v>6</v>
      </c>
      <c r="N3034" s="94">
        <v>4000</v>
      </c>
      <c r="O3034" s="94">
        <f>M3034*N3034</f>
        <v>24000</v>
      </c>
      <c r="P3034" s="40" t="s">
        <v>3116</v>
      </c>
      <c r="Q3034" s="40" t="s">
        <v>1051</v>
      </c>
      <c r="R3034" s="84">
        <v>234830100</v>
      </c>
      <c r="S3034" s="40">
        <v>100</v>
      </c>
    </row>
    <row r="3035" spans="1:19" s="92" customFormat="1" ht="51">
      <c r="A3035" s="5">
        <v>3020</v>
      </c>
      <c r="B3035" s="15" t="s">
        <v>710</v>
      </c>
      <c r="C3035" s="40" t="s">
        <v>711</v>
      </c>
      <c r="D3035" s="98" t="s">
        <v>422</v>
      </c>
      <c r="E3035" s="76" t="s">
        <v>423</v>
      </c>
      <c r="F3035" s="76" t="s">
        <v>427</v>
      </c>
      <c r="G3035" s="76" t="s">
        <v>837</v>
      </c>
      <c r="H3035" s="76" t="s">
        <v>425</v>
      </c>
      <c r="I3035" s="76" t="s">
        <v>3208</v>
      </c>
      <c r="J3035" s="76" t="s">
        <v>3209</v>
      </c>
      <c r="K3035" s="76" t="s">
        <v>591</v>
      </c>
      <c r="L3035" s="11" t="s">
        <v>909</v>
      </c>
      <c r="M3035" s="53">
        <v>18</v>
      </c>
      <c r="N3035" s="94">
        <v>640</v>
      </c>
      <c r="O3035" s="94">
        <f>N3035*M3035</f>
        <v>11520</v>
      </c>
      <c r="P3035" s="40" t="s">
        <v>3116</v>
      </c>
      <c r="Q3035" s="40" t="s">
        <v>766</v>
      </c>
      <c r="R3035" s="84">
        <v>234830100</v>
      </c>
      <c r="S3035" s="40">
        <v>100</v>
      </c>
    </row>
    <row r="3036" spans="1:19" s="92" customFormat="1" ht="76.5">
      <c r="A3036" s="5">
        <v>3021</v>
      </c>
      <c r="B3036" s="15" t="s">
        <v>710</v>
      </c>
      <c r="C3036" s="40" t="s">
        <v>711</v>
      </c>
      <c r="D3036" s="40" t="s">
        <v>723</v>
      </c>
      <c r="E3036" s="31" t="s">
        <v>874</v>
      </c>
      <c r="F3036" s="31" t="s">
        <v>874</v>
      </c>
      <c r="G3036" s="31" t="s">
        <v>875</v>
      </c>
      <c r="H3036" s="40" t="s">
        <v>876</v>
      </c>
      <c r="I3036" s="40" t="s">
        <v>3210</v>
      </c>
      <c r="J3036" s="40" t="s">
        <v>3211</v>
      </c>
      <c r="K3036" s="40" t="s">
        <v>591</v>
      </c>
      <c r="L3036" s="40" t="s">
        <v>644</v>
      </c>
      <c r="M3036" s="93">
        <v>1</v>
      </c>
      <c r="N3036" s="94">
        <v>30000</v>
      </c>
      <c r="O3036" s="94">
        <f>N3036*M3036</f>
        <v>30000</v>
      </c>
      <c r="P3036" s="40" t="s">
        <v>3116</v>
      </c>
      <c r="Q3036" s="40" t="s">
        <v>1051</v>
      </c>
      <c r="R3036" s="84">
        <v>234830100</v>
      </c>
      <c r="S3036" s="40">
        <v>100</v>
      </c>
    </row>
    <row r="3037" spans="1:19" s="92" customFormat="1" ht="89.25">
      <c r="A3037" s="5">
        <v>3022</v>
      </c>
      <c r="B3037" s="15" t="s">
        <v>710</v>
      </c>
      <c r="C3037" s="40" t="s">
        <v>597</v>
      </c>
      <c r="D3037" s="40" t="s">
        <v>598</v>
      </c>
      <c r="E3037" s="31" t="s">
        <v>599</v>
      </c>
      <c r="F3037" s="31" t="s">
        <v>782</v>
      </c>
      <c r="G3037" s="31" t="s">
        <v>3195</v>
      </c>
      <c r="H3037" s="40" t="s">
        <v>602</v>
      </c>
      <c r="I3037" s="40" t="s">
        <v>3196</v>
      </c>
      <c r="J3037" s="40" t="s">
        <v>3197</v>
      </c>
      <c r="K3037" s="40" t="s">
        <v>591</v>
      </c>
      <c r="L3037" s="11" t="s">
        <v>914</v>
      </c>
      <c r="M3037" s="93">
        <v>1</v>
      </c>
      <c r="N3037" s="94">
        <v>624400</v>
      </c>
      <c r="O3037" s="94">
        <v>624400</v>
      </c>
      <c r="P3037" s="40" t="s">
        <v>502</v>
      </c>
      <c r="Q3037" s="40" t="s">
        <v>766</v>
      </c>
      <c r="R3037" s="84">
        <v>234630100</v>
      </c>
      <c r="S3037" s="40">
        <v>0</v>
      </c>
    </row>
    <row r="3038" spans="1:19" s="92" customFormat="1" ht="89.25">
      <c r="A3038" s="5">
        <v>3023</v>
      </c>
      <c r="B3038" s="15" t="s">
        <v>710</v>
      </c>
      <c r="C3038" s="40" t="s">
        <v>597</v>
      </c>
      <c r="D3038" s="40" t="s">
        <v>598</v>
      </c>
      <c r="E3038" s="31" t="s">
        <v>599</v>
      </c>
      <c r="F3038" s="31" t="s">
        <v>782</v>
      </c>
      <c r="G3038" s="31" t="s">
        <v>3195</v>
      </c>
      <c r="H3038" s="40" t="s">
        <v>602</v>
      </c>
      <c r="I3038" s="40" t="s">
        <v>3196</v>
      </c>
      <c r="J3038" s="40" t="s">
        <v>3197</v>
      </c>
      <c r="K3038" s="40" t="s">
        <v>591</v>
      </c>
      <c r="L3038" s="11" t="s">
        <v>914</v>
      </c>
      <c r="M3038" s="93">
        <v>1</v>
      </c>
      <c r="N3038" s="94">
        <v>624400</v>
      </c>
      <c r="O3038" s="94">
        <v>624400</v>
      </c>
      <c r="P3038" s="40" t="s">
        <v>502</v>
      </c>
      <c r="Q3038" s="40" t="s">
        <v>766</v>
      </c>
      <c r="R3038" s="84">
        <v>234630100</v>
      </c>
      <c r="S3038" s="40">
        <v>0</v>
      </c>
    </row>
    <row r="3039" spans="1:19" s="92" customFormat="1" ht="51">
      <c r="A3039" s="5">
        <v>3024</v>
      </c>
      <c r="B3039" s="15" t="s">
        <v>710</v>
      </c>
      <c r="C3039" s="40" t="s">
        <v>597</v>
      </c>
      <c r="D3039" s="11" t="s">
        <v>850</v>
      </c>
      <c r="E3039" s="76" t="s">
        <v>1736</v>
      </c>
      <c r="F3039" s="76" t="s">
        <v>851</v>
      </c>
      <c r="G3039" s="76" t="s">
        <v>1737</v>
      </c>
      <c r="H3039" s="76" t="s">
        <v>852</v>
      </c>
      <c r="I3039" s="76" t="s">
        <v>3199</v>
      </c>
      <c r="J3039" s="76" t="s">
        <v>3200</v>
      </c>
      <c r="K3039" s="40" t="s">
        <v>591</v>
      </c>
      <c r="L3039" s="11" t="s">
        <v>914</v>
      </c>
      <c r="M3039" s="97">
        <v>1</v>
      </c>
      <c r="N3039" s="94">
        <f>10000*5</f>
        <v>50000</v>
      </c>
      <c r="O3039" s="94">
        <f>N3039</f>
        <v>50000</v>
      </c>
      <c r="P3039" s="40" t="s">
        <v>698</v>
      </c>
      <c r="Q3039" s="40" t="s">
        <v>766</v>
      </c>
      <c r="R3039" s="84">
        <v>234630100</v>
      </c>
      <c r="S3039" s="40">
        <v>0</v>
      </c>
    </row>
    <row r="3040" spans="1:19" s="92" customFormat="1" ht="51">
      <c r="A3040" s="5">
        <v>3025</v>
      </c>
      <c r="B3040" s="15" t="s">
        <v>710</v>
      </c>
      <c r="C3040" s="40" t="s">
        <v>597</v>
      </c>
      <c r="D3040" s="40" t="s">
        <v>2594</v>
      </c>
      <c r="E3040" s="31" t="s">
        <v>2618</v>
      </c>
      <c r="F3040" s="31" t="s">
        <v>2595</v>
      </c>
      <c r="G3040" s="31" t="s">
        <v>2618</v>
      </c>
      <c r="H3040" s="40" t="s">
        <v>2595</v>
      </c>
      <c r="I3040" s="40" t="s">
        <v>3201</v>
      </c>
      <c r="J3040" s="40" t="s">
        <v>3202</v>
      </c>
      <c r="K3040" s="40" t="s">
        <v>591</v>
      </c>
      <c r="L3040" s="11" t="s">
        <v>914</v>
      </c>
      <c r="M3040" s="93">
        <v>1</v>
      </c>
      <c r="N3040" s="94">
        <f>10500*3</f>
        <v>31500</v>
      </c>
      <c r="O3040" s="94">
        <f>N3040</f>
        <v>31500</v>
      </c>
      <c r="P3040" s="40" t="s">
        <v>3116</v>
      </c>
      <c r="Q3040" s="40" t="s">
        <v>766</v>
      </c>
      <c r="R3040" s="84">
        <v>234630100</v>
      </c>
      <c r="S3040" s="40">
        <v>30</v>
      </c>
    </row>
    <row r="3041" spans="1:19" s="92" customFormat="1" ht="89.25">
      <c r="A3041" s="5">
        <v>3026</v>
      </c>
      <c r="B3041" s="15" t="s">
        <v>710</v>
      </c>
      <c r="C3041" s="40" t="s">
        <v>711</v>
      </c>
      <c r="D3041" s="40" t="s">
        <v>976</v>
      </c>
      <c r="E3041" s="31" t="s">
        <v>730</v>
      </c>
      <c r="F3041" s="31" t="s">
        <v>731</v>
      </c>
      <c r="G3041" s="31" t="s">
        <v>977</v>
      </c>
      <c r="H3041" s="40" t="s">
        <v>978</v>
      </c>
      <c r="I3041" s="40" t="s">
        <v>3203</v>
      </c>
      <c r="J3041" s="40" t="s">
        <v>3204</v>
      </c>
      <c r="K3041" s="40" t="s">
        <v>591</v>
      </c>
      <c r="L3041" s="40" t="s">
        <v>644</v>
      </c>
      <c r="M3041" s="93">
        <v>2</v>
      </c>
      <c r="N3041" s="94">
        <v>26800</v>
      </c>
      <c r="O3041" s="94">
        <f>N3041*M3041</f>
        <v>53600</v>
      </c>
      <c r="P3041" s="40" t="s">
        <v>3116</v>
      </c>
      <c r="Q3041" s="40" t="s">
        <v>1051</v>
      </c>
      <c r="R3041" s="84">
        <v>234630100</v>
      </c>
      <c r="S3041" s="40">
        <v>100</v>
      </c>
    </row>
    <row r="3042" spans="1:19" s="92" customFormat="1" ht="63.75">
      <c r="A3042" s="5">
        <v>3027</v>
      </c>
      <c r="B3042" s="15" t="s">
        <v>710</v>
      </c>
      <c r="C3042" s="40" t="s">
        <v>711</v>
      </c>
      <c r="D3042" s="40" t="s">
        <v>744</v>
      </c>
      <c r="E3042" s="31" t="s">
        <v>745</v>
      </c>
      <c r="F3042" s="31" t="s">
        <v>109</v>
      </c>
      <c r="G3042" s="31" t="s">
        <v>746</v>
      </c>
      <c r="H3042" s="40" t="s">
        <v>3205</v>
      </c>
      <c r="I3042" s="40" t="s">
        <v>3206</v>
      </c>
      <c r="J3042" s="40" t="s">
        <v>3207</v>
      </c>
      <c r="K3042" s="40" t="s">
        <v>591</v>
      </c>
      <c r="L3042" s="40" t="s">
        <v>644</v>
      </c>
      <c r="M3042" s="93">
        <v>6</v>
      </c>
      <c r="N3042" s="94">
        <v>4000</v>
      </c>
      <c r="O3042" s="94">
        <f>M3042*N3042</f>
        <v>24000</v>
      </c>
      <c r="P3042" s="40" t="s">
        <v>3116</v>
      </c>
      <c r="Q3042" s="40" t="s">
        <v>1051</v>
      </c>
      <c r="R3042" s="84">
        <v>234630100</v>
      </c>
      <c r="S3042" s="40">
        <v>100</v>
      </c>
    </row>
    <row r="3043" spans="1:19" s="92" customFormat="1" ht="51">
      <c r="A3043" s="5">
        <v>3028</v>
      </c>
      <c r="B3043" s="15" t="s">
        <v>710</v>
      </c>
      <c r="C3043" s="40" t="s">
        <v>711</v>
      </c>
      <c r="D3043" s="98" t="s">
        <v>422</v>
      </c>
      <c r="E3043" s="76" t="s">
        <v>423</v>
      </c>
      <c r="F3043" s="76" t="s">
        <v>427</v>
      </c>
      <c r="G3043" s="76" t="s">
        <v>837</v>
      </c>
      <c r="H3043" s="76" t="s">
        <v>425</v>
      </c>
      <c r="I3043" s="76" t="s">
        <v>3208</v>
      </c>
      <c r="J3043" s="76" t="s">
        <v>3209</v>
      </c>
      <c r="K3043" s="76" t="s">
        <v>591</v>
      </c>
      <c r="L3043" s="11" t="s">
        <v>909</v>
      </c>
      <c r="M3043" s="53">
        <v>18</v>
      </c>
      <c r="N3043" s="94">
        <v>640</v>
      </c>
      <c r="O3043" s="94">
        <f>N3043*M3043</f>
        <v>11520</v>
      </c>
      <c r="P3043" s="40" t="s">
        <v>3116</v>
      </c>
      <c r="Q3043" s="40" t="s">
        <v>766</v>
      </c>
      <c r="R3043" s="84">
        <v>234630100</v>
      </c>
      <c r="S3043" s="40">
        <v>100</v>
      </c>
    </row>
    <row r="3044" spans="1:19" s="92" customFormat="1" ht="76.5">
      <c r="A3044" s="5">
        <v>3029</v>
      </c>
      <c r="B3044" s="15" t="s">
        <v>710</v>
      </c>
      <c r="C3044" s="40" t="s">
        <v>711</v>
      </c>
      <c r="D3044" s="40" t="s">
        <v>723</v>
      </c>
      <c r="E3044" s="31" t="s">
        <v>874</v>
      </c>
      <c r="F3044" s="31" t="s">
        <v>874</v>
      </c>
      <c r="G3044" s="31" t="s">
        <v>875</v>
      </c>
      <c r="H3044" s="40" t="s">
        <v>876</v>
      </c>
      <c r="I3044" s="40" t="s">
        <v>3210</v>
      </c>
      <c r="J3044" s="40" t="s">
        <v>3211</v>
      </c>
      <c r="K3044" s="40" t="s">
        <v>591</v>
      </c>
      <c r="L3044" s="40" t="s">
        <v>644</v>
      </c>
      <c r="M3044" s="93">
        <v>1</v>
      </c>
      <c r="N3044" s="94">
        <v>30000</v>
      </c>
      <c r="O3044" s="94">
        <f>N3044*M3044</f>
        <v>30000</v>
      </c>
      <c r="P3044" s="40" t="s">
        <v>3116</v>
      </c>
      <c r="Q3044" s="40" t="s">
        <v>1051</v>
      </c>
      <c r="R3044" s="84">
        <v>234630100</v>
      </c>
      <c r="S3044" s="40">
        <v>100</v>
      </c>
    </row>
    <row r="3045" spans="1:19" s="92" customFormat="1" ht="89.25">
      <c r="A3045" s="5">
        <v>3030</v>
      </c>
      <c r="B3045" s="15" t="s">
        <v>710</v>
      </c>
      <c r="C3045" s="40" t="s">
        <v>597</v>
      </c>
      <c r="D3045" s="40" t="s">
        <v>598</v>
      </c>
      <c r="E3045" s="31" t="s">
        <v>599</v>
      </c>
      <c r="F3045" s="31" t="s">
        <v>782</v>
      </c>
      <c r="G3045" s="31" t="s">
        <v>3195</v>
      </c>
      <c r="H3045" s="40" t="s">
        <v>602</v>
      </c>
      <c r="I3045" s="40" t="s">
        <v>3196</v>
      </c>
      <c r="J3045" s="40" t="s">
        <v>3197</v>
      </c>
      <c r="K3045" s="40" t="s">
        <v>591</v>
      </c>
      <c r="L3045" s="11" t="s">
        <v>914</v>
      </c>
      <c r="M3045" s="93">
        <v>1</v>
      </c>
      <c r="N3045" s="94">
        <v>624400</v>
      </c>
      <c r="O3045" s="94">
        <v>624400</v>
      </c>
      <c r="P3045" s="40" t="s">
        <v>502</v>
      </c>
      <c r="Q3045" s="40" t="s">
        <v>766</v>
      </c>
      <c r="R3045" s="84">
        <v>235230100</v>
      </c>
      <c r="S3045" s="40">
        <v>0</v>
      </c>
    </row>
    <row r="3046" spans="1:19" s="92" customFormat="1" ht="89.25">
      <c r="A3046" s="5">
        <v>3031</v>
      </c>
      <c r="B3046" s="15" t="s">
        <v>710</v>
      </c>
      <c r="C3046" s="40" t="s">
        <v>597</v>
      </c>
      <c r="D3046" s="40" t="s">
        <v>598</v>
      </c>
      <c r="E3046" s="31" t="s">
        <v>599</v>
      </c>
      <c r="F3046" s="31" t="s">
        <v>782</v>
      </c>
      <c r="G3046" s="31" t="s">
        <v>3195</v>
      </c>
      <c r="H3046" s="40" t="s">
        <v>602</v>
      </c>
      <c r="I3046" s="40" t="s">
        <v>3196</v>
      </c>
      <c r="J3046" s="40" t="s">
        <v>3197</v>
      </c>
      <c r="K3046" s="40" t="s">
        <v>591</v>
      </c>
      <c r="L3046" s="11" t="s">
        <v>914</v>
      </c>
      <c r="M3046" s="93">
        <v>1</v>
      </c>
      <c r="N3046" s="94">
        <v>624400</v>
      </c>
      <c r="O3046" s="94">
        <v>624400</v>
      </c>
      <c r="P3046" s="40" t="s">
        <v>502</v>
      </c>
      <c r="Q3046" s="40" t="s">
        <v>766</v>
      </c>
      <c r="R3046" s="84">
        <v>235230100</v>
      </c>
      <c r="S3046" s="40">
        <v>0</v>
      </c>
    </row>
    <row r="3047" spans="1:19" s="92" customFormat="1" ht="51">
      <c r="A3047" s="5">
        <v>3032</v>
      </c>
      <c r="B3047" s="15" t="s">
        <v>710</v>
      </c>
      <c r="C3047" s="40" t="s">
        <v>597</v>
      </c>
      <c r="D3047" s="11" t="s">
        <v>850</v>
      </c>
      <c r="E3047" s="76" t="s">
        <v>1736</v>
      </c>
      <c r="F3047" s="76" t="s">
        <v>851</v>
      </c>
      <c r="G3047" s="76" t="s">
        <v>1737</v>
      </c>
      <c r="H3047" s="76" t="s">
        <v>852</v>
      </c>
      <c r="I3047" s="76" t="s">
        <v>3199</v>
      </c>
      <c r="J3047" s="76" t="s">
        <v>3200</v>
      </c>
      <c r="K3047" s="40" t="s">
        <v>591</v>
      </c>
      <c r="L3047" s="11" t="s">
        <v>914</v>
      </c>
      <c r="M3047" s="97">
        <v>1</v>
      </c>
      <c r="N3047" s="94">
        <f>10000*5</f>
        <v>50000</v>
      </c>
      <c r="O3047" s="94">
        <f>N3047</f>
        <v>50000</v>
      </c>
      <c r="P3047" s="40" t="s">
        <v>698</v>
      </c>
      <c r="Q3047" s="40" t="s">
        <v>766</v>
      </c>
      <c r="R3047" s="84">
        <v>235230100</v>
      </c>
      <c r="S3047" s="40">
        <v>0</v>
      </c>
    </row>
    <row r="3048" spans="1:19" s="92" customFormat="1" ht="51">
      <c r="A3048" s="5">
        <v>3033</v>
      </c>
      <c r="B3048" s="15" t="s">
        <v>710</v>
      </c>
      <c r="C3048" s="40" t="s">
        <v>597</v>
      </c>
      <c r="D3048" s="40" t="s">
        <v>2594</v>
      </c>
      <c r="E3048" s="31" t="s">
        <v>2618</v>
      </c>
      <c r="F3048" s="31" t="s">
        <v>2595</v>
      </c>
      <c r="G3048" s="31" t="s">
        <v>2618</v>
      </c>
      <c r="H3048" s="40" t="s">
        <v>2595</v>
      </c>
      <c r="I3048" s="40" t="s">
        <v>3201</v>
      </c>
      <c r="J3048" s="40" t="s">
        <v>3202</v>
      </c>
      <c r="K3048" s="40" t="s">
        <v>591</v>
      </c>
      <c r="L3048" s="11" t="s">
        <v>914</v>
      </c>
      <c r="M3048" s="93">
        <v>1</v>
      </c>
      <c r="N3048" s="94">
        <f>10500*3</f>
        <v>31500</v>
      </c>
      <c r="O3048" s="94">
        <f>N3048</f>
        <v>31500</v>
      </c>
      <c r="P3048" s="40" t="s">
        <v>3116</v>
      </c>
      <c r="Q3048" s="40" t="s">
        <v>766</v>
      </c>
      <c r="R3048" s="84">
        <v>235230100</v>
      </c>
      <c r="S3048" s="40">
        <v>30</v>
      </c>
    </row>
    <row r="3049" spans="1:19" s="92" customFormat="1" ht="89.25">
      <c r="A3049" s="5">
        <v>3034</v>
      </c>
      <c r="B3049" s="15" t="s">
        <v>710</v>
      </c>
      <c r="C3049" s="40" t="s">
        <v>711</v>
      </c>
      <c r="D3049" s="40" t="s">
        <v>976</v>
      </c>
      <c r="E3049" s="31" t="s">
        <v>730</v>
      </c>
      <c r="F3049" s="31" t="s">
        <v>731</v>
      </c>
      <c r="G3049" s="31" t="s">
        <v>977</v>
      </c>
      <c r="H3049" s="40" t="s">
        <v>978</v>
      </c>
      <c r="I3049" s="40" t="s">
        <v>3203</v>
      </c>
      <c r="J3049" s="40" t="s">
        <v>3204</v>
      </c>
      <c r="K3049" s="40" t="s">
        <v>591</v>
      </c>
      <c r="L3049" s="40" t="s">
        <v>644</v>
      </c>
      <c r="M3049" s="93">
        <v>2</v>
      </c>
      <c r="N3049" s="94">
        <v>26800</v>
      </c>
      <c r="O3049" s="94">
        <f>N3049*M3049</f>
        <v>53600</v>
      </c>
      <c r="P3049" s="40" t="s">
        <v>3116</v>
      </c>
      <c r="Q3049" s="40" t="s">
        <v>1051</v>
      </c>
      <c r="R3049" s="84">
        <v>235230100</v>
      </c>
      <c r="S3049" s="40">
        <v>100</v>
      </c>
    </row>
    <row r="3050" spans="1:19" s="92" customFormat="1" ht="63.75">
      <c r="A3050" s="5">
        <v>3035</v>
      </c>
      <c r="B3050" s="15" t="s">
        <v>710</v>
      </c>
      <c r="C3050" s="40" t="s">
        <v>711</v>
      </c>
      <c r="D3050" s="40" t="s">
        <v>744</v>
      </c>
      <c r="E3050" s="31" t="s">
        <v>745</v>
      </c>
      <c r="F3050" s="31" t="s">
        <v>109</v>
      </c>
      <c r="G3050" s="31" t="s">
        <v>746</v>
      </c>
      <c r="H3050" s="40" t="s">
        <v>3205</v>
      </c>
      <c r="I3050" s="40" t="s">
        <v>3206</v>
      </c>
      <c r="J3050" s="40" t="s">
        <v>3207</v>
      </c>
      <c r="K3050" s="40" t="s">
        <v>591</v>
      </c>
      <c r="L3050" s="40" t="s">
        <v>644</v>
      </c>
      <c r="M3050" s="93">
        <v>6</v>
      </c>
      <c r="N3050" s="94">
        <v>4000</v>
      </c>
      <c r="O3050" s="94">
        <f>M3050*N3050</f>
        <v>24000</v>
      </c>
      <c r="P3050" s="40" t="s">
        <v>3116</v>
      </c>
      <c r="Q3050" s="40" t="s">
        <v>1051</v>
      </c>
      <c r="R3050" s="84">
        <v>235230100</v>
      </c>
      <c r="S3050" s="40">
        <v>100</v>
      </c>
    </row>
    <row r="3051" spans="1:19" s="92" customFormat="1" ht="51">
      <c r="A3051" s="5">
        <v>3036</v>
      </c>
      <c r="B3051" s="15" t="s">
        <v>710</v>
      </c>
      <c r="C3051" s="40" t="s">
        <v>711</v>
      </c>
      <c r="D3051" s="98" t="s">
        <v>422</v>
      </c>
      <c r="E3051" s="76" t="s">
        <v>423</v>
      </c>
      <c r="F3051" s="76" t="s">
        <v>427</v>
      </c>
      <c r="G3051" s="76" t="s">
        <v>837</v>
      </c>
      <c r="H3051" s="76" t="s">
        <v>425</v>
      </c>
      <c r="I3051" s="76" t="s">
        <v>3208</v>
      </c>
      <c r="J3051" s="76" t="s">
        <v>3209</v>
      </c>
      <c r="K3051" s="76" t="s">
        <v>591</v>
      </c>
      <c r="L3051" s="11" t="s">
        <v>909</v>
      </c>
      <c r="M3051" s="53">
        <v>18</v>
      </c>
      <c r="N3051" s="94">
        <v>640</v>
      </c>
      <c r="O3051" s="94">
        <f>N3051*M3051</f>
        <v>11520</v>
      </c>
      <c r="P3051" s="40" t="s">
        <v>3116</v>
      </c>
      <c r="Q3051" s="40" t="s">
        <v>766</v>
      </c>
      <c r="R3051" s="84">
        <v>235230100</v>
      </c>
      <c r="S3051" s="40">
        <v>100</v>
      </c>
    </row>
    <row r="3052" spans="1:19" s="92" customFormat="1" ht="76.5">
      <c r="A3052" s="5">
        <v>3037</v>
      </c>
      <c r="B3052" s="15" t="s">
        <v>710</v>
      </c>
      <c r="C3052" s="40" t="s">
        <v>711</v>
      </c>
      <c r="D3052" s="40" t="s">
        <v>723</v>
      </c>
      <c r="E3052" s="31" t="s">
        <v>874</v>
      </c>
      <c r="F3052" s="31" t="s">
        <v>874</v>
      </c>
      <c r="G3052" s="31" t="s">
        <v>875</v>
      </c>
      <c r="H3052" s="40" t="s">
        <v>876</v>
      </c>
      <c r="I3052" s="40" t="s">
        <v>3210</v>
      </c>
      <c r="J3052" s="40" t="s">
        <v>3211</v>
      </c>
      <c r="K3052" s="40" t="s">
        <v>591</v>
      </c>
      <c r="L3052" s="40" t="s">
        <v>644</v>
      </c>
      <c r="M3052" s="93">
        <v>1</v>
      </c>
      <c r="N3052" s="94">
        <v>30000</v>
      </c>
      <c r="O3052" s="94">
        <f>N3052*M3052</f>
        <v>30000</v>
      </c>
      <c r="P3052" s="40" t="s">
        <v>3116</v>
      </c>
      <c r="Q3052" s="40" t="s">
        <v>1051</v>
      </c>
      <c r="R3052" s="84">
        <v>235230100</v>
      </c>
      <c r="S3052" s="40">
        <v>100</v>
      </c>
    </row>
    <row r="3053" spans="1:19" s="92" customFormat="1" ht="89.25">
      <c r="A3053" s="5">
        <v>3038</v>
      </c>
      <c r="B3053" s="15" t="s">
        <v>710</v>
      </c>
      <c r="C3053" s="40" t="s">
        <v>597</v>
      </c>
      <c r="D3053" s="40" t="s">
        <v>598</v>
      </c>
      <c r="E3053" s="31" t="s">
        <v>599</v>
      </c>
      <c r="F3053" s="31" t="s">
        <v>782</v>
      </c>
      <c r="G3053" s="31" t="s">
        <v>3195</v>
      </c>
      <c r="H3053" s="40" t="s">
        <v>602</v>
      </c>
      <c r="I3053" s="40" t="s">
        <v>3196</v>
      </c>
      <c r="J3053" s="40" t="s">
        <v>3197</v>
      </c>
      <c r="K3053" s="40" t="s">
        <v>591</v>
      </c>
      <c r="L3053" s="11" t="s">
        <v>914</v>
      </c>
      <c r="M3053" s="93">
        <v>1</v>
      </c>
      <c r="N3053" s="94">
        <v>624400</v>
      </c>
      <c r="O3053" s="94">
        <v>624400</v>
      </c>
      <c r="P3053" s="40" t="s">
        <v>502</v>
      </c>
      <c r="Q3053" s="40" t="s">
        <v>766</v>
      </c>
      <c r="R3053" s="84">
        <v>235630100</v>
      </c>
      <c r="S3053" s="40">
        <v>0</v>
      </c>
    </row>
    <row r="3054" spans="1:19" s="92" customFormat="1" ht="89.25">
      <c r="A3054" s="5">
        <v>3039</v>
      </c>
      <c r="B3054" s="15" t="s">
        <v>710</v>
      </c>
      <c r="C3054" s="40" t="s">
        <v>597</v>
      </c>
      <c r="D3054" s="40" t="s">
        <v>598</v>
      </c>
      <c r="E3054" s="31" t="s">
        <v>599</v>
      </c>
      <c r="F3054" s="31" t="s">
        <v>782</v>
      </c>
      <c r="G3054" s="31" t="s">
        <v>3195</v>
      </c>
      <c r="H3054" s="40" t="s">
        <v>602</v>
      </c>
      <c r="I3054" s="40" t="s">
        <v>3196</v>
      </c>
      <c r="J3054" s="40" t="s">
        <v>3197</v>
      </c>
      <c r="K3054" s="40" t="s">
        <v>591</v>
      </c>
      <c r="L3054" s="11" t="s">
        <v>914</v>
      </c>
      <c r="M3054" s="93">
        <v>1</v>
      </c>
      <c r="N3054" s="94">
        <v>624400</v>
      </c>
      <c r="O3054" s="94">
        <v>624400</v>
      </c>
      <c r="P3054" s="40" t="s">
        <v>502</v>
      </c>
      <c r="Q3054" s="40" t="s">
        <v>766</v>
      </c>
      <c r="R3054" s="84">
        <v>235630100</v>
      </c>
      <c r="S3054" s="40">
        <v>0</v>
      </c>
    </row>
    <row r="3055" spans="1:19" s="92" customFormat="1" ht="51">
      <c r="A3055" s="5">
        <v>3040</v>
      </c>
      <c r="B3055" s="15" t="s">
        <v>710</v>
      </c>
      <c r="C3055" s="40" t="s">
        <v>597</v>
      </c>
      <c r="D3055" s="11" t="s">
        <v>850</v>
      </c>
      <c r="E3055" s="76" t="s">
        <v>1736</v>
      </c>
      <c r="F3055" s="76" t="s">
        <v>851</v>
      </c>
      <c r="G3055" s="76" t="s">
        <v>1737</v>
      </c>
      <c r="H3055" s="76" t="s">
        <v>852</v>
      </c>
      <c r="I3055" s="76" t="s">
        <v>3199</v>
      </c>
      <c r="J3055" s="76" t="s">
        <v>3200</v>
      </c>
      <c r="K3055" s="40" t="s">
        <v>591</v>
      </c>
      <c r="L3055" s="11" t="s">
        <v>914</v>
      </c>
      <c r="M3055" s="97">
        <v>1</v>
      </c>
      <c r="N3055" s="94">
        <f>10000*5</f>
        <v>50000</v>
      </c>
      <c r="O3055" s="94">
        <f>N3055</f>
        <v>50000</v>
      </c>
      <c r="P3055" s="40" t="s">
        <v>698</v>
      </c>
      <c r="Q3055" s="40" t="s">
        <v>766</v>
      </c>
      <c r="R3055" s="84">
        <v>235630100</v>
      </c>
      <c r="S3055" s="40">
        <v>0</v>
      </c>
    </row>
    <row r="3056" spans="1:19" s="92" customFormat="1" ht="51">
      <c r="A3056" s="5">
        <v>3041</v>
      </c>
      <c r="B3056" s="15" t="s">
        <v>710</v>
      </c>
      <c r="C3056" s="40" t="s">
        <v>597</v>
      </c>
      <c r="D3056" s="40" t="s">
        <v>2594</v>
      </c>
      <c r="E3056" s="31" t="s">
        <v>2618</v>
      </c>
      <c r="F3056" s="31" t="s">
        <v>2595</v>
      </c>
      <c r="G3056" s="31" t="s">
        <v>2618</v>
      </c>
      <c r="H3056" s="40" t="s">
        <v>2595</v>
      </c>
      <c r="I3056" s="40" t="s">
        <v>3201</v>
      </c>
      <c r="J3056" s="40" t="s">
        <v>3202</v>
      </c>
      <c r="K3056" s="40" t="s">
        <v>591</v>
      </c>
      <c r="L3056" s="11" t="s">
        <v>914</v>
      </c>
      <c r="M3056" s="93">
        <v>1</v>
      </c>
      <c r="N3056" s="94">
        <f>10500*3</f>
        <v>31500</v>
      </c>
      <c r="O3056" s="94">
        <f>N3056</f>
        <v>31500</v>
      </c>
      <c r="P3056" s="40" t="s">
        <v>3116</v>
      </c>
      <c r="Q3056" s="40" t="s">
        <v>766</v>
      </c>
      <c r="R3056" s="84">
        <v>235630100</v>
      </c>
      <c r="S3056" s="40">
        <v>30</v>
      </c>
    </row>
    <row r="3057" spans="1:19" s="92" customFormat="1" ht="89.25">
      <c r="A3057" s="5">
        <v>3042</v>
      </c>
      <c r="B3057" s="15" t="s">
        <v>710</v>
      </c>
      <c r="C3057" s="40" t="s">
        <v>711</v>
      </c>
      <c r="D3057" s="40" t="s">
        <v>976</v>
      </c>
      <c r="E3057" s="31" t="s">
        <v>730</v>
      </c>
      <c r="F3057" s="31" t="s">
        <v>731</v>
      </c>
      <c r="G3057" s="31" t="s">
        <v>977</v>
      </c>
      <c r="H3057" s="40" t="s">
        <v>978</v>
      </c>
      <c r="I3057" s="40" t="s">
        <v>3203</v>
      </c>
      <c r="J3057" s="40" t="s">
        <v>3204</v>
      </c>
      <c r="K3057" s="40" t="s">
        <v>591</v>
      </c>
      <c r="L3057" s="40" t="s">
        <v>644</v>
      </c>
      <c r="M3057" s="93">
        <v>2</v>
      </c>
      <c r="N3057" s="94">
        <v>26800</v>
      </c>
      <c r="O3057" s="94">
        <f>N3057*M3057</f>
        <v>53600</v>
      </c>
      <c r="P3057" s="40" t="s">
        <v>3116</v>
      </c>
      <c r="Q3057" s="40" t="s">
        <v>1051</v>
      </c>
      <c r="R3057" s="84">
        <v>235630100</v>
      </c>
      <c r="S3057" s="40">
        <v>100</v>
      </c>
    </row>
    <row r="3058" spans="1:19" s="92" customFormat="1" ht="63.75">
      <c r="A3058" s="5">
        <v>3043</v>
      </c>
      <c r="B3058" s="15" t="s">
        <v>710</v>
      </c>
      <c r="C3058" s="40" t="s">
        <v>711</v>
      </c>
      <c r="D3058" s="40" t="s">
        <v>744</v>
      </c>
      <c r="E3058" s="31" t="s">
        <v>745</v>
      </c>
      <c r="F3058" s="31" t="s">
        <v>109</v>
      </c>
      <c r="G3058" s="31" t="s">
        <v>746</v>
      </c>
      <c r="H3058" s="40" t="s">
        <v>3205</v>
      </c>
      <c r="I3058" s="40" t="s">
        <v>3206</v>
      </c>
      <c r="J3058" s="40" t="s">
        <v>3207</v>
      </c>
      <c r="K3058" s="40" t="s">
        <v>591</v>
      </c>
      <c r="L3058" s="40" t="s">
        <v>644</v>
      </c>
      <c r="M3058" s="93">
        <v>6</v>
      </c>
      <c r="N3058" s="94">
        <v>4000</v>
      </c>
      <c r="O3058" s="94">
        <f>M3058*N3058</f>
        <v>24000</v>
      </c>
      <c r="P3058" s="40" t="s">
        <v>3116</v>
      </c>
      <c r="Q3058" s="40" t="s">
        <v>1051</v>
      </c>
      <c r="R3058" s="84">
        <v>235630100</v>
      </c>
      <c r="S3058" s="40">
        <v>100</v>
      </c>
    </row>
    <row r="3059" spans="1:19" s="92" customFormat="1" ht="51">
      <c r="A3059" s="5">
        <v>3044</v>
      </c>
      <c r="B3059" s="15" t="s">
        <v>710</v>
      </c>
      <c r="C3059" s="40" t="s">
        <v>711</v>
      </c>
      <c r="D3059" s="98" t="s">
        <v>422</v>
      </c>
      <c r="E3059" s="76" t="s">
        <v>423</v>
      </c>
      <c r="F3059" s="76" t="s">
        <v>427</v>
      </c>
      <c r="G3059" s="76" t="s">
        <v>837</v>
      </c>
      <c r="H3059" s="76" t="s">
        <v>425</v>
      </c>
      <c r="I3059" s="76" t="s">
        <v>3208</v>
      </c>
      <c r="J3059" s="76" t="s">
        <v>3209</v>
      </c>
      <c r="K3059" s="76" t="s">
        <v>591</v>
      </c>
      <c r="L3059" s="11" t="s">
        <v>909</v>
      </c>
      <c r="M3059" s="53">
        <v>18</v>
      </c>
      <c r="N3059" s="94">
        <v>640</v>
      </c>
      <c r="O3059" s="94">
        <f>N3059*M3059</f>
        <v>11520</v>
      </c>
      <c r="P3059" s="40" t="s">
        <v>3116</v>
      </c>
      <c r="Q3059" s="40" t="s">
        <v>766</v>
      </c>
      <c r="R3059" s="84">
        <v>235630100</v>
      </c>
      <c r="S3059" s="40">
        <v>100</v>
      </c>
    </row>
    <row r="3060" spans="1:19" s="92" customFormat="1" ht="76.5">
      <c r="A3060" s="5">
        <v>3045</v>
      </c>
      <c r="B3060" s="15" t="s">
        <v>710</v>
      </c>
      <c r="C3060" s="40" t="s">
        <v>711</v>
      </c>
      <c r="D3060" s="40" t="s">
        <v>723</v>
      </c>
      <c r="E3060" s="31" t="s">
        <v>874</v>
      </c>
      <c r="F3060" s="31" t="s">
        <v>874</v>
      </c>
      <c r="G3060" s="31" t="s">
        <v>875</v>
      </c>
      <c r="H3060" s="40" t="s">
        <v>876</v>
      </c>
      <c r="I3060" s="40" t="s">
        <v>3210</v>
      </c>
      <c r="J3060" s="40" t="s">
        <v>3211</v>
      </c>
      <c r="K3060" s="40" t="s">
        <v>591</v>
      </c>
      <c r="L3060" s="40" t="s">
        <v>644</v>
      </c>
      <c r="M3060" s="93">
        <v>1</v>
      </c>
      <c r="N3060" s="94">
        <v>30000</v>
      </c>
      <c r="O3060" s="94">
        <f>N3060*M3060</f>
        <v>30000</v>
      </c>
      <c r="P3060" s="40" t="s">
        <v>3116</v>
      </c>
      <c r="Q3060" s="40" t="s">
        <v>1051</v>
      </c>
      <c r="R3060" s="84">
        <v>235630100</v>
      </c>
      <c r="S3060" s="40">
        <v>100</v>
      </c>
    </row>
    <row r="3061" spans="1:19" s="92" customFormat="1" ht="51">
      <c r="A3061" s="5">
        <v>3046</v>
      </c>
      <c r="B3061" s="15" t="s">
        <v>710</v>
      </c>
      <c r="C3061" s="40" t="s">
        <v>597</v>
      </c>
      <c r="D3061" s="40" t="s">
        <v>3128</v>
      </c>
      <c r="E3061" s="31" t="s">
        <v>2620</v>
      </c>
      <c r="F3061" s="31" t="s">
        <v>1304</v>
      </c>
      <c r="G3061" s="31" t="s">
        <v>3129</v>
      </c>
      <c r="H3061" s="40" t="s">
        <v>3130</v>
      </c>
      <c r="I3061" s="40" t="s">
        <v>3131</v>
      </c>
      <c r="J3061" s="40" t="s">
        <v>3132</v>
      </c>
      <c r="K3061" s="40" t="s">
        <v>591</v>
      </c>
      <c r="L3061" s="11" t="s">
        <v>914</v>
      </c>
      <c r="M3061" s="93">
        <v>1</v>
      </c>
      <c r="N3061" s="94">
        <f>59000*15</f>
        <v>885000</v>
      </c>
      <c r="O3061" s="94">
        <f>N3061*M3061</f>
        <v>885000</v>
      </c>
      <c r="P3061" s="40" t="s">
        <v>3116</v>
      </c>
      <c r="Q3061" s="40" t="s">
        <v>766</v>
      </c>
      <c r="R3061" s="84">
        <v>631010000</v>
      </c>
      <c r="S3061" s="40">
        <v>50</v>
      </c>
    </row>
    <row r="3062" spans="1:19" s="92" customFormat="1" ht="76.5">
      <c r="A3062" s="5">
        <v>3047</v>
      </c>
      <c r="B3062" s="15" t="s">
        <v>710</v>
      </c>
      <c r="C3062" s="40" t="s">
        <v>3117</v>
      </c>
      <c r="D3062" s="40" t="s">
        <v>532</v>
      </c>
      <c r="E3062" s="31" t="s">
        <v>3133</v>
      </c>
      <c r="F3062" s="31" t="s">
        <v>534</v>
      </c>
      <c r="G3062" s="31" t="s">
        <v>3133</v>
      </c>
      <c r="H3062" s="31" t="s">
        <v>534</v>
      </c>
      <c r="I3062" s="40" t="s">
        <v>3134</v>
      </c>
      <c r="J3062" s="40" t="s">
        <v>3135</v>
      </c>
      <c r="K3062" s="40" t="s">
        <v>591</v>
      </c>
      <c r="L3062" s="11" t="s">
        <v>914</v>
      </c>
      <c r="M3062" s="93">
        <v>1</v>
      </c>
      <c r="N3062" s="94">
        <f>15*30000</f>
        <v>450000</v>
      </c>
      <c r="O3062" s="94">
        <f>N3062*M3062</f>
        <v>450000</v>
      </c>
      <c r="P3062" s="40" t="s">
        <v>3116</v>
      </c>
      <c r="Q3062" s="40" t="s">
        <v>1051</v>
      </c>
      <c r="R3062" s="84">
        <v>631010000</v>
      </c>
      <c r="S3062" s="40">
        <v>50</v>
      </c>
    </row>
    <row r="3063" spans="1:19" s="92" customFormat="1" ht="51">
      <c r="A3063" s="5">
        <v>3048</v>
      </c>
      <c r="B3063" s="15" t="s">
        <v>710</v>
      </c>
      <c r="C3063" s="40" t="s">
        <v>2433</v>
      </c>
      <c r="D3063" s="40" t="s">
        <v>3136</v>
      </c>
      <c r="E3063" s="40" t="s">
        <v>466</v>
      </c>
      <c r="F3063" s="40" t="s">
        <v>25</v>
      </c>
      <c r="G3063" s="40" t="s">
        <v>3212</v>
      </c>
      <c r="H3063" s="40" t="s">
        <v>467</v>
      </c>
      <c r="I3063" s="40" t="s">
        <v>3137</v>
      </c>
      <c r="J3063" s="40" t="s">
        <v>3138</v>
      </c>
      <c r="K3063" s="40" t="s">
        <v>591</v>
      </c>
      <c r="L3063" s="95" t="s">
        <v>644</v>
      </c>
      <c r="M3063" s="93">
        <f>30*5</f>
        <v>150</v>
      </c>
      <c r="N3063" s="94">
        <v>40</v>
      </c>
      <c r="O3063" s="94">
        <f>N3063*M3063</f>
        <v>6000</v>
      </c>
      <c r="P3063" s="40" t="s">
        <v>3139</v>
      </c>
      <c r="Q3063" s="40" t="s">
        <v>766</v>
      </c>
      <c r="R3063" s="84">
        <v>631010000</v>
      </c>
      <c r="S3063" s="40">
        <v>0</v>
      </c>
    </row>
    <row r="3064" spans="1:19" s="92" customFormat="1" ht="51">
      <c r="A3064" s="5">
        <v>3049</v>
      </c>
      <c r="B3064" s="15" t="s">
        <v>710</v>
      </c>
      <c r="C3064" s="40" t="s">
        <v>2433</v>
      </c>
      <c r="D3064" s="40" t="s">
        <v>3140</v>
      </c>
      <c r="E3064" s="40" t="s">
        <v>3141</v>
      </c>
      <c r="F3064" s="40" t="s">
        <v>3142</v>
      </c>
      <c r="G3064" s="40" t="s">
        <v>3213</v>
      </c>
      <c r="H3064" s="40" t="s">
        <v>3214</v>
      </c>
      <c r="I3064" s="40" t="s">
        <v>3143</v>
      </c>
      <c r="J3064" s="40" t="s">
        <v>3144</v>
      </c>
      <c r="K3064" s="40" t="s">
        <v>591</v>
      </c>
      <c r="L3064" s="95" t="s">
        <v>644</v>
      </c>
      <c r="M3064" s="93">
        <f>30*2</f>
        <v>60</v>
      </c>
      <c r="N3064" s="94">
        <v>170</v>
      </c>
      <c r="O3064" s="94">
        <f t="shared" ref="O3064:O3081" si="76">N3064*M3064</f>
        <v>10200</v>
      </c>
      <c r="P3064" s="40" t="s">
        <v>3139</v>
      </c>
      <c r="Q3064" s="40" t="s">
        <v>766</v>
      </c>
      <c r="R3064" s="84">
        <v>631010000</v>
      </c>
      <c r="S3064" s="40">
        <v>0</v>
      </c>
    </row>
    <row r="3065" spans="1:19" s="92" customFormat="1" ht="51">
      <c r="A3065" s="5">
        <v>3050</v>
      </c>
      <c r="B3065" s="15" t="s">
        <v>710</v>
      </c>
      <c r="C3065" s="40" t="s">
        <v>2433</v>
      </c>
      <c r="D3065" s="40" t="s">
        <v>452</v>
      </c>
      <c r="E3065" s="40" t="s">
        <v>453</v>
      </c>
      <c r="F3065" s="40" t="s">
        <v>454</v>
      </c>
      <c r="G3065" s="40" t="s">
        <v>455</v>
      </c>
      <c r="H3065" s="40" t="s">
        <v>456</v>
      </c>
      <c r="I3065" s="40" t="s">
        <v>3145</v>
      </c>
      <c r="J3065" s="40" t="s">
        <v>3146</v>
      </c>
      <c r="K3065" s="40" t="s">
        <v>591</v>
      </c>
      <c r="L3065" s="95" t="s">
        <v>480</v>
      </c>
      <c r="M3065" s="93">
        <f>30*5</f>
        <v>150</v>
      </c>
      <c r="N3065" s="94">
        <v>155</v>
      </c>
      <c r="O3065" s="94">
        <f t="shared" si="76"/>
        <v>23250</v>
      </c>
      <c r="P3065" s="40" t="s">
        <v>3139</v>
      </c>
      <c r="Q3065" s="40" t="s">
        <v>766</v>
      </c>
      <c r="R3065" s="84">
        <v>631010000</v>
      </c>
      <c r="S3065" s="40">
        <v>0</v>
      </c>
    </row>
    <row r="3066" spans="1:19" s="92" customFormat="1" ht="51">
      <c r="A3066" s="5">
        <v>3051</v>
      </c>
      <c r="B3066" s="15" t="s">
        <v>710</v>
      </c>
      <c r="C3066" s="40" t="s">
        <v>2433</v>
      </c>
      <c r="D3066" s="40" t="s">
        <v>452</v>
      </c>
      <c r="E3066" s="40" t="s">
        <v>453</v>
      </c>
      <c r="F3066" s="40" t="s">
        <v>454</v>
      </c>
      <c r="G3066" s="40" t="s">
        <v>455</v>
      </c>
      <c r="H3066" s="40" t="s">
        <v>456</v>
      </c>
      <c r="I3066" s="40" t="s">
        <v>3147</v>
      </c>
      <c r="J3066" s="40" t="s">
        <v>3148</v>
      </c>
      <c r="K3066" s="40" t="s">
        <v>591</v>
      </c>
      <c r="L3066" s="95" t="s">
        <v>480</v>
      </c>
      <c r="M3066" s="93">
        <f>30*5</f>
        <v>150</v>
      </c>
      <c r="N3066" s="94">
        <v>200</v>
      </c>
      <c r="O3066" s="94">
        <f t="shared" si="76"/>
        <v>30000</v>
      </c>
      <c r="P3066" s="40" t="s">
        <v>3139</v>
      </c>
      <c r="Q3066" s="40" t="s">
        <v>766</v>
      </c>
      <c r="R3066" s="84">
        <v>631010000</v>
      </c>
      <c r="S3066" s="40">
        <v>0</v>
      </c>
    </row>
    <row r="3067" spans="1:19" s="92" customFormat="1" ht="51">
      <c r="A3067" s="5">
        <v>3052</v>
      </c>
      <c r="B3067" s="15" t="s">
        <v>710</v>
      </c>
      <c r="C3067" s="40" t="s">
        <v>2433</v>
      </c>
      <c r="D3067" s="40" t="s">
        <v>432</v>
      </c>
      <c r="E3067" s="40" t="s">
        <v>433</v>
      </c>
      <c r="F3067" s="40" t="s">
        <v>434</v>
      </c>
      <c r="G3067" s="40" t="s">
        <v>435</v>
      </c>
      <c r="H3067" s="40" t="s">
        <v>436</v>
      </c>
      <c r="I3067" s="40" t="s">
        <v>3149</v>
      </c>
      <c r="J3067" s="40" t="s">
        <v>3150</v>
      </c>
      <c r="K3067" s="40" t="s">
        <v>591</v>
      </c>
      <c r="L3067" s="95" t="s">
        <v>644</v>
      </c>
      <c r="M3067" s="93">
        <f>30*5</f>
        <v>150</v>
      </c>
      <c r="N3067" s="94">
        <v>250</v>
      </c>
      <c r="O3067" s="94">
        <f t="shared" si="76"/>
        <v>37500</v>
      </c>
      <c r="P3067" s="40" t="s">
        <v>3139</v>
      </c>
      <c r="Q3067" s="40" t="s">
        <v>766</v>
      </c>
      <c r="R3067" s="84">
        <v>631010000</v>
      </c>
      <c r="S3067" s="40">
        <v>0</v>
      </c>
    </row>
    <row r="3068" spans="1:19" s="92" customFormat="1" ht="51">
      <c r="A3068" s="5">
        <v>3053</v>
      </c>
      <c r="B3068" s="15" t="s">
        <v>710</v>
      </c>
      <c r="C3068" s="40" t="s">
        <v>2433</v>
      </c>
      <c r="D3068" s="40" t="s">
        <v>447</v>
      </c>
      <c r="E3068" s="40" t="s">
        <v>24</v>
      </c>
      <c r="F3068" s="40" t="s">
        <v>24</v>
      </c>
      <c r="G3068" s="40" t="s">
        <v>3215</v>
      </c>
      <c r="H3068" s="40" t="s">
        <v>448</v>
      </c>
      <c r="I3068" s="40" t="s">
        <v>3151</v>
      </c>
      <c r="J3068" s="40" t="s">
        <v>3152</v>
      </c>
      <c r="K3068" s="40" t="s">
        <v>591</v>
      </c>
      <c r="L3068" s="95" t="s">
        <v>644</v>
      </c>
      <c r="M3068" s="93">
        <f>30*3</f>
        <v>90</v>
      </c>
      <c r="N3068" s="94">
        <v>250</v>
      </c>
      <c r="O3068" s="94">
        <f t="shared" si="76"/>
        <v>22500</v>
      </c>
      <c r="P3068" s="40" t="s">
        <v>3139</v>
      </c>
      <c r="Q3068" s="40" t="s">
        <v>766</v>
      </c>
      <c r="R3068" s="84">
        <v>631010000</v>
      </c>
      <c r="S3068" s="40">
        <v>0</v>
      </c>
    </row>
    <row r="3069" spans="1:19" s="92" customFormat="1" ht="51">
      <c r="A3069" s="5">
        <v>3054</v>
      </c>
      <c r="B3069" s="15" t="s">
        <v>710</v>
      </c>
      <c r="C3069" s="40" t="s">
        <v>2433</v>
      </c>
      <c r="D3069" s="40" t="s">
        <v>449</v>
      </c>
      <c r="E3069" s="40" t="s">
        <v>450</v>
      </c>
      <c r="F3069" s="40" t="s">
        <v>450</v>
      </c>
      <c r="G3069" s="40" t="s">
        <v>3216</v>
      </c>
      <c r="H3069" s="40" t="s">
        <v>451</v>
      </c>
      <c r="I3069" s="40" t="s">
        <v>3153</v>
      </c>
      <c r="J3069" s="40" t="s">
        <v>3154</v>
      </c>
      <c r="K3069" s="40" t="s">
        <v>591</v>
      </c>
      <c r="L3069" s="95" t="s">
        <v>480</v>
      </c>
      <c r="M3069" s="93">
        <f>30*3</f>
        <v>90</v>
      </c>
      <c r="N3069" s="94">
        <v>250</v>
      </c>
      <c r="O3069" s="94">
        <f t="shared" si="76"/>
        <v>22500</v>
      </c>
      <c r="P3069" s="40" t="s">
        <v>3139</v>
      </c>
      <c r="Q3069" s="40" t="s">
        <v>766</v>
      </c>
      <c r="R3069" s="84">
        <v>631010000</v>
      </c>
      <c r="S3069" s="40">
        <v>0</v>
      </c>
    </row>
    <row r="3070" spans="1:19" s="92" customFormat="1" ht="51">
      <c r="A3070" s="5">
        <v>3055</v>
      </c>
      <c r="B3070" s="15" t="s">
        <v>710</v>
      </c>
      <c r="C3070" s="40" t="s">
        <v>2433</v>
      </c>
      <c r="D3070" s="40" t="s">
        <v>3155</v>
      </c>
      <c r="E3070" s="40" t="s">
        <v>3156</v>
      </c>
      <c r="F3070" s="40" t="s">
        <v>3157</v>
      </c>
      <c r="G3070" s="40" t="s">
        <v>3217</v>
      </c>
      <c r="H3070" s="40" t="s">
        <v>3218</v>
      </c>
      <c r="I3070" s="40" t="s">
        <v>3158</v>
      </c>
      <c r="J3070" s="40" t="s">
        <v>3159</v>
      </c>
      <c r="K3070" s="40" t="s">
        <v>591</v>
      </c>
      <c r="L3070" s="95" t="s">
        <v>644</v>
      </c>
      <c r="M3070" s="93">
        <f>30*2</f>
        <v>60</v>
      </c>
      <c r="N3070" s="94">
        <v>150</v>
      </c>
      <c r="O3070" s="94">
        <f t="shared" si="76"/>
        <v>9000</v>
      </c>
      <c r="P3070" s="40" t="s">
        <v>3139</v>
      </c>
      <c r="Q3070" s="40" t="s">
        <v>766</v>
      </c>
      <c r="R3070" s="84">
        <v>631010000</v>
      </c>
      <c r="S3070" s="40">
        <v>0</v>
      </c>
    </row>
    <row r="3071" spans="1:19" s="92" customFormat="1" ht="51">
      <c r="A3071" s="5">
        <v>3056</v>
      </c>
      <c r="B3071" s="15" t="s">
        <v>710</v>
      </c>
      <c r="C3071" s="40" t="s">
        <v>2433</v>
      </c>
      <c r="D3071" s="40" t="s">
        <v>437</v>
      </c>
      <c r="E3071" s="40" t="s">
        <v>20</v>
      </c>
      <c r="F3071" s="40" t="s">
        <v>20</v>
      </c>
      <c r="G3071" s="40" t="s">
        <v>438</v>
      </c>
      <c r="H3071" s="40" t="s">
        <v>439</v>
      </c>
      <c r="I3071" s="40" t="s">
        <v>3160</v>
      </c>
      <c r="J3071" s="40" t="s">
        <v>3161</v>
      </c>
      <c r="K3071" s="40" t="s">
        <v>591</v>
      </c>
      <c r="L3071" s="95" t="s">
        <v>644</v>
      </c>
      <c r="M3071" s="93">
        <f>30*5</f>
        <v>150</v>
      </c>
      <c r="N3071" s="94">
        <v>100</v>
      </c>
      <c r="O3071" s="94">
        <f t="shared" si="76"/>
        <v>15000</v>
      </c>
      <c r="P3071" s="40" t="s">
        <v>3139</v>
      </c>
      <c r="Q3071" s="40" t="s">
        <v>766</v>
      </c>
      <c r="R3071" s="84">
        <v>631010000</v>
      </c>
      <c r="S3071" s="40">
        <v>0</v>
      </c>
    </row>
    <row r="3072" spans="1:19" s="92" customFormat="1" ht="51">
      <c r="A3072" s="5">
        <v>3057</v>
      </c>
      <c r="B3072" s="15" t="s">
        <v>710</v>
      </c>
      <c r="C3072" s="40" t="s">
        <v>2433</v>
      </c>
      <c r="D3072" s="40" t="s">
        <v>3162</v>
      </c>
      <c r="E3072" s="40" t="s">
        <v>3163</v>
      </c>
      <c r="F3072" s="40" t="s">
        <v>3164</v>
      </c>
      <c r="G3072" s="31" t="s">
        <v>3219</v>
      </c>
      <c r="H3072" s="40" t="s">
        <v>3220</v>
      </c>
      <c r="I3072" s="40" t="s">
        <v>3165</v>
      </c>
      <c r="J3072" s="40" t="s">
        <v>3166</v>
      </c>
      <c r="K3072" s="40" t="s">
        <v>591</v>
      </c>
      <c r="L3072" s="95" t="s">
        <v>480</v>
      </c>
      <c r="M3072" s="93">
        <f>30*5</f>
        <v>150</v>
      </c>
      <c r="N3072" s="94">
        <v>500</v>
      </c>
      <c r="O3072" s="94">
        <f t="shared" si="76"/>
        <v>75000</v>
      </c>
      <c r="P3072" s="40" t="s">
        <v>3139</v>
      </c>
      <c r="Q3072" s="40" t="s">
        <v>766</v>
      </c>
      <c r="R3072" s="84">
        <v>631010000</v>
      </c>
      <c r="S3072" s="40">
        <v>0</v>
      </c>
    </row>
    <row r="3073" spans="1:19" s="92" customFormat="1" ht="51">
      <c r="A3073" s="5">
        <v>3058</v>
      </c>
      <c r="B3073" s="15" t="s">
        <v>710</v>
      </c>
      <c r="C3073" s="40" t="s">
        <v>2433</v>
      </c>
      <c r="D3073" s="40" t="s">
        <v>440</v>
      </c>
      <c r="E3073" s="40" t="s">
        <v>21</v>
      </c>
      <c r="F3073" s="40" t="s">
        <v>21</v>
      </c>
      <c r="G3073" s="31" t="s">
        <v>441</v>
      </c>
      <c r="H3073" s="40" t="s">
        <v>442</v>
      </c>
      <c r="I3073" s="40" t="s">
        <v>3167</v>
      </c>
      <c r="J3073" s="40" t="s">
        <v>3168</v>
      </c>
      <c r="K3073" s="40" t="s">
        <v>591</v>
      </c>
      <c r="L3073" s="95" t="s">
        <v>644</v>
      </c>
      <c r="M3073" s="93">
        <f t="shared" ref="M3073:M3078" si="77">30*1</f>
        <v>30</v>
      </c>
      <c r="N3073" s="94">
        <v>1500</v>
      </c>
      <c r="O3073" s="94">
        <f t="shared" si="76"/>
        <v>45000</v>
      </c>
      <c r="P3073" s="40" t="s">
        <v>3139</v>
      </c>
      <c r="Q3073" s="40" t="s">
        <v>766</v>
      </c>
      <c r="R3073" s="84">
        <v>631010000</v>
      </c>
      <c r="S3073" s="40">
        <v>0</v>
      </c>
    </row>
    <row r="3074" spans="1:19" s="92" customFormat="1" ht="127.5">
      <c r="A3074" s="5">
        <v>3059</v>
      </c>
      <c r="B3074" s="15" t="s">
        <v>710</v>
      </c>
      <c r="C3074" s="40" t="s">
        <v>2433</v>
      </c>
      <c r="D3074" s="40" t="s">
        <v>470</v>
      </c>
      <c r="E3074" s="40" t="s">
        <v>27</v>
      </c>
      <c r="F3074" s="40" t="s">
        <v>27</v>
      </c>
      <c r="G3074" s="31" t="s">
        <v>471</v>
      </c>
      <c r="H3074" s="40" t="s">
        <v>472</v>
      </c>
      <c r="I3074" s="40" t="s">
        <v>3169</v>
      </c>
      <c r="J3074" s="40" t="s">
        <v>3170</v>
      </c>
      <c r="K3074" s="40" t="s">
        <v>591</v>
      </c>
      <c r="L3074" s="95" t="s">
        <v>644</v>
      </c>
      <c r="M3074" s="93">
        <f t="shared" si="77"/>
        <v>30</v>
      </c>
      <c r="N3074" s="94">
        <v>3500</v>
      </c>
      <c r="O3074" s="94">
        <f t="shared" si="76"/>
        <v>105000</v>
      </c>
      <c r="P3074" s="40" t="s">
        <v>3139</v>
      </c>
      <c r="Q3074" s="40" t="s">
        <v>766</v>
      </c>
      <c r="R3074" s="84">
        <v>631010000</v>
      </c>
      <c r="S3074" s="40">
        <v>0</v>
      </c>
    </row>
    <row r="3075" spans="1:19" s="92" customFormat="1" ht="76.5">
      <c r="A3075" s="5">
        <v>3060</v>
      </c>
      <c r="B3075" s="15" t="s">
        <v>710</v>
      </c>
      <c r="C3075" s="40" t="s">
        <v>2433</v>
      </c>
      <c r="D3075" s="40" t="s">
        <v>3171</v>
      </c>
      <c r="E3075" s="40" t="s">
        <v>3172</v>
      </c>
      <c r="F3075" s="40" t="s">
        <v>3172</v>
      </c>
      <c r="G3075" s="40" t="s">
        <v>3173</v>
      </c>
      <c r="H3075" s="40" t="s">
        <v>3174</v>
      </c>
      <c r="I3075" s="40" t="s">
        <v>3175</v>
      </c>
      <c r="J3075" s="40" t="s">
        <v>3176</v>
      </c>
      <c r="K3075" s="40" t="s">
        <v>591</v>
      </c>
      <c r="L3075" s="95" t="s">
        <v>644</v>
      </c>
      <c r="M3075" s="93">
        <f t="shared" si="77"/>
        <v>30</v>
      </c>
      <c r="N3075" s="94">
        <v>150</v>
      </c>
      <c r="O3075" s="94">
        <f t="shared" si="76"/>
        <v>4500</v>
      </c>
      <c r="P3075" s="40" t="s">
        <v>3139</v>
      </c>
      <c r="Q3075" s="40" t="s">
        <v>766</v>
      </c>
      <c r="R3075" s="84">
        <v>631010000</v>
      </c>
      <c r="S3075" s="40">
        <v>0</v>
      </c>
    </row>
    <row r="3076" spans="1:19" s="92" customFormat="1" ht="51">
      <c r="A3076" s="5">
        <v>3061</v>
      </c>
      <c r="B3076" s="15" t="s">
        <v>710</v>
      </c>
      <c r="C3076" s="40" t="s">
        <v>2433</v>
      </c>
      <c r="D3076" s="40" t="s">
        <v>457</v>
      </c>
      <c r="E3076" s="40" t="s">
        <v>17</v>
      </c>
      <c r="F3076" s="40" t="s">
        <v>17</v>
      </c>
      <c r="G3076" s="40" t="s">
        <v>3177</v>
      </c>
      <c r="H3076" s="40" t="s">
        <v>458</v>
      </c>
      <c r="I3076" s="40" t="s">
        <v>3178</v>
      </c>
      <c r="J3076" s="40" t="s">
        <v>3179</v>
      </c>
      <c r="K3076" s="40" t="s">
        <v>591</v>
      </c>
      <c r="L3076" s="95" t="s">
        <v>644</v>
      </c>
      <c r="M3076" s="93">
        <f t="shared" si="77"/>
        <v>30</v>
      </c>
      <c r="N3076" s="94">
        <v>600</v>
      </c>
      <c r="O3076" s="94">
        <f t="shared" si="76"/>
        <v>18000</v>
      </c>
      <c r="P3076" s="40" t="s">
        <v>3139</v>
      </c>
      <c r="Q3076" s="40" t="s">
        <v>766</v>
      </c>
      <c r="R3076" s="84">
        <v>631010000</v>
      </c>
      <c r="S3076" s="40">
        <v>0</v>
      </c>
    </row>
    <row r="3077" spans="1:19" s="92" customFormat="1" ht="51">
      <c r="A3077" s="5">
        <v>3062</v>
      </c>
      <c r="B3077" s="15" t="s">
        <v>710</v>
      </c>
      <c r="C3077" s="40" t="s">
        <v>2433</v>
      </c>
      <c r="D3077" s="40" t="s">
        <v>457</v>
      </c>
      <c r="E3077" s="40" t="s">
        <v>17</v>
      </c>
      <c r="F3077" s="40" t="s">
        <v>17</v>
      </c>
      <c r="G3077" s="40" t="s">
        <v>3177</v>
      </c>
      <c r="H3077" s="40" t="s">
        <v>458</v>
      </c>
      <c r="I3077" s="40" t="s">
        <v>3180</v>
      </c>
      <c r="J3077" s="40" t="s">
        <v>3181</v>
      </c>
      <c r="K3077" s="40" t="s">
        <v>591</v>
      </c>
      <c r="L3077" s="95" t="s">
        <v>644</v>
      </c>
      <c r="M3077" s="93">
        <f t="shared" si="77"/>
        <v>30</v>
      </c>
      <c r="N3077" s="94">
        <v>800</v>
      </c>
      <c r="O3077" s="94">
        <f t="shared" si="76"/>
        <v>24000</v>
      </c>
      <c r="P3077" s="40" t="s">
        <v>3139</v>
      </c>
      <c r="Q3077" s="40" t="s">
        <v>766</v>
      </c>
      <c r="R3077" s="84">
        <v>631010000</v>
      </c>
      <c r="S3077" s="40">
        <v>0</v>
      </c>
    </row>
    <row r="3078" spans="1:19" s="92" customFormat="1" ht="51">
      <c r="A3078" s="5">
        <v>3063</v>
      </c>
      <c r="B3078" s="15" t="s">
        <v>710</v>
      </c>
      <c r="C3078" s="40" t="s">
        <v>2433</v>
      </c>
      <c r="D3078" s="40" t="s">
        <v>476</v>
      </c>
      <c r="E3078" s="40" t="s">
        <v>477</v>
      </c>
      <c r="F3078" s="40" t="s">
        <v>28</v>
      </c>
      <c r="G3078" s="40" t="s">
        <v>478</v>
      </c>
      <c r="H3078" s="40" t="s">
        <v>479</v>
      </c>
      <c r="I3078" s="40" t="s">
        <v>3182</v>
      </c>
      <c r="J3078" s="40" t="s">
        <v>3183</v>
      </c>
      <c r="K3078" s="40" t="s">
        <v>591</v>
      </c>
      <c r="L3078" s="95" t="s">
        <v>644</v>
      </c>
      <c r="M3078" s="93">
        <f t="shared" si="77"/>
        <v>30</v>
      </c>
      <c r="N3078" s="94">
        <v>1500</v>
      </c>
      <c r="O3078" s="94">
        <f t="shared" si="76"/>
        <v>45000</v>
      </c>
      <c r="P3078" s="40" t="s">
        <v>3139</v>
      </c>
      <c r="Q3078" s="40" t="s">
        <v>766</v>
      </c>
      <c r="R3078" s="84">
        <v>631010000</v>
      </c>
      <c r="S3078" s="40">
        <v>0</v>
      </c>
    </row>
    <row r="3079" spans="1:19" s="92" customFormat="1" ht="51">
      <c r="A3079" s="5">
        <v>3064</v>
      </c>
      <c r="B3079" s="15" t="s">
        <v>710</v>
      </c>
      <c r="C3079" s="40" t="s">
        <v>2433</v>
      </c>
      <c r="D3079" s="40" t="s">
        <v>468</v>
      </c>
      <c r="E3079" s="40" t="s">
        <v>3184</v>
      </c>
      <c r="F3079" s="40" t="s">
        <v>26</v>
      </c>
      <c r="G3079" s="40" t="s">
        <v>3185</v>
      </c>
      <c r="H3079" s="40" t="s">
        <v>469</v>
      </c>
      <c r="I3079" s="40" t="s">
        <v>3186</v>
      </c>
      <c r="J3079" s="40" t="s">
        <v>3187</v>
      </c>
      <c r="K3079" s="40" t="s">
        <v>591</v>
      </c>
      <c r="L3079" s="95" t="s">
        <v>644</v>
      </c>
      <c r="M3079" s="93">
        <f>30*5</f>
        <v>150</v>
      </c>
      <c r="N3079" s="94">
        <v>250</v>
      </c>
      <c r="O3079" s="94">
        <f t="shared" si="76"/>
        <v>37500</v>
      </c>
      <c r="P3079" s="40" t="s">
        <v>3139</v>
      </c>
      <c r="Q3079" s="40" t="s">
        <v>766</v>
      </c>
      <c r="R3079" s="84">
        <v>631010000</v>
      </c>
      <c r="S3079" s="40">
        <v>0</v>
      </c>
    </row>
    <row r="3080" spans="1:19" s="92" customFormat="1" ht="51">
      <c r="A3080" s="5">
        <v>3065</v>
      </c>
      <c r="B3080" s="15" t="s">
        <v>710</v>
      </c>
      <c r="C3080" s="40" t="s">
        <v>2433</v>
      </c>
      <c r="D3080" s="40" t="s">
        <v>443</v>
      </c>
      <c r="E3080" s="40" t="s">
        <v>444</v>
      </c>
      <c r="F3080" s="40" t="s">
        <v>444</v>
      </c>
      <c r="G3080" s="40" t="s">
        <v>445</v>
      </c>
      <c r="H3080" s="40" t="s">
        <v>446</v>
      </c>
      <c r="I3080" s="40" t="s">
        <v>3188</v>
      </c>
      <c r="J3080" s="40" t="s">
        <v>3189</v>
      </c>
      <c r="K3080" s="40" t="s">
        <v>591</v>
      </c>
      <c r="L3080" s="95" t="s">
        <v>644</v>
      </c>
      <c r="M3080" s="93">
        <f>30*5</f>
        <v>150</v>
      </c>
      <c r="N3080" s="94">
        <v>500</v>
      </c>
      <c r="O3080" s="94">
        <f t="shared" si="76"/>
        <v>75000</v>
      </c>
      <c r="P3080" s="40" t="s">
        <v>3139</v>
      </c>
      <c r="Q3080" s="40" t="s">
        <v>766</v>
      </c>
      <c r="R3080" s="84">
        <v>631010000</v>
      </c>
      <c r="S3080" s="40">
        <v>0</v>
      </c>
    </row>
    <row r="3081" spans="1:19" s="92" customFormat="1" ht="51">
      <c r="A3081" s="5">
        <v>3066</v>
      </c>
      <c r="B3081" s="15" t="s">
        <v>710</v>
      </c>
      <c r="C3081" s="40" t="s">
        <v>711</v>
      </c>
      <c r="D3081" s="40" t="s">
        <v>3190</v>
      </c>
      <c r="E3081" s="31" t="s">
        <v>3191</v>
      </c>
      <c r="F3081" s="31" t="s">
        <v>3192</v>
      </c>
      <c r="G3081" s="40" t="s">
        <v>3264</v>
      </c>
      <c r="H3081" s="40" t="s">
        <v>3264</v>
      </c>
      <c r="I3081" s="31" t="s">
        <v>3193</v>
      </c>
      <c r="J3081" s="31" t="s">
        <v>3194</v>
      </c>
      <c r="K3081" s="40" t="s">
        <v>591</v>
      </c>
      <c r="L3081" s="95" t="s">
        <v>644</v>
      </c>
      <c r="M3081" s="93">
        <f>30*1</f>
        <v>30</v>
      </c>
      <c r="N3081" s="94">
        <v>1200</v>
      </c>
      <c r="O3081" s="94">
        <f t="shared" si="76"/>
        <v>36000</v>
      </c>
      <c r="P3081" s="40" t="s">
        <v>3139</v>
      </c>
      <c r="Q3081" s="40" t="s">
        <v>766</v>
      </c>
      <c r="R3081" s="84">
        <v>631010000</v>
      </c>
      <c r="S3081" s="40">
        <v>0</v>
      </c>
    </row>
    <row r="3082" spans="1:19" s="92" customFormat="1" ht="89.25">
      <c r="A3082" s="5">
        <v>3067</v>
      </c>
      <c r="B3082" s="15" t="s">
        <v>710</v>
      </c>
      <c r="C3082" s="40" t="s">
        <v>597</v>
      </c>
      <c r="D3082" s="40" t="s">
        <v>598</v>
      </c>
      <c r="E3082" s="31" t="s">
        <v>599</v>
      </c>
      <c r="F3082" s="31" t="s">
        <v>782</v>
      </c>
      <c r="G3082" s="31" t="s">
        <v>3195</v>
      </c>
      <c r="H3082" s="40" t="s">
        <v>602</v>
      </c>
      <c r="I3082" s="40" t="s">
        <v>3196</v>
      </c>
      <c r="J3082" s="40" t="s">
        <v>3197</v>
      </c>
      <c r="K3082" s="40" t="s">
        <v>591</v>
      </c>
      <c r="L3082" s="11" t="s">
        <v>914</v>
      </c>
      <c r="M3082" s="93">
        <v>1</v>
      </c>
      <c r="N3082" s="94">
        <v>624400</v>
      </c>
      <c r="O3082" s="94">
        <v>624400</v>
      </c>
      <c r="P3082" s="40" t="s">
        <v>502</v>
      </c>
      <c r="Q3082" s="40" t="s">
        <v>766</v>
      </c>
      <c r="R3082" s="84">
        <v>633230100</v>
      </c>
      <c r="S3082" s="40">
        <v>0</v>
      </c>
    </row>
    <row r="3083" spans="1:19" s="92" customFormat="1" ht="89.25">
      <c r="A3083" s="5">
        <v>3068</v>
      </c>
      <c r="B3083" s="15" t="s">
        <v>710</v>
      </c>
      <c r="C3083" s="40" t="s">
        <v>597</v>
      </c>
      <c r="D3083" s="40" t="s">
        <v>598</v>
      </c>
      <c r="E3083" s="31" t="s">
        <v>599</v>
      </c>
      <c r="F3083" s="31" t="s">
        <v>782</v>
      </c>
      <c r="G3083" s="31" t="s">
        <v>3195</v>
      </c>
      <c r="H3083" s="40" t="s">
        <v>602</v>
      </c>
      <c r="I3083" s="40" t="s">
        <v>3196</v>
      </c>
      <c r="J3083" s="40" t="s">
        <v>3197</v>
      </c>
      <c r="K3083" s="40" t="s">
        <v>591</v>
      </c>
      <c r="L3083" s="11" t="s">
        <v>914</v>
      </c>
      <c r="M3083" s="93">
        <v>1</v>
      </c>
      <c r="N3083" s="94">
        <v>624400</v>
      </c>
      <c r="O3083" s="94">
        <v>624400</v>
      </c>
      <c r="P3083" s="40" t="s">
        <v>502</v>
      </c>
      <c r="Q3083" s="40" t="s">
        <v>766</v>
      </c>
      <c r="R3083" s="84">
        <v>633230100</v>
      </c>
      <c r="S3083" s="40">
        <v>0</v>
      </c>
    </row>
    <row r="3084" spans="1:19" s="92" customFormat="1" ht="51">
      <c r="A3084" s="5">
        <v>3069</v>
      </c>
      <c r="B3084" s="15" t="s">
        <v>710</v>
      </c>
      <c r="C3084" s="40" t="s">
        <v>597</v>
      </c>
      <c r="D3084" s="11" t="s">
        <v>850</v>
      </c>
      <c r="E3084" s="76" t="s">
        <v>1736</v>
      </c>
      <c r="F3084" s="76" t="s">
        <v>851</v>
      </c>
      <c r="G3084" s="76" t="s">
        <v>1737</v>
      </c>
      <c r="H3084" s="76" t="s">
        <v>852</v>
      </c>
      <c r="I3084" s="76" t="s">
        <v>3199</v>
      </c>
      <c r="J3084" s="76" t="s">
        <v>3200</v>
      </c>
      <c r="K3084" s="40" t="s">
        <v>591</v>
      </c>
      <c r="L3084" s="11" t="s">
        <v>914</v>
      </c>
      <c r="M3084" s="97">
        <v>1</v>
      </c>
      <c r="N3084" s="94">
        <f>10000*5</f>
        <v>50000</v>
      </c>
      <c r="O3084" s="94">
        <f>N3084</f>
        <v>50000</v>
      </c>
      <c r="P3084" s="40" t="s">
        <v>698</v>
      </c>
      <c r="Q3084" s="40" t="s">
        <v>766</v>
      </c>
      <c r="R3084" s="84">
        <v>633230100</v>
      </c>
      <c r="S3084" s="40">
        <v>0</v>
      </c>
    </row>
    <row r="3085" spans="1:19" s="92" customFormat="1" ht="51">
      <c r="A3085" s="5">
        <v>3070</v>
      </c>
      <c r="B3085" s="15" t="s">
        <v>710</v>
      </c>
      <c r="C3085" s="40" t="s">
        <v>597</v>
      </c>
      <c r="D3085" s="40" t="s">
        <v>2594</v>
      </c>
      <c r="E3085" s="31" t="s">
        <v>2618</v>
      </c>
      <c r="F3085" s="31" t="s">
        <v>2595</v>
      </c>
      <c r="G3085" s="31" t="s">
        <v>2618</v>
      </c>
      <c r="H3085" s="40" t="s">
        <v>2595</v>
      </c>
      <c r="I3085" s="40" t="s">
        <v>3201</v>
      </c>
      <c r="J3085" s="40" t="s">
        <v>3202</v>
      </c>
      <c r="K3085" s="40" t="s">
        <v>591</v>
      </c>
      <c r="L3085" s="11" t="s">
        <v>914</v>
      </c>
      <c r="M3085" s="93">
        <v>1</v>
      </c>
      <c r="N3085" s="94">
        <f>10500*3</f>
        <v>31500</v>
      </c>
      <c r="O3085" s="94">
        <f>N3085</f>
        <v>31500</v>
      </c>
      <c r="P3085" s="40" t="s">
        <v>3116</v>
      </c>
      <c r="Q3085" s="40" t="s">
        <v>766</v>
      </c>
      <c r="R3085" s="84">
        <v>633230100</v>
      </c>
      <c r="S3085" s="40">
        <v>30</v>
      </c>
    </row>
    <row r="3086" spans="1:19" s="92" customFormat="1" ht="89.25">
      <c r="A3086" s="5">
        <v>3071</v>
      </c>
      <c r="B3086" s="15" t="s">
        <v>710</v>
      </c>
      <c r="C3086" s="40" t="s">
        <v>711</v>
      </c>
      <c r="D3086" s="40" t="s">
        <v>976</v>
      </c>
      <c r="E3086" s="31" t="s">
        <v>730</v>
      </c>
      <c r="F3086" s="31" t="s">
        <v>731</v>
      </c>
      <c r="G3086" s="31" t="s">
        <v>977</v>
      </c>
      <c r="H3086" s="40" t="s">
        <v>978</v>
      </c>
      <c r="I3086" s="40" t="s">
        <v>3203</v>
      </c>
      <c r="J3086" s="40" t="s">
        <v>3204</v>
      </c>
      <c r="K3086" s="40" t="s">
        <v>591</v>
      </c>
      <c r="L3086" s="40" t="s">
        <v>644</v>
      </c>
      <c r="M3086" s="93">
        <v>2</v>
      </c>
      <c r="N3086" s="94">
        <v>26800</v>
      </c>
      <c r="O3086" s="94">
        <f>N3086*M3086</f>
        <v>53600</v>
      </c>
      <c r="P3086" s="40" t="s">
        <v>3116</v>
      </c>
      <c r="Q3086" s="40" t="s">
        <v>1051</v>
      </c>
      <c r="R3086" s="84">
        <v>633230100</v>
      </c>
      <c r="S3086" s="40">
        <v>100</v>
      </c>
    </row>
    <row r="3087" spans="1:19" s="92" customFormat="1" ht="63.75">
      <c r="A3087" s="5">
        <v>3072</v>
      </c>
      <c r="B3087" s="15" t="s">
        <v>710</v>
      </c>
      <c r="C3087" s="40" t="s">
        <v>711</v>
      </c>
      <c r="D3087" s="40" t="s">
        <v>744</v>
      </c>
      <c r="E3087" s="31" t="s">
        <v>745</v>
      </c>
      <c r="F3087" s="31" t="s">
        <v>109</v>
      </c>
      <c r="G3087" s="31" t="s">
        <v>746</v>
      </c>
      <c r="H3087" s="40" t="s">
        <v>3205</v>
      </c>
      <c r="I3087" s="40" t="s">
        <v>3206</v>
      </c>
      <c r="J3087" s="40" t="s">
        <v>3207</v>
      </c>
      <c r="K3087" s="40" t="s">
        <v>591</v>
      </c>
      <c r="L3087" s="40" t="s">
        <v>644</v>
      </c>
      <c r="M3087" s="93">
        <v>6</v>
      </c>
      <c r="N3087" s="94">
        <v>4000</v>
      </c>
      <c r="O3087" s="94">
        <f>M3087*N3087</f>
        <v>24000</v>
      </c>
      <c r="P3087" s="40" t="s">
        <v>3116</v>
      </c>
      <c r="Q3087" s="40" t="s">
        <v>1051</v>
      </c>
      <c r="R3087" s="84">
        <v>633230100</v>
      </c>
      <c r="S3087" s="40">
        <v>100</v>
      </c>
    </row>
    <row r="3088" spans="1:19" s="92" customFormat="1" ht="51">
      <c r="A3088" s="5">
        <v>3073</v>
      </c>
      <c r="B3088" s="15" t="s">
        <v>710</v>
      </c>
      <c r="C3088" s="40" t="s">
        <v>711</v>
      </c>
      <c r="D3088" s="98" t="s">
        <v>422</v>
      </c>
      <c r="E3088" s="76" t="s">
        <v>423</v>
      </c>
      <c r="F3088" s="76" t="s">
        <v>427</v>
      </c>
      <c r="G3088" s="76" t="s">
        <v>837</v>
      </c>
      <c r="H3088" s="76" t="s">
        <v>425</v>
      </c>
      <c r="I3088" s="76" t="s">
        <v>3208</v>
      </c>
      <c r="J3088" s="76" t="s">
        <v>3209</v>
      </c>
      <c r="K3088" s="76" t="s">
        <v>591</v>
      </c>
      <c r="L3088" s="11" t="s">
        <v>909</v>
      </c>
      <c r="M3088" s="53">
        <v>18</v>
      </c>
      <c r="N3088" s="94">
        <v>640</v>
      </c>
      <c r="O3088" s="94">
        <f>N3088*M3088</f>
        <v>11520</v>
      </c>
      <c r="P3088" s="40" t="s">
        <v>3116</v>
      </c>
      <c r="Q3088" s="40" t="s">
        <v>766</v>
      </c>
      <c r="R3088" s="84">
        <v>633230100</v>
      </c>
      <c r="S3088" s="40">
        <v>100</v>
      </c>
    </row>
    <row r="3089" spans="1:19" s="92" customFormat="1" ht="76.5">
      <c r="A3089" s="5">
        <v>3074</v>
      </c>
      <c r="B3089" s="15" t="s">
        <v>710</v>
      </c>
      <c r="C3089" s="40" t="s">
        <v>711</v>
      </c>
      <c r="D3089" s="40" t="s">
        <v>723</v>
      </c>
      <c r="E3089" s="31" t="s">
        <v>874</v>
      </c>
      <c r="F3089" s="31" t="s">
        <v>874</v>
      </c>
      <c r="G3089" s="31" t="s">
        <v>875</v>
      </c>
      <c r="H3089" s="40" t="s">
        <v>876</v>
      </c>
      <c r="I3089" s="40" t="s">
        <v>3210</v>
      </c>
      <c r="J3089" s="40" t="s">
        <v>3211</v>
      </c>
      <c r="K3089" s="40" t="s">
        <v>591</v>
      </c>
      <c r="L3089" s="40" t="s">
        <v>644</v>
      </c>
      <c r="M3089" s="93">
        <v>2</v>
      </c>
      <c r="N3089" s="94">
        <v>30000</v>
      </c>
      <c r="O3089" s="94">
        <f>N3089*M3089</f>
        <v>60000</v>
      </c>
      <c r="P3089" s="40" t="s">
        <v>3116</v>
      </c>
      <c r="Q3089" s="40" t="s">
        <v>1051</v>
      </c>
      <c r="R3089" s="84">
        <v>633630000</v>
      </c>
      <c r="S3089" s="40">
        <v>100</v>
      </c>
    </row>
    <row r="3090" spans="1:19" s="92" customFormat="1" ht="89.25">
      <c r="A3090" s="5">
        <v>3075</v>
      </c>
      <c r="B3090" s="15" t="s">
        <v>710</v>
      </c>
      <c r="C3090" s="40" t="s">
        <v>597</v>
      </c>
      <c r="D3090" s="40" t="s">
        <v>598</v>
      </c>
      <c r="E3090" s="31" t="s">
        <v>599</v>
      </c>
      <c r="F3090" s="31" t="s">
        <v>782</v>
      </c>
      <c r="G3090" s="31" t="s">
        <v>3195</v>
      </c>
      <c r="H3090" s="40" t="s">
        <v>602</v>
      </c>
      <c r="I3090" s="40" t="s">
        <v>3196</v>
      </c>
      <c r="J3090" s="40" t="s">
        <v>3197</v>
      </c>
      <c r="K3090" s="40" t="s">
        <v>591</v>
      </c>
      <c r="L3090" s="11" t="s">
        <v>914</v>
      </c>
      <c r="M3090" s="93">
        <v>1</v>
      </c>
      <c r="N3090" s="94">
        <v>624400</v>
      </c>
      <c r="O3090" s="94">
        <v>624400</v>
      </c>
      <c r="P3090" s="40" t="s">
        <v>502</v>
      </c>
      <c r="Q3090" s="40" t="s">
        <v>766</v>
      </c>
      <c r="R3090" s="84">
        <v>633630000</v>
      </c>
      <c r="S3090" s="40">
        <v>0</v>
      </c>
    </row>
    <row r="3091" spans="1:19" s="92" customFormat="1" ht="89.25">
      <c r="A3091" s="5">
        <v>3076</v>
      </c>
      <c r="B3091" s="15" t="s">
        <v>710</v>
      </c>
      <c r="C3091" s="40" t="s">
        <v>597</v>
      </c>
      <c r="D3091" s="40" t="s">
        <v>598</v>
      </c>
      <c r="E3091" s="31" t="s">
        <v>599</v>
      </c>
      <c r="F3091" s="31" t="s">
        <v>782</v>
      </c>
      <c r="G3091" s="31" t="s">
        <v>3195</v>
      </c>
      <c r="H3091" s="40" t="s">
        <v>602</v>
      </c>
      <c r="I3091" s="40" t="s">
        <v>3196</v>
      </c>
      <c r="J3091" s="40" t="s">
        <v>3197</v>
      </c>
      <c r="K3091" s="40" t="s">
        <v>591</v>
      </c>
      <c r="L3091" s="11" t="s">
        <v>914</v>
      </c>
      <c r="M3091" s="93">
        <v>1</v>
      </c>
      <c r="N3091" s="94">
        <v>624400</v>
      </c>
      <c r="O3091" s="94">
        <v>624400</v>
      </c>
      <c r="P3091" s="40" t="s">
        <v>502</v>
      </c>
      <c r="Q3091" s="40" t="s">
        <v>766</v>
      </c>
      <c r="R3091" s="84">
        <v>633630000</v>
      </c>
      <c r="S3091" s="40">
        <v>0</v>
      </c>
    </row>
    <row r="3092" spans="1:19" s="92" customFormat="1" ht="51">
      <c r="A3092" s="5">
        <v>3077</v>
      </c>
      <c r="B3092" s="15" t="s">
        <v>710</v>
      </c>
      <c r="C3092" s="40" t="s">
        <v>597</v>
      </c>
      <c r="D3092" s="11" t="s">
        <v>850</v>
      </c>
      <c r="E3092" s="76" t="s">
        <v>1736</v>
      </c>
      <c r="F3092" s="76" t="s">
        <v>851</v>
      </c>
      <c r="G3092" s="76" t="s">
        <v>1737</v>
      </c>
      <c r="H3092" s="76" t="s">
        <v>852</v>
      </c>
      <c r="I3092" s="76" t="s">
        <v>3199</v>
      </c>
      <c r="J3092" s="76" t="s">
        <v>3200</v>
      </c>
      <c r="K3092" s="40" t="s">
        <v>591</v>
      </c>
      <c r="L3092" s="11" t="s">
        <v>914</v>
      </c>
      <c r="M3092" s="97">
        <v>1</v>
      </c>
      <c r="N3092" s="94">
        <f>10000*5</f>
        <v>50000</v>
      </c>
      <c r="O3092" s="94">
        <f>N3092</f>
        <v>50000</v>
      </c>
      <c r="P3092" s="40" t="s">
        <v>698</v>
      </c>
      <c r="Q3092" s="40" t="s">
        <v>766</v>
      </c>
      <c r="R3092" s="84">
        <v>633630000</v>
      </c>
      <c r="S3092" s="40">
        <v>0</v>
      </c>
    </row>
    <row r="3093" spans="1:19" s="92" customFormat="1" ht="51">
      <c r="A3093" s="5">
        <v>3078</v>
      </c>
      <c r="B3093" s="15" t="s">
        <v>710</v>
      </c>
      <c r="C3093" s="40" t="s">
        <v>597</v>
      </c>
      <c r="D3093" s="40" t="s">
        <v>2594</v>
      </c>
      <c r="E3093" s="31" t="s">
        <v>2618</v>
      </c>
      <c r="F3093" s="31" t="s">
        <v>2595</v>
      </c>
      <c r="G3093" s="31" t="s">
        <v>2618</v>
      </c>
      <c r="H3093" s="40" t="s">
        <v>2595</v>
      </c>
      <c r="I3093" s="40" t="s">
        <v>3201</v>
      </c>
      <c r="J3093" s="40" t="s">
        <v>3202</v>
      </c>
      <c r="K3093" s="40" t="s">
        <v>591</v>
      </c>
      <c r="L3093" s="11" t="s">
        <v>914</v>
      </c>
      <c r="M3093" s="93">
        <v>1</v>
      </c>
      <c r="N3093" s="94">
        <f>10500*3</f>
        <v>31500</v>
      </c>
      <c r="O3093" s="94">
        <f>N3093</f>
        <v>31500</v>
      </c>
      <c r="P3093" s="40" t="s">
        <v>3116</v>
      </c>
      <c r="Q3093" s="40" t="s">
        <v>766</v>
      </c>
      <c r="R3093" s="84">
        <v>633630000</v>
      </c>
      <c r="S3093" s="40">
        <v>30</v>
      </c>
    </row>
    <row r="3094" spans="1:19" s="92" customFormat="1" ht="89.25">
      <c r="A3094" s="5">
        <v>3079</v>
      </c>
      <c r="B3094" s="15" t="s">
        <v>710</v>
      </c>
      <c r="C3094" s="40" t="s">
        <v>711</v>
      </c>
      <c r="D3094" s="40" t="s">
        <v>976</v>
      </c>
      <c r="E3094" s="31" t="s">
        <v>730</v>
      </c>
      <c r="F3094" s="31" t="s">
        <v>731</v>
      </c>
      <c r="G3094" s="31" t="s">
        <v>977</v>
      </c>
      <c r="H3094" s="40" t="s">
        <v>978</v>
      </c>
      <c r="I3094" s="40" t="s">
        <v>3203</v>
      </c>
      <c r="J3094" s="40" t="s">
        <v>3204</v>
      </c>
      <c r="K3094" s="40" t="s">
        <v>591</v>
      </c>
      <c r="L3094" s="40" t="s">
        <v>644</v>
      </c>
      <c r="M3094" s="93">
        <v>2</v>
      </c>
      <c r="N3094" s="94">
        <v>26800</v>
      </c>
      <c r="O3094" s="94">
        <f>N3094*M3094</f>
        <v>53600</v>
      </c>
      <c r="P3094" s="40" t="s">
        <v>3116</v>
      </c>
      <c r="Q3094" s="40" t="s">
        <v>1051</v>
      </c>
      <c r="R3094" s="84">
        <v>633630000</v>
      </c>
      <c r="S3094" s="40">
        <v>100</v>
      </c>
    </row>
    <row r="3095" spans="1:19" s="92" customFormat="1" ht="63.75">
      <c r="A3095" s="5">
        <v>3080</v>
      </c>
      <c r="B3095" s="15" t="s">
        <v>710</v>
      </c>
      <c r="C3095" s="40" t="s">
        <v>711</v>
      </c>
      <c r="D3095" s="40" t="s">
        <v>744</v>
      </c>
      <c r="E3095" s="31" t="s">
        <v>745</v>
      </c>
      <c r="F3095" s="31" t="s">
        <v>109</v>
      </c>
      <c r="G3095" s="31" t="s">
        <v>746</v>
      </c>
      <c r="H3095" s="40" t="s">
        <v>3205</v>
      </c>
      <c r="I3095" s="40" t="s">
        <v>3206</v>
      </c>
      <c r="J3095" s="40" t="s">
        <v>3207</v>
      </c>
      <c r="K3095" s="40" t="s">
        <v>591</v>
      </c>
      <c r="L3095" s="40" t="s">
        <v>644</v>
      </c>
      <c r="M3095" s="93">
        <v>6</v>
      </c>
      <c r="N3095" s="94">
        <v>4000</v>
      </c>
      <c r="O3095" s="94">
        <f>M3095*N3095</f>
        <v>24000</v>
      </c>
      <c r="P3095" s="40" t="s">
        <v>3116</v>
      </c>
      <c r="Q3095" s="40" t="s">
        <v>1051</v>
      </c>
      <c r="R3095" s="84">
        <v>633630000</v>
      </c>
      <c r="S3095" s="40">
        <v>100</v>
      </c>
    </row>
    <row r="3096" spans="1:19" s="92" customFormat="1" ht="51">
      <c r="A3096" s="5">
        <v>3081</v>
      </c>
      <c r="B3096" s="15" t="s">
        <v>710</v>
      </c>
      <c r="C3096" s="40" t="s">
        <v>711</v>
      </c>
      <c r="D3096" s="98" t="s">
        <v>422</v>
      </c>
      <c r="E3096" s="76" t="s">
        <v>423</v>
      </c>
      <c r="F3096" s="76" t="s">
        <v>427</v>
      </c>
      <c r="G3096" s="76" t="s">
        <v>837</v>
      </c>
      <c r="H3096" s="76" t="s">
        <v>425</v>
      </c>
      <c r="I3096" s="76" t="s">
        <v>3208</v>
      </c>
      <c r="J3096" s="76" t="s">
        <v>3209</v>
      </c>
      <c r="K3096" s="76" t="s">
        <v>591</v>
      </c>
      <c r="L3096" s="11" t="s">
        <v>909</v>
      </c>
      <c r="M3096" s="53">
        <v>18</v>
      </c>
      <c r="N3096" s="94">
        <v>640</v>
      </c>
      <c r="O3096" s="94">
        <f>N3096*M3096</f>
        <v>11520</v>
      </c>
      <c r="P3096" s="40" t="s">
        <v>3116</v>
      </c>
      <c r="Q3096" s="40" t="s">
        <v>766</v>
      </c>
      <c r="R3096" s="84">
        <v>633630000</v>
      </c>
      <c r="S3096" s="40">
        <v>100</v>
      </c>
    </row>
    <row r="3097" spans="1:19" s="92" customFormat="1" ht="76.5">
      <c r="A3097" s="5">
        <v>3082</v>
      </c>
      <c r="B3097" s="15" t="s">
        <v>710</v>
      </c>
      <c r="C3097" s="40" t="s">
        <v>711</v>
      </c>
      <c r="D3097" s="40" t="s">
        <v>723</v>
      </c>
      <c r="E3097" s="31" t="s">
        <v>874</v>
      </c>
      <c r="F3097" s="31" t="s">
        <v>874</v>
      </c>
      <c r="G3097" s="31" t="s">
        <v>875</v>
      </c>
      <c r="H3097" s="40" t="s">
        <v>876</v>
      </c>
      <c r="I3097" s="40" t="s">
        <v>3210</v>
      </c>
      <c r="J3097" s="40" t="s">
        <v>3211</v>
      </c>
      <c r="K3097" s="40" t="s">
        <v>591</v>
      </c>
      <c r="L3097" s="40" t="s">
        <v>644</v>
      </c>
      <c r="M3097" s="93">
        <v>2</v>
      </c>
      <c r="N3097" s="94">
        <v>30000</v>
      </c>
      <c r="O3097" s="94">
        <f>N3097*M3097</f>
        <v>60000</v>
      </c>
      <c r="P3097" s="40" t="s">
        <v>3116</v>
      </c>
      <c r="Q3097" s="40" t="s">
        <v>1051</v>
      </c>
      <c r="R3097" s="84">
        <v>633630000</v>
      </c>
      <c r="S3097" s="40">
        <v>100</v>
      </c>
    </row>
    <row r="3098" spans="1:19" s="92" customFormat="1" ht="89.25">
      <c r="A3098" s="5">
        <v>3083</v>
      </c>
      <c r="B3098" s="15" t="s">
        <v>710</v>
      </c>
      <c r="C3098" s="40" t="s">
        <v>597</v>
      </c>
      <c r="D3098" s="40" t="s">
        <v>598</v>
      </c>
      <c r="E3098" s="31" t="s">
        <v>599</v>
      </c>
      <c r="F3098" s="31" t="s">
        <v>782</v>
      </c>
      <c r="G3098" s="31" t="s">
        <v>3195</v>
      </c>
      <c r="H3098" s="40" t="s">
        <v>602</v>
      </c>
      <c r="I3098" s="40" t="s">
        <v>3196</v>
      </c>
      <c r="J3098" s="40" t="s">
        <v>3197</v>
      </c>
      <c r="K3098" s="40" t="s">
        <v>591</v>
      </c>
      <c r="L3098" s="11" t="s">
        <v>914</v>
      </c>
      <c r="M3098" s="93">
        <v>1</v>
      </c>
      <c r="N3098" s="94">
        <v>624400</v>
      </c>
      <c r="O3098" s="94">
        <v>624400</v>
      </c>
      <c r="P3098" s="40" t="s">
        <v>502</v>
      </c>
      <c r="Q3098" s="40" t="s">
        <v>766</v>
      </c>
      <c r="R3098" s="84">
        <v>633830000</v>
      </c>
      <c r="S3098" s="40">
        <v>0</v>
      </c>
    </row>
    <row r="3099" spans="1:19" s="92" customFormat="1" ht="89.25">
      <c r="A3099" s="5">
        <v>3084</v>
      </c>
      <c r="B3099" s="15" t="s">
        <v>710</v>
      </c>
      <c r="C3099" s="40" t="s">
        <v>597</v>
      </c>
      <c r="D3099" s="40" t="s">
        <v>598</v>
      </c>
      <c r="E3099" s="31" t="s">
        <v>599</v>
      </c>
      <c r="F3099" s="31" t="s">
        <v>782</v>
      </c>
      <c r="G3099" s="31" t="s">
        <v>3195</v>
      </c>
      <c r="H3099" s="40" t="s">
        <v>602</v>
      </c>
      <c r="I3099" s="40" t="s">
        <v>3196</v>
      </c>
      <c r="J3099" s="40" t="s">
        <v>3197</v>
      </c>
      <c r="K3099" s="40" t="s">
        <v>591</v>
      </c>
      <c r="L3099" s="11" t="s">
        <v>914</v>
      </c>
      <c r="M3099" s="93">
        <v>1</v>
      </c>
      <c r="N3099" s="94">
        <v>624400</v>
      </c>
      <c r="O3099" s="94">
        <v>624400</v>
      </c>
      <c r="P3099" s="40" t="s">
        <v>502</v>
      </c>
      <c r="Q3099" s="40" t="s">
        <v>766</v>
      </c>
      <c r="R3099" s="84">
        <v>633830000</v>
      </c>
      <c r="S3099" s="40">
        <v>0</v>
      </c>
    </row>
    <row r="3100" spans="1:19" s="92" customFormat="1" ht="51">
      <c r="A3100" s="5">
        <v>3085</v>
      </c>
      <c r="B3100" s="15" t="s">
        <v>710</v>
      </c>
      <c r="C3100" s="40" t="s">
        <v>597</v>
      </c>
      <c r="D3100" s="11" t="s">
        <v>850</v>
      </c>
      <c r="E3100" s="76" t="s">
        <v>1736</v>
      </c>
      <c r="F3100" s="76" t="s">
        <v>851</v>
      </c>
      <c r="G3100" s="76" t="s">
        <v>1737</v>
      </c>
      <c r="H3100" s="76" t="s">
        <v>852</v>
      </c>
      <c r="I3100" s="76" t="s">
        <v>3199</v>
      </c>
      <c r="J3100" s="76" t="s">
        <v>3200</v>
      </c>
      <c r="K3100" s="40" t="s">
        <v>591</v>
      </c>
      <c r="L3100" s="11" t="s">
        <v>914</v>
      </c>
      <c r="M3100" s="97">
        <v>1</v>
      </c>
      <c r="N3100" s="94">
        <f>10000*5</f>
        <v>50000</v>
      </c>
      <c r="O3100" s="94">
        <f>N3100</f>
        <v>50000</v>
      </c>
      <c r="P3100" s="40" t="s">
        <v>698</v>
      </c>
      <c r="Q3100" s="40" t="s">
        <v>766</v>
      </c>
      <c r="R3100" s="84">
        <v>633830000</v>
      </c>
      <c r="S3100" s="40">
        <v>0</v>
      </c>
    </row>
    <row r="3101" spans="1:19" s="92" customFormat="1" ht="51">
      <c r="A3101" s="5">
        <v>3086</v>
      </c>
      <c r="B3101" s="15" t="s">
        <v>710</v>
      </c>
      <c r="C3101" s="40" t="s">
        <v>597</v>
      </c>
      <c r="D3101" s="40" t="s">
        <v>2594</v>
      </c>
      <c r="E3101" s="31" t="s">
        <v>2618</v>
      </c>
      <c r="F3101" s="31" t="s">
        <v>2595</v>
      </c>
      <c r="G3101" s="31" t="s">
        <v>2618</v>
      </c>
      <c r="H3101" s="40" t="s">
        <v>2595</v>
      </c>
      <c r="I3101" s="40" t="s">
        <v>3201</v>
      </c>
      <c r="J3101" s="40" t="s">
        <v>3202</v>
      </c>
      <c r="K3101" s="40" t="s">
        <v>591</v>
      </c>
      <c r="L3101" s="11" t="s">
        <v>914</v>
      </c>
      <c r="M3101" s="93">
        <v>1</v>
      </c>
      <c r="N3101" s="94">
        <f>10500*3</f>
        <v>31500</v>
      </c>
      <c r="O3101" s="94">
        <f>N3101</f>
        <v>31500</v>
      </c>
      <c r="P3101" s="40" t="s">
        <v>3116</v>
      </c>
      <c r="Q3101" s="40" t="s">
        <v>766</v>
      </c>
      <c r="R3101" s="84">
        <v>633830000</v>
      </c>
      <c r="S3101" s="40">
        <v>30</v>
      </c>
    </row>
    <row r="3102" spans="1:19" s="92" customFormat="1" ht="89.25">
      <c r="A3102" s="5">
        <v>3087</v>
      </c>
      <c r="B3102" s="15" t="s">
        <v>710</v>
      </c>
      <c r="C3102" s="40" t="s">
        <v>711</v>
      </c>
      <c r="D3102" s="40" t="s">
        <v>976</v>
      </c>
      <c r="E3102" s="31" t="s">
        <v>730</v>
      </c>
      <c r="F3102" s="31" t="s">
        <v>731</v>
      </c>
      <c r="G3102" s="31" t="s">
        <v>977</v>
      </c>
      <c r="H3102" s="40" t="s">
        <v>978</v>
      </c>
      <c r="I3102" s="40" t="s">
        <v>3203</v>
      </c>
      <c r="J3102" s="40" t="s">
        <v>3204</v>
      </c>
      <c r="K3102" s="40" t="s">
        <v>591</v>
      </c>
      <c r="L3102" s="40" t="s">
        <v>644</v>
      </c>
      <c r="M3102" s="93">
        <v>2</v>
      </c>
      <c r="N3102" s="94">
        <v>26800</v>
      </c>
      <c r="O3102" s="94">
        <f>N3102*M3102</f>
        <v>53600</v>
      </c>
      <c r="P3102" s="40" t="s">
        <v>3116</v>
      </c>
      <c r="Q3102" s="40" t="s">
        <v>1051</v>
      </c>
      <c r="R3102" s="84">
        <v>633830000</v>
      </c>
      <c r="S3102" s="40">
        <v>100</v>
      </c>
    </row>
    <row r="3103" spans="1:19" s="92" customFormat="1" ht="63.75">
      <c r="A3103" s="5">
        <v>3088</v>
      </c>
      <c r="B3103" s="15" t="s">
        <v>710</v>
      </c>
      <c r="C3103" s="40" t="s">
        <v>711</v>
      </c>
      <c r="D3103" s="40" t="s">
        <v>744</v>
      </c>
      <c r="E3103" s="31" t="s">
        <v>745</v>
      </c>
      <c r="F3103" s="31" t="s">
        <v>109</v>
      </c>
      <c r="G3103" s="31" t="s">
        <v>746</v>
      </c>
      <c r="H3103" s="40" t="s">
        <v>3205</v>
      </c>
      <c r="I3103" s="40" t="s">
        <v>3206</v>
      </c>
      <c r="J3103" s="40" t="s">
        <v>3207</v>
      </c>
      <c r="K3103" s="40" t="s">
        <v>591</v>
      </c>
      <c r="L3103" s="40" t="s">
        <v>644</v>
      </c>
      <c r="M3103" s="93">
        <v>6</v>
      </c>
      <c r="N3103" s="94">
        <v>4000</v>
      </c>
      <c r="O3103" s="94">
        <f>M3103*N3103</f>
        <v>24000</v>
      </c>
      <c r="P3103" s="40" t="s">
        <v>3116</v>
      </c>
      <c r="Q3103" s="40" t="s">
        <v>1051</v>
      </c>
      <c r="R3103" s="84">
        <v>633830000</v>
      </c>
      <c r="S3103" s="40">
        <v>100</v>
      </c>
    </row>
    <row r="3104" spans="1:19" s="92" customFormat="1" ht="51">
      <c r="A3104" s="5">
        <v>3089</v>
      </c>
      <c r="B3104" s="15" t="s">
        <v>710</v>
      </c>
      <c r="C3104" s="40" t="s">
        <v>711</v>
      </c>
      <c r="D3104" s="98" t="s">
        <v>422</v>
      </c>
      <c r="E3104" s="76" t="s">
        <v>423</v>
      </c>
      <c r="F3104" s="76" t="s">
        <v>427</v>
      </c>
      <c r="G3104" s="76" t="s">
        <v>837</v>
      </c>
      <c r="H3104" s="76" t="s">
        <v>425</v>
      </c>
      <c r="I3104" s="76" t="s">
        <v>3208</v>
      </c>
      <c r="J3104" s="76" t="s">
        <v>3209</v>
      </c>
      <c r="K3104" s="76" t="s">
        <v>591</v>
      </c>
      <c r="L3104" s="11" t="s">
        <v>909</v>
      </c>
      <c r="M3104" s="53">
        <v>18</v>
      </c>
      <c r="N3104" s="94">
        <v>640</v>
      </c>
      <c r="O3104" s="94">
        <f>N3104*M3104</f>
        <v>11520</v>
      </c>
      <c r="P3104" s="40" t="s">
        <v>3116</v>
      </c>
      <c r="Q3104" s="40" t="s">
        <v>766</v>
      </c>
      <c r="R3104" s="84">
        <v>633830000</v>
      </c>
      <c r="S3104" s="40">
        <v>100</v>
      </c>
    </row>
    <row r="3105" spans="1:19" s="92" customFormat="1" ht="76.5">
      <c r="A3105" s="5">
        <v>3090</v>
      </c>
      <c r="B3105" s="15" t="s">
        <v>710</v>
      </c>
      <c r="C3105" s="40" t="s">
        <v>711</v>
      </c>
      <c r="D3105" s="40" t="s">
        <v>723</v>
      </c>
      <c r="E3105" s="31" t="s">
        <v>874</v>
      </c>
      <c r="F3105" s="31" t="s">
        <v>874</v>
      </c>
      <c r="G3105" s="31" t="s">
        <v>875</v>
      </c>
      <c r="H3105" s="40" t="s">
        <v>876</v>
      </c>
      <c r="I3105" s="40" t="s">
        <v>3210</v>
      </c>
      <c r="J3105" s="40" t="s">
        <v>3211</v>
      </c>
      <c r="K3105" s="40" t="s">
        <v>591</v>
      </c>
      <c r="L3105" s="40" t="s">
        <v>644</v>
      </c>
      <c r="M3105" s="93">
        <v>1</v>
      </c>
      <c r="N3105" s="94">
        <v>30000</v>
      </c>
      <c r="O3105" s="94">
        <f>N3105*M3105</f>
        <v>30000</v>
      </c>
      <c r="P3105" s="40" t="s">
        <v>3116</v>
      </c>
      <c r="Q3105" s="40" t="s">
        <v>1051</v>
      </c>
      <c r="R3105" s="84">
        <v>633630000</v>
      </c>
      <c r="S3105" s="40">
        <v>100</v>
      </c>
    </row>
    <row r="3106" spans="1:19" s="92" customFormat="1" ht="89.25">
      <c r="A3106" s="5">
        <v>3091</v>
      </c>
      <c r="B3106" s="15" t="s">
        <v>710</v>
      </c>
      <c r="C3106" s="40" t="s">
        <v>597</v>
      </c>
      <c r="D3106" s="40" t="s">
        <v>598</v>
      </c>
      <c r="E3106" s="31" t="s">
        <v>599</v>
      </c>
      <c r="F3106" s="31" t="s">
        <v>782</v>
      </c>
      <c r="G3106" s="31" t="s">
        <v>3195</v>
      </c>
      <c r="H3106" s="40" t="s">
        <v>602</v>
      </c>
      <c r="I3106" s="40" t="s">
        <v>3196</v>
      </c>
      <c r="J3106" s="40" t="s">
        <v>3197</v>
      </c>
      <c r="K3106" s="40" t="s">
        <v>591</v>
      </c>
      <c r="L3106" s="11" t="s">
        <v>914</v>
      </c>
      <c r="M3106" s="93">
        <v>1</v>
      </c>
      <c r="N3106" s="94">
        <v>624400</v>
      </c>
      <c r="O3106" s="94">
        <v>624400</v>
      </c>
      <c r="P3106" s="40" t="s">
        <v>502</v>
      </c>
      <c r="Q3106" s="40" t="s">
        <v>766</v>
      </c>
      <c r="R3106" s="84">
        <v>634030100</v>
      </c>
      <c r="S3106" s="40">
        <v>0</v>
      </c>
    </row>
    <row r="3107" spans="1:19" s="92" customFormat="1" ht="89.25">
      <c r="A3107" s="5">
        <v>3092</v>
      </c>
      <c r="B3107" s="15" t="s">
        <v>710</v>
      </c>
      <c r="C3107" s="40" t="s">
        <v>597</v>
      </c>
      <c r="D3107" s="40" t="s">
        <v>598</v>
      </c>
      <c r="E3107" s="31" t="s">
        <v>599</v>
      </c>
      <c r="F3107" s="31" t="s">
        <v>782</v>
      </c>
      <c r="G3107" s="31" t="s">
        <v>3195</v>
      </c>
      <c r="H3107" s="40" t="s">
        <v>602</v>
      </c>
      <c r="I3107" s="40" t="s">
        <v>3196</v>
      </c>
      <c r="J3107" s="40" t="s">
        <v>3197</v>
      </c>
      <c r="K3107" s="40" t="s">
        <v>591</v>
      </c>
      <c r="L3107" s="11" t="s">
        <v>914</v>
      </c>
      <c r="M3107" s="93">
        <v>1</v>
      </c>
      <c r="N3107" s="94">
        <v>624400</v>
      </c>
      <c r="O3107" s="94">
        <v>624400</v>
      </c>
      <c r="P3107" s="40" t="s">
        <v>502</v>
      </c>
      <c r="Q3107" s="40" t="s">
        <v>766</v>
      </c>
      <c r="R3107" s="84">
        <v>634030100</v>
      </c>
      <c r="S3107" s="40">
        <v>0</v>
      </c>
    </row>
    <row r="3108" spans="1:19" s="92" customFormat="1" ht="51">
      <c r="A3108" s="5">
        <v>3093</v>
      </c>
      <c r="B3108" s="15" t="s">
        <v>710</v>
      </c>
      <c r="C3108" s="40" t="s">
        <v>597</v>
      </c>
      <c r="D3108" s="11" t="s">
        <v>850</v>
      </c>
      <c r="E3108" s="76" t="s">
        <v>1736</v>
      </c>
      <c r="F3108" s="76" t="s">
        <v>851</v>
      </c>
      <c r="G3108" s="76" t="s">
        <v>1737</v>
      </c>
      <c r="H3108" s="76" t="s">
        <v>852</v>
      </c>
      <c r="I3108" s="76" t="s">
        <v>3199</v>
      </c>
      <c r="J3108" s="76" t="s">
        <v>3200</v>
      </c>
      <c r="K3108" s="40" t="s">
        <v>591</v>
      </c>
      <c r="L3108" s="11" t="s">
        <v>914</v>
      </c>
      <c r="M3108" s="97">
        <v>1</v>
      </c>
      <c r="N3108" s="94">
        <f>10000*5</f>
        <v>50000</v>
      </c>
      <c r="O3108" s="94">
        <f>N3108</f>
        <v>50000</v>
      </c>
      <c r="P3108" s="40" t="s">
        <v>698</v>
      </c>
      <c r="Q3108" s="40" t="s">
        <v>766</v>
      </c>
      <c r="R3108" s="84">
        <v>635830100</v>
      </c>
      <c r="S3108" s="40">
        <v>0</v>
      </c>
    </row>
    <row r="3109" spans="1:19" s="92" customFormat="1" ht="51">
      <c r="A3109" s="5">
        <v>3094</v>
      </c>
      <c r="B3109" s="15" t="s">
        <v>710</v>
      </c>
      <c r="C3109" s="40" t="s">
        <v>597</v>
      </c>
      <c r="D3109" s="40" t="s">
        <v>2594</v>
      </c>
      <c r="E3109" s="31" t="s">
        <v>2618</v>
      </c>
      <c r="F3109" s="31" t="s">
        <v>2595</v>
      </c>
      <c r="G3109" s="31" t="s">
        <v>2618</v>
      </c>
      <c r="H3109" s="40" t="s">
        <v>2595</v>
      </c>
      <c r="I3109" s="40" t="s">
        <v>3201</v>
      </c>
      <c r="J3109" s="40" t="s">
        <v>3202</v>
      </c>
      <c r="K3109" s="40" t="s">
        <v>591</v>
      </c>
      <c r="L3109" s="11" t="s">
        <v>914</v>
      </c>
      <c r="M3109" s="93">
        <v>1</v>
      </c>
      <c r="N3109" s="94">
        <f>10500*3</f>
        <v>31500</v>
      </c>
      <c r="O3109" s="94">
        <f>N3109</f>
        <v>31500</v>
      </c>
      <c r="P3109" s="40" t="s">
        <v>3116</v>
      </c>
      <c r="Q3109" s="40" t="s">
        <v>766</v>
      </c>
      <c r="R3109" s="84">
        <v>635830100</v>
      </c>
      <c r="S3109" s="40">
        <v>30</v>
      </c>
    </row>
    <row r="3110" spans="1:19" s="92" customFormat="1" ht="89.25">
      <c r="A3110" s="5">
        <v>3095</v>
      </c>
      <c r="B3110" s="15" t="s">
        <v>710</v>
      </c>
      <c r="C3110" s="40" t="s">
        <v>711</v>
      </c>
      <c r="D3110" s="40" t="s">
        <v>976</v>
      </c>
      <c r="E3110" s="31" t="s">
        <v>730</v>
      </c>
      <c r="F3110" s="31" t="s">
        <v>731</v>
      </c>
      <c r="G3110" s="31" t="s">
        <v>977</v>
      </c>
      <c r="H3110" s="40" t="s">
        <v>978</v>
      </c>
      <c r="I3110" s="40" t="s">
        <v>3203</v>
      </c>
      <c r="J3110" s="40" t="s">
        <v>3204</v>
      </c>
      <c r="K3110" s="40" t="s">
        <v>591</v>
      </c>
      <c r="L3110" s="40" t="s">
        <v>644</v>
      </c>
      <c r="M3110" s="93">
        <v>2</v>
      </c>
      <c r="N3110" s="94">
        <v>26800</v>
      </c>
      <c r="O3110" s="94">
        <f>N3110*M3110</f>
        <v>53600</v>
      </c>
      <c r="P3110" s="40" t="s">
        <v>3116</v>
      </c>
      <c r="Q3110" s="40" t="s">
        <v>1051</v>
      </c>
      <c r="R3110" s="84">
        <v>635830100</v>
      </c>
      <c r="S3110" s="40">
        <v>100</v>
      </c>
    </row>
    <row r="3111" spans="1:19" s="92" customFormat="1" ht="63.75">
      <c r="A3111" s="5">
        <v>3096</v>
      </c>
      <c r="B3111" s="15" t="s">
        <v>710</v>
      </c>
      <c r="C3111" s="40" t="s">
        <v>711</v>
      </c>
      <c r="D3111" s="40" t="s">
        <v>744</v>
      </c>
      <c r="E3111" s="31" t="s">
        <v>745</v>
      </c>
      <c r="F3111" s="31" t="s">
        <v>109</v>
      </c>
      <c r="G3111" s="31" t="s">
        <v>746</v>
      </c>
      <c r="H3111" s="40" t="s">
        <v>3205</v>
      </c>
      <c r="I3111" s="40" t="s">
        <v>3206</v>
      </c>
      <c r="J3111" s="40" t="s">
        <v>3207</v>
      </c>
      <c r="K3111" s="40" t="s">
        <v>591</v>
      </c>
      <c r="L3111" s="40" t="s">
        <v>644</v>
      </c>
      <c r="M3111" s="93">
        <v>6</v>
      </c>
      <c r="N3111" s="94">
        <v>4000</v>
      </c>
      <c r="O3111" s="94">
        <f>M3111*N3111</f>
        <v>24000</v>
      </c>
      <c r="P3111" s="40" t="s">
        <v>3116</v>
      </c>
      <c r="Q3111" s="40" t="s">
        <v>1051</v>
      </c>
      <c r="R3111" s="84">
        <v>635830100</v>
      </c>
      <c r="S3111" s="40">
        <v>100</v>
      </c>
    </row>
    <row r="3112" spans="1:19" s="92" customFormat="1" ht="51">
      <c r="A3112" s="5">
        <v>3097</v>
      </c>
      <c r="B3112" s="15" t="s">
        <v>710</v>
      </c>
      <c r="C3112" s="40" t="s">
        <v>711</v>
      </c>
      <c r="D3112" s="98" t="s">
        <v>422</v>
      </c>
      <c r="E3112" s="76" t="s">
        <v>423</v>
      </c>
      <c r="F3112" s="76" t="s">
        <v>427</v>
      </c>
      <c r="G3112" s="76" t="s">
        <v>837</v>
      </c>
      <c r="H3112" s="76" t="s">
        <v>425</v>
      </c>
      <c r="I3112" s="76" t="s">
        <v>3208</v>
      </c>
      <c r="J3112" s="76" t="s">
        <v>3209</v>
      </c>
      <c r="K3112" s="76" t="s">
        <v>591</v>
      </c>
      <c r="L3112" s="11" t="s">
        <v>909</v>
      </c>
      <c r="M3112" s="53">
        <v>18</v>
      </c>
      <c r="N3112" s="94">
        <v>640</v>
      </c>
      <c r="O3112" s="94">
        <f>N3112*M3112</f>
        <v>11520</v>
      </c>
      <c r="P3112" s="40" t="s">
        <v>3116</v>
      </c>
      <c r="Q3112" s="40" t="s">
        <v>766</v>
      </c>
      <c r="R3112" s="84">
        <v>635830100</v>
      </c>
      <c r="S3112" s="40">
        <v>100</v>
      </c>
    </row>
    <row r="3113" spans="1:19" s="92" customFormat="1" ht="76.5">
      <c r="A3113" s="5">
        <v>3098</v>
      </c>
      <c r="B3113" s="15" t="s">
        <v>710</v>
      </c>
      <c r="C3113" s="40" t="s">
        <v>711</v>
      </c>
      <c r="D3113" s="40" t="s">
        <v>723</v>
      </c>
      <c r="E3113" s="31" t="s">
        <v>874</v>
      </c>
      <c r="F3113" s="31" t="s">
        <v>874</v>
      </c>
      <c r="G3113" s="31" t="s">
        <v>875</v>
      </c>
      <c r="H3113" s="40" t="s">
        <v>876</v>
      </c>
      <c r="I3113" s="40" t="s">
        <v>3210</v>
      </c>
      <c r="J3113" s="40" t="s">
        <v>3211</v>
      </c>
      <c r="K3113" s="40" t="s">
        <v>591</v>
      </c>
      <c r="L3113" s="40" t="s">
        <v>644</v>
      </c>
      <c r="M3113" s="93">
        <v>2</v>
      </c>
      <c r="N3113" s="94">
        <v>30000</v>
      </c>
      <c r="O3113" s="94">
        <f>N3113*M3113</f>
        <v>60000</v>
      </c>
      <c r="P3113" s="40" t="s">
        <v>3116</v>
      </c>
      <c r="Q3113" s="40" t="s">
        <v>1051</v>
      </c>
      <c r="R3113" s="84">
        <v>633630000</v>
      </c>
      <c r="S3113" s="40">
        <v>100</v>
      </c>
    </row>
    <row r="3114" spans="1:19" s="92" customFormat="1" ht="89.25">
      <c r="A3114" s="5">
        <v>3099</v>
      </c>
      <c r="B3114" s="15" t="s">
        <v>710</v>
      </c>
      <c r="C3114" s="40" t="s">
        <v>597</v>
      </c>
      <c r="D3114" s="40" t="s">
        <v>598</v>
      </c>
      <c r="E3114" s="31" t="s">
        <v>599</v>
      </c>
      <c r="F3114" s="31" t="s">
        <v>782</v>
      </c>
      <c r="G3114" s="31" t="s">
        <v>3195</v>
      </c>
      <c r="H3114" s="40" t="s">
        <v>602</v>
      </c>
      <c r="I3114" s="40" t="s">
        <v>3196</v>
      </c>
      <c r="J3114" s="40" t="s">
        <v>3197</v>
      </c>
      <c r="K3114" s="40" t="s">
        <v>591</v>
      </c>
      <c r="L3114" s="11" t="s">
        <v>914</v>
      </c>
      <c r="M3114" s="93">
        <v>1</v>
      </c>
      <c r="N3114" s="94">
        <v>624400</v>
      </c>
      <c r="O3114" s="94">
        <v>624400</v>
      </c>
      <c r="P3114" s="40" t="s">
        <v>502</v>
      </c>
      <c r="Q3114" s="40" t="s">
        <v>766</v>
      </c>
      <c r="R3114" s="84">
        <v>634430100</v>
      </c>
      <c r="S3114" s="40">
        <v>0</v>
      </c>
    </row>
    <row r="3115" spans="1:19" s="92" customFormat="1" ht="89.25">
      <c r="A3115" s="5">
        <v>3100</v>
      </c>
      <c r="B3115" s="15" t="s">
        <v>710</v>
      </c>
      <c r="C3115" s="40" t="s">
        <v>597</v>
      </c>
      <c r="D3115" s="40" t="s">
        <v>598</v>
      </c>
      <c r="E3115" s="31" t="s">
        <v>599</v>
      </c>
      <c r="F3115" s="31" t="s">
        <v>782</v>
      </c>
      <c r="G3115" s="31" t="s">
        <v>3195</v>
      </c>
      <c r="H3115" s="40" t="s">
        <v>602</v>
      </c>
      <c r="I3115" s="40" t="s">
        <v>3196</v>
      </c>
      <c r="J3115" s="40" t="s">
        <v>3197</v>
      </c>
      <c r="K3115" s="40" t="s">
        <v>591</v>
      </c>
      <c r="L3115" s="11" t="s">
        <v>914</v>
      </c>
      <c r="M3115" s="93">
        <v>1</v>
      </c>
      <c r="N3115" s="94">
        <v>624400</v>
      </c>
      <c r="O3115" s="94">
        <v>624400</v>
      </c>
      <c r="P3115" s="40" t="s">
        <v>502</v>
      </c>
      <c r="Q3115" s="40" t="s">
        <v>766</v>
      </c>
      <c r="R3115" s="84">
        <v>634430100</v>
      </c>
      <c r="S3115" s="40">
        <v>0</v>
      </c>
    </row>
    <row r="3116" spans="1:19" s="92" customFormat="1" ht="51">
      <c r="A3116" s="5">
        <v>3101</v>
      </c>
      <c r="B3116" s="15" t="s">
        <v>710</v>
      </c>
      <c r="C3116" s="40" t="s">
        <v>597</v>
      </c>
      <c r="D3116" s="11" t="s">
        <v>850</v>
      </c>
      <c r="E3116" s="76" t="s">
        <v>1736</v>
      </c>
      <c r="F3116" s="76" t="s">
        <v>851</v>
      </c>
      <c r="G3116" s="76" t="s">
        <v>1737</v>
      </c>
      <c r="H3116" s="76" t="s">
        <v>852</v>
      </c>
      <c r="I3116" s="76" t="s">
        <v>3199</v>
      </c>
      <c r="J3116" s="76" t="s">
        <v>3200</v>
      </c>
      <c r="K3116" s="40" t="s">
        <v>591</v>
      </c>
      <c r="L3116" s="11" t="s">
        <v>914</v>
      </c>
      <c r="M3116" s="97">
        <v>1</v>
      </c>
      <c r="N3116" s="94">
        <f>10000*5</f>
        <v>50000</v>
      </c>
      <c r="O3116" s="94">
        <f>N3116</f>
        <v>50000</v>
      </c>
      <c r="P3116" s="40" t="s">
        <v>698</v>
      </c>
      <c r="Q3116" s="40" t="s">
        <v>766</v>
      </c>
      <c r="R3116" s="84">
        <v>634030100</v>
      </c>
      <c r="S3116" s="40">
        <v>0</v>
      </c>
    </row>
    <row r="3117" spans="1:19" s="92" customFormat="1" ht="51">
      <c r="A3117" s="5">
        <v>3102</v>
      </c>
      <c r="B3117" s="15" t="s">
        <v>710</v>
      </c>
      <c r="C3117" s="40" t="s">
        <v>597</v>
      </c>
      <c r="D3117" s="40" t="s">
        <v>2594</v>
      </c>
      <c r="E3117" s="31" t="s">
        <v>2618</v>
      </c>
      <c r="F3117" s="31" t="s">
        <v>2595</v>
      </c>
      <c r="G3117" s="31" t="s">
        <v>2618</v>
      </c>
      <c r="H3117" s="40" t="s">
        <v>2595</v>
      </c>
      <c r="I3117" s="40" t="s">
        <v>3201</v>
      </c>
      <c r="J3117" s="40" t="s">
        <v>3202</v>
      </c>
      <c r="K3117" s="40" t="s">
        <v>591</v>
      </c>
      <c r="L3117" s="11" t="s">
        <v>914</v>
      </c>
      <c r="M3117" s="93">
        <v>1</v>
      </c>
      <c r="N3117" s="94">
        <f>10500*3</f>
        <v>31500</v>
      </c>
      <c r="O3117" s="94">
        <f>N3117</f>
        <v>31500</v>
      </c>
      <c r="P3117" s="40" t="s">
        <v>3116</v>
      </c>
      <c r="Q3117" s="40" t="s">
        <v>766</v>
      </c>
      <c r="R3117" s="84">
        <v>634030100</v>
      </c>
      <c r="S3117" s="40">
        <v>30</v>
      </c>
    </row>
    <row r="3118" spans="1:19" s="92" customFormat="1" ht="89.25">
      <c r="A3118" s="5">
        <v>3103</v>
      </c>
      <c r="B3118" s="15" t="s">
        <v>710</v>
      </c>
      <c r="C3118" s="40" t="s">
        <v>711</v>
      </c>
      <c r="D3118" s="40" t="s">
        <v>976</v>
      </c>
      <c r="E3118" s="31" t="s">
        <v>730</v>
      </c>
      <c r="F3118" s="31" t="s">
        <v>731</v>
      </c>
      <c r="G3118" s="31" t="s">
        <v>977</v>
      </c>
      <c r="H3118" s="40" t="s">
        <v>978</v>
      </c>
      <c r="I3118" s="40" t="s">
        <v>3203</v>
      </c>
      <c r="J3118" s="40" t="s">
        <v>3204</v>
      </c>
      <c r="K3118" s="40" t="s">
        <v>591</v>
      </c>
      <c r="L3118" s="40" t="s">
        <v>644</v>
      </c>
      <c r="M3118" s="93">
        <v>2</v>
      </c>
      <c r="N3118" s="94">
        <v>26800</v>
      </c>
      <c r="O3118" s="94">
        <f>N3118*M3118</f>
        <v>53600</v>
      </c>
      <c r="P3118" s="40" t="s">
        <v>3116</v>
      </c>
      <c r="Q3118" s="40" t="s">
        <v>1051</v>
      </c>
      <c r="R3118" s="84">
        <v>634030100</v>
      </c>
      <c r="S3118" s="40">
        <v>100</v>
      </c>
    </row>
    <row r="3119" spans="1:19" s="92" customFormat="1" ht="63.75">
      <c r="A3119" s="5">
        <v>3104</v>
      </c>
      <c r="B3119" s="15" t="s">
        <v>710</v>
      </c>
      <c r="C3119" s="40" t="s">
        <v>711</v>
      </c>
      <c r="D3119" s="40" t="s">
        <v>744</v>
      </c>
      <c r="E3119" s="31" t="s">
        <v>745</v>
      </c>
      <c r="F3119" s="31" t="s">
        <v>109</v>
      </c>
      <c r="G3119" s="31" t="s">
        <v>746</v>
      </c>
      <c r="H3119" s="40" t="s">
        <v>3205</v>
      </c>
      <c r="I3119" s="40" t="s">
        <v>3206</v>
      </c>
      <c r="J3119" s="40" t="s">
        <v>3207</v>
      </c>
      <c r="K3119" s="40" t="s">
        <v>591</v>
      </c>
      <c r="L3119" s="40" t="s">
        <v>644</v>
      </c>
      <c r="M3119" s="93">
        <v>6</v>
      </c>
      <c r="N3119" s="94">
        <v>4000</v>
      </c>
      <c r="O3119" s="94">
        <f>M3119*N3119</f>
        <v>24000</v>
      </c>
      <c r="P3119" s="40" t="s">
        <v>3116</v>
      </c>
      <c r="Q3119" s="40" t="s">
        <v>1051</v>
      </c>
      <c r="R3119" s="84">
        <v>634030100</v>
      </c>
      <c r="S3119" s="40">
        <v>100</v>
      </c>
    </row>
    <row r="3120" spans="1:19" s="92" customFormat="1" ht="51">
      <c r="A3120" s="5">
        <v>3105</v>
      </c>
      <c r="B3120" s="15" t="s">
        <v>710</v>
      </c>
      <c r="C3120" s="40" t="s">
        <v>711</v>
      </c>
      <c r="D3120" s="98" t="s">
        <v>422</v>
      </c>
      <c r="E3120" s="76" t="s">
        <v>423</v>
      </c>
      <c r="F3120" s="76" t="s">
        <v>427</v>
      </c>
      <c r="G3120" s="76" t="s">
        <v>837</v>
      </c>
      <c r="H3120" s="76" t="s">
        <v>425</v>
      </c>
      <c r="I3120" s="76" t="s">
        <v>3208</v>
      </c>
      <c r="J3120" s="76" t="s">
        <v>3209</v>
      </c>
      <c r="K3120" s="76" t="s">
        <v>591</v>
      </c>
      <c r="L3120" s="11" t="s">
        <v>909</v>
      </c>
      <c r="M3120" s="53">
        <v>18</v>
      </c>
      <c r="N3120" s="94">
        <v>640</v>
      </c>
      <c r="O3120" s="94">
        <f>N3120*M3120</f>
        <v>11520</v>
      </c>
      <c r="P3120" s="40" t="s">
        <v>3116</v>
      </c>
      <c r="Q3120" s="40" t="s">
        <v>766</v>
      </c>
      <c r="R3120" s="84">
        <v>634030100</v>
      </c>
      <c r="S3120" s="40">
        <v>100</v>
      </c>
    </row>
    <row r="3121" spans="1:19" s="92" customFormat="1" ht="76.5">
      <c r="A3121" s="5">
        <v>3106</v>
      </c>
      <c r="B3121" s="15" t="s">
        <v>710</v>
      </c>
      <c r="C3121" s="40" t="s">
        <v>711</v>
      </c>
      <c r="D3121" s="40" t="s">
        <v>723</v>
      </c>
      <c r="E3121" s="31" t="s">
        <v>874</v>
      </c>
      <c r="F3121" s="31" t="s">
        <v>874</v>
      </c>
      <c r="G3121" s="31" t="s">
        <v>875</v>
      </c>
      <c r="H3121" s="40" t="s">
        <v>876</v>
      </c>
      <c r="I3121" s="40" t="s">
        <v>3210</v>
      </c>
      <c r="J3121" s="40" t="s">
        <v>3211</v>
      </c>
      <c r="K3121" s="40" t="s">
        <v>591</v>
      </c>
      <c r="L3121" s="40" t="s">
        <v>644</v>
      </c>
      <c r="M3121" s="93">
        <v>2</v>
      </c>
      <c r="N3121" s="94">
        <v>30000</v>
      </c>
      <c r="O3121" s="94">
        <f>N3121*M3121</f>
        <v>60000</v>
      </c>
      <c r="P3121" s="40" t="s">
        <v>3116</v>
      </c>
      <c r="Q3121" s="40" t="s">
        <v>1051</v>
      </c>
      <c r="R3121" s="84">
        <v>634030100</v>
      </c>
      <c r="S3121" s="40">
        <v>100</v>
      </c>
    </row>
    <row r="3122" spans="1:19" s="92" customFormat="1" ht="89.25">
      <c r="A3122" s="5">
        <v>3107</v>
      </c>
      <c r="B3122" s="15" t="s">
        <v>710</v>
      </c>
      <c r="C3122" s="40" t="s">
        <v>597</v>
      </c>
      <c r="D3122" s="40" t="s">
        <v>598</v>
      </c>
      <c r="E3122" s="31" t="s">
        <v>599</v>
      </c>
      <c r="F3122" s="31" t="s">
        <v>782</v>
      </c>
      <c r="G3122" s="31" t="s">
        <v>3195</v>
      </c>
      <c r="H3122" s="40" t="s">
        <v>602</v>
      </c>
      <c r="I3122" s="40" t="s">
        <v>3196</v>
      </c>
      <c r="J3122" s="40" t="s">
        <v>3197</v>
      </c>
      <c r="K3122" s="40" t="s">
        <v>591</v>
      </c>
      <c r="L3122" s="11" t="s">
        <v>914</v>
      </c>
      <c r="M3122" s="93">
        <v>1</v>
      </c>
      <c r="N3122" s="94">
        <v>624400</v>
      </c>
      <c r="O3122" s="94">
        <v>624400</v>
      </c>
      <c r="P3122" s="40" t="s">
        <v>502</v>
      </c>
      <c r="Q3122" s="40" t="s">
        <v>766</v>
      </c>
      <c r="R3122" s="84">
        <v>634620100</v>
      </c>
      <c r="S3122" s="40">
        <v>0</v>
      </c>
    </row>
    <row r="3123" spans="1:19" s="92" customFormat="1" ht="89.25">
      <c r="A3123" s="5">
        <v>3108</v>
      </c>
      <c r="B3123" s="15" t="s">
        <v>710</v>
      </c>
      <c r="C3123" s="40" t="s">
        <v>597</v>
      </c>
      <c r="D3123" s="40" t="s">
        <v>598</v>
      </c>
      <c r="E3123" s="31" t="s">
        <v>599</v>
      </c>
      <c r="F3123" s="31" t="s">
        <v>782</v>
      </c>
      <c r="G3123" s="31" t="s">
        <v>3195</v>
      </c>
      <c r="H3123" s="40" t="s">
        <v>602</v>
      </c>
      <c r="I3123" s="40" t="s">
        <v>3196</v>
      </c>
      <c r="J3123" s="40" t="s">
        <v>3197</v>
      </c>
      <c r="K3123" s="40" t="s">
        <v>591</v>
      </c>
      <c r="L3123" s="11" t="s">
        <v>914</v>
      </c>
      <c r="M3123" s="93">
        <v>1</v>
      </c>
      <c r="N3123" s="94">
        <v>624400</v>
      </c>
      <c r="O3123" s="94">
        <v>624400</v>
      </c>
      <c r="P3123" s="40" t="s">
        <v>502</v>
      </c>
      <c r="Q3123" s="40" t="s">
        <v>766</v>
      </c>
      <c r="R3123" s="84">
        <v>634620100</v>
      </c>
      <c r="S3123" s="40">
        <v>0</v>
      </c>
    </row>
    <row r="3124" spans="1:19" s="92" customFormat="1" ht="51">
      <c r="A3124" s="5">
        <v>3109</v>
      </c>
      <c r="B3124" s="15" t="s">
        <v>710</v>
      </c>
      <c r="C3124" s="40" t="s">
        <v>597</v>
      </c>
      <c r="D3124" s="11" t="s">
        <v>850</v>
      </c>
      <c r="E3124" s="76" t="s">
        <v>1736</v>
      </c>
      <c r="F3124" s="76" t="s">
        <v>851</v>
      </c>
      <c r="G3124" s="76" t="s">
        <v>1737</v>
      </c>
      <c r="H3124" s="76" t="s">
        <v>852</v>
      </c>
      <c r="I3124" s="76" t="s">
        <v>3199</v>
      </c>
      <c r="J3124" s="76" t="s">
        <v>3200</v>
      </c>
      <c r="K3124" s="40" t="s">
        <v>591</v>
      </c>
      <c r="L3124" s="11" t="s">
        <v>914</v>
      </c>
      <c r="M3124" s="97">
        <v>1</v>
      </c>
      <c r="N3124" s="94">
        <f>10000*5</f>
        <v>50000</v>
      </c>
      <c r="O3124" s="94">
        <f>N3124</f>
        <v>50000</v>
      </c>
      <c r="P3124" s="40" t="s">
        <v>698</v>
      </c>
      <c r="Q3124" s="40" t="s">
        <v>766</v>
      </c>
      <c r="R3124" s="84">
        <v>634430100</v>
      </c>
      <c r="S3124" s="40">
        <v>0</v>
      </c>
    </row>
    <row r="3125" spans="1:19" s="92" customFormat="1" ht="51">
      <c r="A3125" s="5">
        <v>3110</v>
      </c>
      <c r="B3125" s="15" t="s">
        <v>710</v>
      </c>
      <c r="C3125" s="40" t="s">
        <v>597</v>
      </c>
      <c r="D3125" s="40" t="s">
        <v>2594</v>
      </c>
      <c r="E3125" s="31" t="s">
        <v>2618</v>
      </c>
      <c r="F3125" s="31" t="s">
        <v>2595</v>
      </c>
      <c r="G3125" s="31" t="s">
        <v>2618</v>
      </c>
      <c r="H3125" s="40" t="s">
        <v>2595</v>
      </c>
      <c r="I3125" s="40" t="s">
        <v>3201</v>
      </c>
      <c r="J3125" s="40" t="s">
        <v>3202</v>
      </c>
      <c r="K3125" s="40" t="s">
        <v>591</v>
      </c>
      <c r="L3125" s="11" t="s">
        <v>914</v>
      </c>
      <c r="M3125" s="93">
        <v>1</v>
      </c>
      <c r="N3125" s="94">
        <f>10500*3</f>
        <v>31500</v>
      </c>
      <c r="O3125" s="94">
        <f>N3125</f>
        <v>31500</v>
      </c>
      <c r="P3125" s="40" t="s">
        <v>3116</v>
      </c>
      <c r="Q3125" s="40" t="s">
        <v>766</v>
      </c>
      <c r="R3125" s="84">
        <v>634430100</v>
      </c>
      <c r="S3125" s="40">
        <v>30</v>
      </c>
    </row>
    <row r="3126" spans="1:19" s="92" customFormat="1" ht="89.25">
      <c r="A3126" s="5">
        <v>3111</v>
      </c>
      <c r="B3126" s="15" t="s">
        <v>710</v>
      </c>
      <c r="C3126" s="40" t="s">
        <v>711</v>
      </c>
      <c r="D3126" s="40" t="s">
        <v>976</v>
      </c>
      <c r="E3126" s="31" t="s">
        <v>730</v>
      </c>
      <c r="F3126" s="31" t="s">
        <v>731</v>
      </c>
      <c r="G3126" s="31" t="s">
        <v>977</v>
      </c>
      <c r="H3126" s="40" t="s">
        <v>978</v>
      </c>
      <c r="I3126" s="40" t="s">
        <v>3203</v>
      </c>
      <c r="J3126" s="40" t="s">
        <v>3204</v>
      </c>
      <c r="K3126" s="40" t="s">
        <v>591</v>
      </c>
      <c r="L3126" s="40" t="s">
        <v>644</v>
      </c>
      <c r="M3126" s="93">
        <v>2</v>
      </c>
      <c r="N3126" s="94">
        <v>26800</v>
      </c>
      <c r="O3126" s="94">
        <f>N3126*M3126</f>
        <v>53600</v>
      </c>
      <c r="P3126" s="40" t="s">
        <v>3116</v>
      </c>
      <c r="Q3126" s="40" t="s">
        <v>1051</v>
      </c>
      <c r="R3126" s="84">
        <v>634430100</v>
      </c>
      <c r="S3126" s="40">
        <v>100</v>
      </c>
    </row>
    <row r="3127" spans="1:19" s="92" customFormat="1" ht="63.75">
      <c r="A3127" s="5">
        <v>3112</v>
      </c>
      <c r="B3127" s="15" t="s">
        <v>710</v>
      </c>
      <c r="C3127" s="40" t="s">
        <v>711</v>
      </c>
      <c r="D3127" s="40" t="s">
        <v>744</v>
      </c>
      <c r="E3127" s="31" t="s">
        <v>745</v>
      </c>
      <c r="F3127" s="31" t="s">
        <v>109</v>
      </c>
      <c r="G3127" s="31" t="s">
        <v>746</v>
      </c>
      <c r="H3127" s="40" t="s">
        <v>3205</v>
      </c>
      <c r="I3127" s="40" t="s">
        <v>3206</v>
      </c>
      <c r="J3127" s="40" t="s">
        <v>3207</v>
      </c>
      <c r="K3127" s="40" t="s">
        <v>591</v>
      </c>
      <c r="L3127" s="40" t="s">
        <v>644</v>
      </c>
      <c r="M3127" s="93">
        <v>6</v>
      </c>
      <c r="N3127" s="94">
        <v>4000</v>
      </c>
      <c r="O3127" s="94">
        <f>M3127*N3127</f>
        <v>24000</v>
      </c>
      <c r="P3127" s="40" t="s">
        <v>3116</v>
      </c>
      <c r="Q3127" s="40" t="s">
        <v>1051</v>
      </c>
      <c r="R3127" s="84">
        <v>634430100</v>
      </c>
      <c r="S3127" s="40">
        <v>100</v>
      </c>
    </row>
    <row r="3128" spans="1:19" s="92" customFormat="1" ht="51">
      <c r="A3128" s="5">
        <v>3113</v>
      </c>
      <c r="B3128" s="15" t="s">
        <v>710</v>
      </c>
      <c r="C3128" s="40" t="s">
        <v>711</v>
      </c>
      <c r="D3128" s="98" t="s">
        <v>422</v>
      </c>
      <c r="E3128" s="76" t="s">
        <v>423</v>
      </c>
      <c r="F3128" s="76" t="s">
        <v>427</v>
      </c>
      <c r="G3128" s="76" t="s">
        <v>837</v>
      </c>
      <c r="H3128" s="76" t="s">
        <v>425</v>
      </c>
      <c r="I3128" s="76" t="s">
        <v>3208</v>
      </c>
      <c r="J3128" s="76" t="s">
        <v>3209</v>
      </c>
      <c r="K3128" s="76" t="s">
        <v>591</v>
      </c>
      <c r="L3128" s="11" t="s">
        <v>909</v>
      </c>
      <c r="M3128" s="53">
        <v>18</v>
      </c>
      <c r="N3128" s="94">
        <v>640</v>
      </c>
      <c r="O3128" s="94">
        <f>N3128*M3128</f>
        <v>11520</v>
      </c>
      <c r="P3128" s="40" t="s">
        <v>3116</v>
      </c>
      <c r="Q3128" s="40" t="s">
        <v>766</v>
      </c>
      <c r="R3128" s="84">
        <v>634430100</v>
      </c>
      <c r="S3128" s="40">
        <v>100</v>
      </c>
    </row>
    <row r="3129" spans="1:19" s="92" customFormat="1" ht="76.5">
      <c r="A3129" s="5">
        <v>3114</v>
      </c>
      <c r="B3129" s="15" t="s">
        <v>710</v>
      </c>
      <c r="C3129" s="40" t="s">
        <v>711</v>
      </c>
      <c r="D3129" s="40" t="s">
        <v>723</v>
      </c>
      <c r="E3129" s="31" t="s">
        <v>874</v>
      </c>
      <c r="F3129" s="31" t="s">
        <v>874</v>
      </c>
      <c r="G3129" s="31" t="s">
        <v>875</v>
      </c>
      <c r="H3129" s="40" t="s">
        <v>876</v>
      </c>
      <c r="I3129" s="40" t="s">
        <v>3210</v>
      </c>
      <c r="J3129" s="40" t="s">
        <v>3211</v>
      </c>
      <c r="K3129" s="40" t="s">
        <v>591</v>
      </c>
      <c r="L3129" s="40" t="s">
        <v>644</v>
      </c>
      <c r="M3129" s="93">
        <v>2</v>
      </c>
      <c r="N3129" s="94">
        <v>30000</v>
      </c>
      <c r="O3129" s="94">
        <f>N3129*M3129</f>
        <v>60000</v>
      </c>
      <c r="P3129" s="40" t="s">
        <v>3116</v>
      </c>
      <c r="Q3129" s="40" t="s">
        <v>1051</v>
      </c>
      <c r="R3129" s="84">
        <v>634430100</v>
      </c>
      <c r="S3129" s="40">
        <v>100</v>
      </c>
    </row>
    <row r="3130" spans="1:19" s="92" customFormat="1" ht="89.25">
      <c r="A3130" s="5">
        <v>3115</v>
      </c>
      <c r="B3130" s="15" t="s">
        <v>710</v>
      </c>
      <c r="C3130" s="40" t="s">
        <v>597</v>
      </c>
      <c r="D3130" s="40" t="s">
        <v>598</v>
      </c>
      <c r="E3130" s="31" t="s">
        <v>599</v>
      </c>
      <c r="F3130" s="31" t="s">
        <v>782</v>
      </c>
      <c r="G3130" s="31" t="s">
        <v>3195</v>
      </c>
      <c r="H3130" s="40" t="s">
        <v>602</v>
      </c>
      <c r="I3130" s="40" t="s">
        <v>3196</v>
      </c>
      <c r="J3130" s="40" t="s">
        <v>3197</v>
      </c>
      <c r="K3130" s="40" t="s">
        <v>591</v>
      </c>
      <c r="L3130" s="11" t="s">
        <v>914</v>
      </c>
      <c r="M3130" s="93">
        <v>1</v>
      </c>
      <c r="N3130" s="94">
        <v>624400</v>
      </c>
      <c r="O3130" s="94">
        <v>624400</v>
      </c>
      <c r="P3130" s="40" t="s">
        <v>502</v>
      </c>
      <c r="Q3130" s="40" t="s">
        <v>766</v>
      </c>
      <c r="R3130" s="84">
        <v>635430100</v>
      </c>
      <c r="S3130" s="40">
        <v>0</v>
      </c>
    </row>
    <row r="3131" spans="1:19" s="92" customFormat="1" ht="89.25">
      <c r="A3131" s="5">
        <v>3116</v>
      </c>
      <c r="B3131" s="15" t="s">
        <v>710</v>
      </c>
      <c r="C3131" s="40" t="s">
        <v>597</v>
      </c>
      <c r="D3131" s="40" t="s">
        <v>598</v>
      </c>
      <c r="E3131" s="31" t="s">
        <v>599</v>
      </c>
      <c r="F3131" s="31" t="s">
        <v>782</v>
      </c>
      <c r="G3131" s="31" t="s">
        <v>3195</v>
      </c>
      <c r="H3131" s="40" t="s">
        <v>602</v>
      </c>
      <c r="I3131" s="40" t="s">
        <v>3196</v>
      </c>
      <c r="J3131" s="40" t="s">
        <v>3197</v>
      </c>
      <c r="K3131" s="40" t="s">
        <v>591</v>
      </c>
      <c r="L3131" s="11" t="s">
        <v>914</v>
      </c>
      <c r="M3131" s="93">
        <v>1</v>
      </c>
      <c r="N3131" s="94">
        <v>624400</v>
      </c>
      <c r="O3131" s="94">
        <v>624400</v>
      </c>
      <c r="P3131" s="40" t="s">
        <v>502</v>
      </c>
      <c r="Q3131" s="40" t="s">
        <v>766</v>
      </c>
      <c r="R3131" s="84">
        <v>635430100</v>
      </c>
      <c r="S3131" s="40">
        <v>0</v>
      </c>
    </row>
    <row r="3132" spans="1:19" s="92" customFormat="1" ht="51">
      <c r="A3132" s="5">
        <v>3117</v>
      </c>
      <c r="B3132" s="15" t="s">
        <v>710</v>
      </c>
      <c r="C3132" s="40" t="s">
        <v>597</v>
      </c>
      <c r="D3132" s="11" t="s">
        <v>850</v>
      </c>
      <c r="E3132" s="76" t="s">
        <v>1736</v>
      </c>
      <c r="F3132" s="76" t="s">
        <v>851</v>
      </c>
      <c r="G3132" s="76" t="s">
        <v>1737</v>
      </c>
      <c r="H3132" s="76" t="s">
        <v>852</v>
      </c>
      <c r="I3132" s="76" t="s">
        <v>3199</v>
      </c>
      <c r="J3132" s="76" t="s">
        <v>3200</v>
      </c>
      <c r="K3132" s="40" t="s">
        <v>591</v>
      </c>
      <c r="L3132" s="11" t="s">
        <v>914</v>
      </c>
      <c r="M3132" s="97">
        <v>1</v>
      </c>
      <c r="N3132" s="94">
        <f>10000*5</f>
        <v>50000</v>
      </c>
      <c r="O3132" s="94">
        <f>N3132</f>
        <v>50000</v>
      </c>
      <c r="P3132" s="40" t="s">
        <v>698</v>
      </c>
      <c r="Q3132" s="40" t="s">
        <v>766</v>
      </c>
      <c r="R3132" s="84">
        <v>634620100</v>
      </c>
      <c r="S3132" s="40">
        <v>0</v>
      </c>
    </row>
    <row r="3133" spans="1:19" s="92" customFormat="1" ht="51">
      <c r="A3133" s="5">
        <v>3118</v>
      </c>
      <c r="B3133" s="15" t="s">
        <v>710</v>
      </c>
      <c r="C3133" s="40" t="s">
        <v>597</v>
      </c>
      <c r="D3133" s="40" t="s">
        <v>2594</v>
      </c>
      <c r="E3133" s="31" t="s">
        <v>2618</v>
      </c>
      <c r="F3133" s="31" t="s">
        <v>2595</v>
      </c>
      <c r="G3133" s="31" t="s">
        <v>2618</v>
      </c>
      <c r="H3133" s="40" t="s">
        <v>2595</v>
      </c>
      <c r="I3133" s="40" t="s">
        <v>3201</v>
      </c>
      <c r="J3133" s="40" t="s">
        <v>3202</v>
      </c>
      <c r="K3133" s="40" t="s">
        <v>591</v>
      </c>
      <c r="L3133" s="11" t="s">
        <v>914</v>
      </c>
      <c r="M3133" s="93">
        <v>1</v>
      </c>
      <c r="N3133" s="94">
        <f>10500*3</f>
        <v>31500</v>
      </c>
      <c r="O3133" s="94">
        <f>N3133</f>
        <v>31500</v>
      </c>
      <c r="P3133" s="40" t="s">
        <v>3116</v>
      </c>
      <c r="Q3133" s="40" t="s">
        <v>766</v>
      </c>
      <c r="R3133" s="84">
        <v>634620100</v>
      </c>
      <c r="S3133" s="40">
        <v>30</v>
      </c>
    </row>
    <row r="3134" spans="1:19" s="92" customFormat="1" ht="89.25">
      <c r="A3134" s="5">
        <v>3119</v>
      </c>
      <c r="B3134" s="15" t="s">
        <v>710</v>
      </c>
      <c r="C3134" s="40" t="s">
        <v>711</v>
      </c>
      <c r="D3134" s="40" t="s">
        <v>976</v>
      </c>
      <c r="E3134" s="31" t="s">
        <v>730</v>
      </c>
      <c r="F3134" s="31" t="s">
        <v>731</v>
      </c>
      <c r="G3134" s="31" t="s">
        <v>977</v>
      </c>
      <c r="H3134" s="40" t="s">
        <v>978</v>
      </c>
      <c r="I3134" s="40" t="s">
        <v>3203</v>
      </c>
      <c r="J3134" s="40" t="s">
        <v>3204</v>
      </c>
      <c r="K3134" s="40" t="s">
        <v>591</v>
      </c>
      <c r="L3134" s="40" t="s">
        <v>644</v>
      </c>
      <c r="M3134" s="93">
        <v>2</v>
      </c>
      <c r="N3134" s="94">
        <v>26800</v>
      </c>
      <c r="O3134" s="94">
        <f>N3134*M3134</f>
        <v>53600</v>
      </c>
      <c r="P3134" s="40" t="s">
        <v>3116</v>
      </c>
      <c r="Q3134" s="40" t="s">
        <v>1051</v>
      </c>
      <c r="R3134" s="84">
        <v>634620100</v>
      </c>
      <c r="S3134" s="40">
        <v>100</v>
      </c>
    </row>
    <row r="3135" spans="1:19" s="92" customFormat="1" ht="63.75">
      <c r="A3135" s="5">
        <v>3120</v>
      </c>
      <c r="B3135" s="15" t="s">
        <v>710</v>
      </c>
      <c r="C3135" s="40" t="s">
        <v>711</v>
      </c>
      <c r="D3135" s="40" t="s">
        <v>744</v>
      </c>
      <c r="E3135" s="31" t="s">
        <v>745</v>
      </c>
      <c r="F3135" s="31" t="s">
        <v>109</v>
      </c>
      <c r="G3135" s="31" t="s">
        <v>746</v>
      </c>
      <c r="H3135" s="40" t="s">
        <v>3205</v>
      </c>
      <c r="I3135" s="40" t="s">
        <v>3206</v>
      </c>
      <c r="J3135" s="40" t="s">
        <v>3207</v>
      </c>
      <c r="K3135" s="40" t="s">
        <v>591</v>
      </c>
      <c r="L3135" s="40" t="s">
        <v>644</v>
      </c>
      <c r="M3135" s="93">
        <v>6</v>
      </c>
      <c r="N3135" s="94">
        <v>4000</v>
      </c>
      <c r="O3135" s="94">
        <f>M3135*N3135</f>
        <v>24000</v>
      </c>
      <c r="P3135" s="40" t="s">
        <v>3116</v>
      </c>
      <c r="Q3135" s="40" t="s">
        <v>1051</v>
      </c>
      <c r="R3135" s="84">
        <v>634620100</v>
      </c>
      <c r="S3135" s="40">
        <v>100</v>
      </c>
    </row>
    <row r="3136" spans="1:19" s="92" customFormat="1" ht="51">
      <c r="A3136" s="5">
        <v>3121</v>
      </c>
      <c r="B3136" s="15" t="s">
        <v>710</v>
      </c>
      <c r="C3136" s="40" t="s">
        <v>711</v>
      </c>
      <c r="D3136" s="98" t="s">
        <v>422</v>
      </c>
      <c r="E3136" s="76" t="s">
        <v>423</v>
      </c>
      <c r="F3136" s="76" t="s">
        <v>427</v>
      </c>
      <c r="G3136" s="76" t="s">
        <v>837</v>
      </c>
      <c r="H3136" s="76" t="s">
        <v>425</v>
      </c>
      <c r="I3136" s="76" t="s">
        <v>3208</v>
      </c>
      <c r="J3136" s="76" t="s">
        <v>3209</v>
      </c>
      <c r="K3136" s="76" t="s">
        <v>591</v>
      </c>
      <c r="L3136" s="11" t="s">
        <v>909</v>
      </c>
      <c r="M3136" s="53">
        <v>18</v>
      </c>
      <c r="N3136" s="94">
        <v>640</v>
      </c>
      <c r="O3136" s="94">
        <f>N3136*M3136</f>
        <v>11520</v>
      </c>
      <c r="P3136" s="40" t="s">
        <v>3116</v>
      </c>
      <c r="Q3136" s="40" t="s">
        <v>766</v>
      </c>
      <c r="R3136" s="84">
        <v>634620100</v>
      </c>
      <c r="S3136" s="40">
        <v>100</v>
      </c>
    </row>
    <row r="3137" spans="1:19" s="92" customFormat="1" ht="76.5">
      <c r="A3137" s="5">
        <v>3122</v>
      </c>
      <c r="B3137" s="15" t="s">
        <v>710</v>
      </c>
      <c r="C3137" s="40" t="s">
        <v>711</v>
      </c>
      <c r="D3137" s="40" t="s">
        <v>723</v>
      </c>
      <c r="E3137" s="31" t="s">
        <v>874</v>
      </c>
      <c r="F3137" s="31" t="s">
        <v>874</v>
      </c>
      <c r="G3137" s="31" t="s">
        <v>875</v>
      </c>
      <c r="H3137" s="40" t="s">
        <v>876</v>
      </c>
      <c r="I3137" s="40" t="s">
        <v>3210</v>
      </c>
      <c r="J3137" s="40" t="s">
        <v>3211</v>
      </c>
      <c r="K3137" s="40" t="s">
        <v>591</v>
      </c>
      <c r="L3137" s="40" t="s">
        <v>644</v>
      </c>
      <c r="M3137" s="93">
        <v>2</v>
      </c>
      <c r="N3137" s="94">
        <v>30000</v>
      </c>
      <c r="O3137" s="94">
        <f>N3137*M3137</f>
        <v>60000</v>
      </c>
      <c r="P3137" s="40" t="s">
        <v>3116</v>
      </c>
      <c r="Q3137" s="40" t="s">
        <v>1051</v>
      </c>
      <c r="R3137" s="84">
        <v>634620100</v>
      </c>
      <c r="S3137" s="40">
        <v>100</v>
      </c>
    </row>
    <row r="3138" spans="1:19" s="92" customFormat="1" ht="89.25">
      <c r="A3138" s="5">
        <v>3123</v>
      </c>
      <c r="B3138" s="15" t="s">
        <v>710</v>
      </c>
      <c r="C3138" s="40" t="s">
        <v>597</v>
      </c>
      <c r="D3138" s="40" t="s">
        <v>598</v>
      </c>
      <c r="E3138" s="31" t="s">
        <v>599</v>
      </c>
      <c r="F3138" s="31" t="s">
        <v>782</v>
      </c>
      <c r="G3138" s="31" t="s">
        <v>3195</v>
      </c>
      <c r="H3138" s="40" t="s">
        <v>602</v>
      </c>
      <c r="I3138" s="40" t="s">
        <v>3196</v>
      </c>
      <c r="J3138" s="40" t="s">
        <v>3197</v>
      </c>
      <c r="K3138" s="40" t="s">
        <v>591</v>
      </c>
      <c r="L3138" s="11" t="s">
        <v>914</v>
      </c>
      <c r="M3138" s="93">
        <v>1</v>
      </c>
      <c r="N3138" s="94">
        <v>624400</v>
      </c>
      <c r="O3138" s="94">
        <v>624400</v>
      </c>
      <c r="P3138" s="40" t="s">
        <v>502</v>
      </c>
      <c r="Q3138" s="40" t="s">
        <v>766</v>
      </c>
      <c r="R3138" s="84">
        <v>635030100</v>
      </c>
      <c r="S3138" s="40">
        <v>0</v>
      </c>
    </row>
    <row r="3139" spans="1:19" s="92" customFormat="1" ht="89.25">
      <c r="A3139" s="5">
        <v>3124</v>
      </c>
      <c r="B3139" s="15" t="s">
        <v>710</v>
      </c>
      <c r="C3139" s="40" t="s">
        <v>597</v>
      </c>
      <c r="D3139" s="40" t="s">
        <v>598</v>
      </c>
      <c r="E3139" s="31" t="s">
        <v>599</v>
      </c>
      <c r="F3139" s="31" t="s">
        <v>782</v>
      </c>
      <c r="G3139" s="31" t="s">
        <v>3195</v>
      </c>
      <c r="H3139" s="40" t="s">
        <v>602</v>
      </c>
      <c r="I3139" s="40" t="s">
        <v>3196</v>
      </c>
      <c r="J3139" s="40" t="s">
        <v>3197</v>
      </c>
      <c r="K3139" s="40" t="s">
        <v>591</v>
      </c>
      <c r="L3139" s="11" t="s">
        <v>914</v>
      </c>
      <c r="M3139" s="93">
        <v>1</v>
      </c>
      <c r="N3139" s="94">
        <v>624400</v>
      </c>
      <c r="O3139" s="94">
        <v>624400</v>
      </c>
      <c r="P3139" s="40" t="s">
        <v>502</v>
      </c>
      <c r="Q3139" s="40" t="s">
        <v>766</v>
      </c>
      <c r="R3139" s="84">
        <v>635030100</v>
      </c>
      <c r="S3139" s="40">
        <v>0</v>
      </c>
    </row>
    <row r="3140" spans="1:19" s="92" customFormat="1" ht="51">
      <c r="A3140" s="5">
        <v>3125</v>
      </c>
      <c r="B3140" s="15" t="s">
        <v>710</v>
      </c>
      <c r="C3140" s="40" t="s">
        <v>597</v>
      </c>
      <c r="D3140" s="11" t="s">
        <v>850</v>
      </c>
      <c r="E3140" s="76" t="s">
        <v>1736</v>
      </c>
      <c r="F3140" s="76" t="s">
        <v>851</v>
      </c>
      <c r="G3140" s="76" t="s">
        <v>1737</v>
      </c>
      <c r="H3140" s="76" t="s">
        <v>852</v>
      </c>
      <c r="I3140" s="76" t="s">
        <v>3199</v>
      </c>
      <c r="J3140" s="76" t="s">
        <v>3200</v>
      </c>
      <c r="K3140" s="40" t="s">
        <v>591</v>
      </c>
      <c r="L3140" s="11" t="s">
        <v>914</v>
      </c>
      <c r="M3140" s="97">
        <v>1</v>
      </c>
      <c r="N3140" s="94">
        <f>10000*5</f>
        <v>50000</v>
      </c>
      <c r="O3140" s="94">
        <f>N3140</f>
        <v>50000</v>
      </c>
      <c r="P3140" s="40" t="s">
        <v>698</v>
      </c>
      <c r="Q3140" s="40" t="s">
        <v>766</v>
      </c>
      <c r="R3140" s="84">
        <v>635430100</v>
      </c>
      <c r="S3140" s="40">
        <v>0</v>
      </c>
    </row>
    <row r="3141" spans="1:19" s="92" customFormat="1" ht="51">
      <c r="A3141" s="5">
        <v>3126</v>
      </c>
      <c r="B3141" s="15" t="s">
        <v>710</v>
      </c>
      <c r="C3141" s="40" t="s">
        <v>597</v>
      </c>
      <c r="D3141" s="40" t="s">
        <v>2594</v>
      </c>
      <c r="E3141" s="31" t="s">
        <v>2618</v>
      </c>
      <c r="F3141" s="31" t="s">
        <v>2595</v>
      </c>
      <c r="G3141" s="31" t="s">
        <v>2618</v>
      </c>
      <c r="H3141" s="40" t="s">
        <v>2595</v>
      </c>
      <c r="I3141" s="40" t="s">
        <v>3201</v>
      </c>
      <c r="J3141" s="40" t="s">
        <v>3202</v>
      </c>
      <c r="K3141" s="40" t="s">
        <v>591</v>
      </c>
      <c r="L3141" s="11" t="s">
        <v>914</v>
      </c>
      <c r="M3141" s="93">
        <v>1</v>
      </c>
      <c r="N3141" s="94">
        <f>10500*3</f>
        <v>31500</v>
      </c>
      <c r="O3141" s="94">
        <f>N3141</f>
        <v>31500</v>
      </c>
      <c r="P3141" s="40" t="s">
        <v>3116</v>
      </c>
      <c r="Q3141" s="40" t="s">
        <v>766</v>
      </c>
      <c r="R3141" s="84">
        <v>635430100</v>
      </c>
      <c r="S3141" s="40">
        <v>30</v>
      </c>
    </row>
    <row r="3142" spans="1:19" s="92" customFormat="1" ht="89.25">
      <c r="A3142" s="5">
        <v>3127</v>
      </c>
      <c r="B3142" s="15" t="s">
        <v>710</v>
      </c>
      <c r="C3142" s="40" t="s">
        <v>711</v>
      </c>
      <c r="D3142" s="40" t="s">
        <v>976</v>
      </c>
      <c r="E3142" s="31" t="s">
        <v>730</v>
      </c>
      <c r="F3142" s="31" t="s">
        <v>731</v>
      </c>
      <c r="G3142" s="31" t="s">
        <v>977</v>
      </c>
      <c r="H3142" s="40" t="s">
        <v>978</v>
      </c>
      <c r="I3142" s="40" t="s">
        <v>3203</v>
      </c>
      <c r="J3142" s="40" t="s">
        <v>3204</v>
      </c>
      <c r="K3142" s="40" t="s">
        <v>591</v>
      </c>
      <c r="L3142" s="40" t="s">
        <v>644</v>
      </c>
      <c r="M3142" s="93">
        <v>2</v>
      </c>
      <c r="N3142" s="94">
        <v>26800</v>
      </c>
      <c r="O3142" s="94">
        <f>N3142*M3142</f>
        <v>53600</v>
      </c>
      <c r="P3142" s="40" t="s">
        <v>3116</v>
      </c>
      <c r="Q3142" s="40" t="s">
        <v>1051</v>
      </c>
      <c r="R3142" s="84">
        <v>635430100</v>
      </c>
      <c r="S3142" s="40">
        <v>100</v>
      </c>
    </row>
    <row r="3143" spans="1:19" s="92" customFormat="1" ht="63.75">
      <c r="A3143" s="5">
        <v>3128</v>
      </c>
      <c r="B3143" s="15" t="s">
        <v>710</v>
      </c>
      <c r="C3143" s="40" t="s">
        <v>711</v>
      </c>
      <c r="D3143" s="40" t="s">
        <v>744</v>
      </c>
      <c r="E3143" s="31" t="s">
        <v>745</v>
      </c>
      <c r="F3143" s="31" t="s">
        <v>109</v>
      </c>
      <c r="G3143" s="31" t="s">
        <v>746</v>
      </c>
      <c r="H3143" s="40" t="s">
        <v>3205</v>
      </c>
      <c r="I3143" s="40" t="s">
        <v>3206</v>
      </c>
      <c r="J3143" s="40" t="s">
        <v>3207</v>
      </c>
      <c r="K3143" s="40" t="s">
        <v>591</v>
      </c>
      <c r="L3143" s="40" t="s">
        <v>644</v>
      </c>
      <c r="M3143" s="93">
        <v>6</v>
      </c>
      <c r="N3143" s="94">
        <v>4000</v>
      </c>
      <c r="O3143" s="94">
        <f>M3143*N3143</f>
        <v>24000</v>
      </c>
      <c r="P3143" s="40" t="s">
        <v>3116</v>
      </c>
      <c r="Q3143" s="40" t="s">
        <v>1051</v>
      </c>
      <c r="R3143" s="84">
        <v>635430100</v>
      </c>
      <c r="S3143" s="40">
        <v>100</v>
      </c>
    </row>
    <row r="3144" spans="1:19" s="92" customFormat="1" ht="51">
      <c r="A3144" s="5">
        <v>3129</v>
      </c>
      <c r="B3144" s="15" t="s">
        <v>710</v>
      </c>
      <c r="C3144" s="40" t="s">
        <v>711</v>
      </c>
      <c r="D3144" s="98" t="s">
        <v>422</v>
      </c>
      <c r="E3144" s="76" t="s">
        <v>423</v>
      </c>
      <c r="F3144" s="76" t="s">
        <v>427</v>
      </c>
      <c r="G3144" s="76" t="s">
        <v>837</v>
      </c>
      <c r="H3144" s="76" t="s">
        <v>425</v>
      </c>
      <c r="I3144" s="76" t="s">
        <v>3208</v>
      </c>
      <c r="J3144" s="76" t="s">
        <v>3209</v>
      </c>
      <c r="K3144" s="76" t="s">
        <v>591</v>
      </c>
      <c r="L3144" s="11" t="s">
        <v>909</v>
      </c>
      <c r="M3144" s="53">
        <v>18</v>
      </c>
      <c r="N3144" s="94">
        <v>640</v>
      </c>
      <c r="O3144" s="94">
        <f>N3144*M3144</f>
        <v>11520</v>
      </c>
      <c r="P3144" s="40" t="s">
        <v>3116</v>
      </c>
      <c r="Q3144" s="40" t="s">
        <v>766</v>
      </c>
      <c r="R3144" s="84">
        <v>635430100</v>
      </c>
      <c r="S3144" s="40">
        <v>100</v>
      </c>
    </row>
    <row r="3145" spans="1:19" s="92" customFormat="1" ht="76.5">
      <c r="A3145" s="5">
        <v>3130</v>
      </c>
      <c r="B3145" s="15" t="s">
        <v>710</v>
      </c>
      <c r="C3145" s="40" t="s">
        <v>711</v>
      </c>
      <c r="D3145" s="40" t="s">
        <v>723</v>
      </c>
      <c r="E3145" s="31" t="s">
        <v>874</v>
      </c>
      <c r="F3145" s="31" t="s">
        <v>874</v>
      </c>
      <c r="G3145" s="31" t="s">
        <v>875</v>
      </c>
      <c r="H3145" s="40" t="s">
        <v>876</v>
      </c>
      <c r="I3145" s="40" t="s">
        <v>3210</v>
      </c>
      <c r="J3145" s="40" t="s">
        <v>3211</v>
      </c>
      <c r="K3145" s="40" t="s">
        <v>591</v>
      </c>
      <c r="L3145" s="40" t="s">
        <v>644</v>
      </c>
      <c r="M3145" s="93">
        <v>2</v>
      </c>
      <c r="N3145" s="94">
        <v>30000</v>
      </c>
      <c r="O3145" s="94">
        <f>N3145*M3145</f>
        <v>60000</v>
      </c>
      <c r="P3145" s="40" t="s">
        <v>3116</v>
      </c>
      <c r="Q3145" s="40" t="s">
        <v>1051</v>
      </c>
      <c r="R3145" s="84">
        <v>635430100</v>
      </c>
      <c r="S3145" s="40">
        <v>100</v>
      </c>
    </row>
    <row r="3146" spans="1:19" s="92" customFormat="1" ht="89.25">
      <c r="A3146" s="5">
        <v>3131</v>
      </c>
      <c r="B3146" s="15" t="s">
        <v>710</v>
      </c>
      <c r="C3146" s="40" t="s">
        <v>597</v>
      </c>
      <c r="D3146" s="40" t="s">
        <v>598</v>
      </c>
      <c r="E3146" s="31" t="s">
        <v>599</v>
      </c>
      <c r="F3146" s="31" t="s">
        <v>782</v>
      </c>
      <c r="G3146" s="31" t="s">
        <v>3195</v>
      </c>
      <c r="H3146" s="40" t="s">
        <v>602</v>
      </c>
      <c r="I3146" s="40" t="s">
        <v>3196</v>
      </c>
      <c r="J3146" s="40" t="s">
        <v>3197</v>
      </c>
      <c r="K3146" s="40" t="s">
        <v>591</v>
      </c>
      <c r="L3146" s="11" t="s">
        <v>914</v>
      </c>
      <c r="M3146" s="93">
        <v>1</v>
      </c>
      <c r="N3146" s="94">
        <v>624400</v>
      </c>
      <c r="O3146" s="94">
        <v>624400</v>
      </c>
      <c r="P3146" s="40" t="s">
        <v>502</v>
      </c>
      <c r="Q3146" s="40" t="s">
        <v>766</v>
      </c>
      <c r="R3146" s="84">
        <v>635230100</v>
      </c>
      <c r="S3146" s="40">
        <v>0</v>
      </c>
    </row>
    <row r="3147" spans="1:19" s="92" customFormat="1" ht="89.25">
      <c r="A3147" s="5">
        <v>3132</v>
      </c>
      <c r="B3147" s="15" t="s">
        <v>710</v>
      </c>
      <c r="C3147" s="40" t="s">
        <v>597</v>
      </c>
      <c r="D3147" s="40" t="s">
        <v>598</v>
      </c>
      <c r="E3147" s="31" t="s">
        <v>599</v>
      </c>
      <c r="F3147" s="31" t="s">
        <v>782</v>
      </c>
      <c r="G3147" s="31" t="s">
        <v>3195</v>
      </c>
      <c r="H3147" s="40" t="s">
        <v>602</v>
      </c>
      <c r="I3147" s="40" t="s">
        <v>3196</v>
      </c>
      <c r="J3147" s="40" t="s">
        <v>3197</v>
      </c>
      <c r="K3147" s="40" t="s">
        <v>591</v>
      </c>
      <c r="L3147" s="11" t="s">
        <v>914</v>
      </c>
      <c r="M3147" s="93">
        <v>1</v>
      </c>
      <c r="N3147" s="94">
        <v>624400</v>
      </c>
      <c r="O3147" s="94">
        <v>624400</v>
      </c>
      <c r="P3147" s="40" t="s">
        <v>502</v>
      </c>
      <c r="Q3147" s="40" t="s">
        <v>766</v>
      </c>
      <c r="R3147" s="84">
        <v>635230100</v>
      </c>
      <c r="S3147" s="40">
        <v>0</v>
      </c>
    </row>
    <row r="3148" spans="1:19" s="92" customFormat="1" ht="51">
      <c r="A3148" s="5">
        <v>3133</v>
      </c>
      <c r="B3148" s="15" t="s">
        <v>710</v>
      </c>
      <c r="C3148" s="40" t="s">
        <v>597</v>
      </c>
      <c r="D3148" s="11" t="s">
        <v>850</v>
      </c>
      <c r="E3148" s="76" t="s">
        <v>1736</v>
      </c>
      <c r="F3148" s="76" t="s">
        <v>851</v>
      </c>
      <c r="G3148" s="76" t="s">
        <v>1737</v>
      </c>
      <c r="H3148" s="76" t="s">
        <v>852</v>
      </c>
      <c r="I3148" s="76" t="s">
        <v>3199</v>
      </c>
      <c r="J3148" s="76" t="s">
        <v>3200</v>
      </c>
      <c r="K3148" s="40" t="s">
        <v>591</v>
      </c>
      <c r="L3148" s="11" t="s">
        <v>914</v>
      </c>
      <c r="M3148" s="97">
        <v>1</v>
      </c>
      <c r="N3148" s="94">
        <f>10000*5</f>
        <v>50000</v>
      </c>
      <c r="O3148" s="94">
        <f>N3148</f>
        <v>50000</v>
      </c>
      <c r="P3148" s="40" t="s">
        <v>698</v>
      </c>
      <c r="Q3148" s="40" t="s">
        <v>766</v>
      </c>
      <c r="R3148" s="84">
        <v>635030100</v>
      </c>
      <c r="S3148" s="40">
        <v>0</v>
      </c>
    </row>
    <row r="3149" spans="1:19" s="92" customFormat="1" ht="51">
      <c r="A3149" s="5">
        <v>3134</v>
      </c>
      <c r="B3149" s="15" t="s">
        <v>710</v>
      </c>
      <c r="C3149" s="40" t="s">
        <v>597</v>
      </c>
      <c r="D3149" s="40" t="s">
        <v>2594</v>
      </c>
      <c r="E3149" s="31" t="s">
        <v>2618</v>
      </c>
      <c r="F3149" s="31" t="s">
        <v>2595</v>
      </c>
      <c r="G3149" s="31" t="s">
        <v>2618</v>
      </c>
      <c r="H3149" s="40" t="s">
        <v>2595</v>
      </c>
      <c r="I3149" s="40" t="s">
        <v>3201</v>
      </c>
      <c r="J3149" s="40" t="s">
        <v>3202</v>
      </c>
      <c r="K3149" s="40" t="s">
        <v>591</v>
      </c>
      <c r="L3149" s="11" t="s">
        <v>914</v>
      </c>
      <c r="M3149" s="93">
        <v>1</v>
      </c>
      <c r="N3149" s="94">
        <f>10500*3</f>
        <v>31500</v>
      </c>
      <c r="O3149" s="94">
        <f>N3149</f>
        <v>31500</v>
      </c>
      <c r="P3149" s="40" t="s">
        <v>3116</v>
      </c>
      <c r="Q3149" s="40" t="s">
        <v>766</v>
      </c>
      <c r="R3149" s="84">
        <v>635030100</v>
      </c>
      <c r="S3149" s="40">
        <v>30</v>
      </c>
    </row>
    <row r="3150" spans="1:19" s="92" customFormat="1" ht="89.25">
      <c r="A3150" s="5">
        <v>3135</v>
      </c>
      <c r="B3150" s="15" t="s">
        <v>710</v>
      </c>
      <c r="C3150" s="40" t="s">
        <v>711</v>
      </c>
      <c r="D3150" s="40" t="s">
        <v>976</v>
      </c>
      <c r="E3150" s="31" t="s">
        <v>730</v>
      </c>
      <c r="F3150" s="31" t="s">
        <v>731</v>
      </c>
      <c r="G3150" s="31" t="s">
        <v>977</v>
      </c>
      <c r="H3150" s="40" t="s">
        <v>978</v>
      </c>
      <c r="I3150" s="40" t="s">
        <v>3203</v>
      </c>
      <c r="J3150" s="40" t="s">
        <v>3204</v>
      </c>
      <c r="K3150" s="40" t="s">
        <v>591</v>
      </c>
      <c r="L3150" s="40" t="s">
        <v>644</v>
      </c>
      <c r="M3150" s="93">
        <v>2</v>
      </c>
      <c r="N3150" s="94">
        <v>26800</v>
      </c>
      <c r="O3150" s="94">
        <f>N3150*M3150</f>
        <v>53600</v>
      </c>
      <c r="P3150" s="40" t="s">
        <v>3116</v>
      </c>
      <c r="Q3150" s="40" t="s">
        <v>1051</v>
      </c>
      <c r="R3150" s="84">
        <v>635030100</v>
      </c>
      <c r="S3150" s="40">
        <v>100</v>
      </c>
    </row>
    <row r="3151" spans="1:19" s="92" customFormat="1" ht="63.75">
      <c r="A3151" s="5">
        <v>3136</v>
      </c>
      <c r="B3151" s="15" t="s">
        <v>710</v>
      </c>
      <c r="C3151" s="40" t="s">
        <v>711</v>
      </c>
      <c r="D3151" s="40" t="s">
        <v>744</v>
      </c>
      <c r="E3151" s="31" t="s">
        <v>745</v>
      </c>
      <c r="F3151" s="31" t="s">
        <v>109</v>
      </c>
      <c r="G3151" s="31" t="s">
        <v>746</v>
      </c>
      <c r="H3151" s="40" t="s">
        <v>3205</v>
      </c>
      <c r="I3151" s="40" t="s">
        <v>3206</v>
      </c>
      <c r="J3151" s="40" t="s">
        <v>3207</v>
      </c>
      <c r="K3151" s="40" t="s">
        <v>591</v>
      </c>
      <c r="L3151" s="40" t="s">
        <v>644</v>
      </c>
      <c r="M3151" s="93">
        <v>6</v>
      </c>
      <c r="N3151" s="94">
        <v>4000</v>
      </c>
      <c r="O3151" s="94">
        <f>M3151*N3151</f>
        <v>24000</v>
      </c>
      <c r="P3151" s="40" t="s">
        <v>3116</v>
      </c>
      <c r="Q3151" s="40" t="s">
        <v>1051</v>
      </c>
      <c r="R3151" s="84">
        <v>635030100</v>
      </c>
      <c r="S3151" s="40">
        <v>100</v>
      </c>
    </row>
    <row r="3152" spans="1:19" s="92" customFormat="1" ht="51">
      <c r="A3152" s="5">
        <v>3137</v>
      </c>
      <c r="B3152" s="15" t="s">
        <v>710</v>
      </c>
      <c r="C3152" s="40" t="s">
        <v>711</v>
      </c>
      <c r="D3152" s="98" t="s">
        <v>422</v>
      </c>
      <c r="E3152" s="76" t="s">
        <v>423</v>
      </c>
      <c r="F3152" s="76" t="s">
        <v>427</v>
      </c>
      <c r="G3152" s="76" t="s">
        <v>837</v>
      </c>
      <c r="H3152" s="76" t="s">
        <v>425</v>
      </c>
      <c r="I3152" s="76" t="s">
        <v>3208</v>
      </c>
      <c r="J3152" s="76" t="s">
        <v>3209</v>
      </c>
      <c r="K3152" s="76" t="s">
        <v>591</v>
      </c>
      <c r="L3152" s="11" t="s">
        <v>909</v>
      </c>
      <c r="M3152" s="53">
        <v>18</v>
      </c>
      <c r="N3152" s="94">
        <v>640</v>
      </c>
      <c r="O3152" s="94">
        <f>N3152*M3152</f>
        <v>11520</v>
      </c>
      <c r="P3152" s="40" t="s">
        <v>3116</v>
      </c>
      <c r="Q3152" s="40" t="s">
        <v>766</v>
      </c>
      <c r="R3152" s="84">
        <v>635030100</v>
      </c>
      <c r="S3152" s="40">
        <v>100</v>
      </c>
    </row>
    <row r="3153" spans="1:19" s="92" customFormat="1" ht="76.5">
      <c r="A3153" s="5">
        <v>3138</v>
      </c>
      <c r="B3153" s="15" t="s">
        <v>710</v>
      </c>
      <c r="C3153" s="40" t="s">
        <v>711</v>
      </c>
      <c r="D3153" s="40" t="s">
        <v>723</v>
      </c>
      <c r="E3153" s="31" t="s">
        <v>874</v>
      </c>
      <c r="F3153" s="31" t="s">
        <v>874</v>
      </c>
      <c r="G3153" s="31" t="s">
        <v>875</v>
      </c>
      <c r="H3153" s="40" t="s">
        <v>876</v>
      </c>
      <c r="I3153" s="40" t="s">
        <v>3210</v>
      </c>
      <c r="J3153" s="40" t="s">
        <v>3211</v>
      </c>
      <c r="K3153" s="40" t="s">
        <v>591</v>
      </c>
      <c r="L3153" s="40" t="s">
        <v>644</v>
      </c>
      <c r="M3153" s="93">
        <v>1</v>
      </c>
      <c r="N3153" s="94">
        <v>30000</v>
      </c>
      <c r="O3153" s="94">
        <f>N3153*M3153</f>
        <v>30000</v>
      </c>
      <c r="P3153" s="40" t="s">
        <v>3116</v>
      </c>
      <c r="Q3153" s="40" t="s">
        <v>1051</v>
      </c>
      <c r="R3153" s="84">
        <v>635030100</v>
      </c>
      <c r="S3153" s="40">
        <v>100</v>
      </c>
    </row>
    <row r="3154" spans="1:19" s="92" customFormat="1" ht="89.25">
      <c r="A3154" s="5">
        <v>3139</v>
      </c>
      <c r="B3154" s="15" t="s">
        <v>710</v>
      </c>
      <c r="C3154" s="40" t="s">
        <v>597</v>
      </c>
      <c r="D3154" s="40" t="s">
        <v>598</v>
      </c>
      <c r="E3154" s="31" t="s">
        <v>599</v>
      </c>
      <c r="F3154" s="31" t="s">
        <v>782</v>
      </c>
      <c r="G3154" s="31" t="s">
        <v>3195</v>
      </c>
      <c r="H3154" s="40" t="s">
        <v>602</v>
      </c>
      <c r="I3154" s="40" t="s">
        <v>3196</v>
      </c>
      <c r="J3154" s="40" t="s">
        <v>3197</v>
      </c>
      <c r="K3154" s="40" t="s">
        <v>591</v>
      </c>
      <c r="L3154" s="11" t="s">
        <v>914</v>
      </c>
      <c r="M3154" s="93">
        <v>1</v>
      </c>
      <c r="N3154" s="94">
        <v>624400</v>
      </c>
      <c r="O3154" s="94">
        <v>624400</v>
      </c>
      <c r="P3154" s="40" t="s">
        <v>502</v>
      </c>
      <c r="Q3154" s="40" t="s">
        <v>766</v>
      </c>
      <c r="R3154" s="84">
        <v>636430100</v>
      </c>
      <c r="S3154" s="40">
        <v>0</v>
      </c>
    </row>
    <row r="3155" spans="1:19" s="92" customFormat="1" ht="89.25">
      <c r="A3155" s="5">
        <v>3140</v>
      </c>
      <c r="B3155" s="15" t="s">
        <v>710</v>
      </c>
      <c r="C3155" s="40" t="s">
        <v>597</v>
      </c>
      <c r="D3155" s="40" t="s">
        <v>598</v>
      </c>
      <c r="E3155" s="31" t="s">
        <v>599</v>
      </c>
      <c r="F3155" s="31" t="s">
        <v>782</v>
      </c>
      <c r="G3155" s="31" t="s">
        <v>3195</v>
      </c>
      <c r="H3155" s="40" t="s">
        <v>602</v>
      </c>
      <c r="I3155" s="40" t="s">
        <v>3196</v>
      </c>
      <c r="J3155" s="40" t="s">
        <v>3197</v>
      </c>
      <c r="K3155" s="40" t="s">
        <v>591</v>
      </c>
      <c r="L3155" s="11" t="s">
        <v>914</v>
      </c>
      <c r="M3155" s="93">
        <v>1</v>
      </c>
      <c r="N3155" s="94">
        <v>624400</v>
      </c>
      <c r="O3155" s="94">
        <v>624400</v>
      </c>
      <c r="P3155" s="40" t="s">
        <v>502</v>
      </c>
      <c r="Q3155" s="40" t="s">
        <v>766</v>
      </c>
      <c r="R3155" s="84">
        <v>636430100</v>
      </c>
      <c r="S3155" s="40">
        <v>0</v>
      </c>
    </row>
    <row r="3156" spans="1:19" s="92" customFormat="1" ht="51">
      <c r="A3156" s="5">
        <v>3141</v>
      </c>
      <c r="B3156" s="15" t="s">
        <v>710</v>
      </c>
      <c r="C3156" s="40" t="s">
        <v>597</v>
      </c>
      <c r="D3156" s="11" t="s">
        <v>850</v>
      </c>
      <c r="E3156" s="76" t="s">
        <v>1736</v>
      </c>
      <c r="F3156" s="76" t="s">
        <v>851</v>
      </c>
      <c r="G3156" s="76" t="s">
        <v>1737</v>
      </c>
      <c r="H3156" s="76" t="s">
        <v>852</v>
      </c>
      <c r="I3156" s="76" t="s">
        <v>3199</v>
      </c>
      <c r="J3156" s="76" t="s">
        <v>3200</v>
      </c>
      <c r="K3156" s="40" t="s">
        <v>591</v>
      </c>
      <c r="L3156" s="11" t="s">
        <v>914</v>
      </c>
      <c r="M3156" s="97">
        <v>1</v>
      </c>
      <c r="N3156" s="94">
        <f>10000*5</f>
        <v>50000</v>
      </c>
      <c r="O3156" s="94">
        <f>N3156</f>
        <v>50000</v>
      </c>
      <c r="P3156" s="40" t="s">
        <v>698</v>
      </c>
      <c r="Q3156" s="40" t="s">
        <v>766</v>
      </c>
      <c r="R3156" s="84">
        <v>635230100</v>
      </c>
      <c r="S3156" s="40">
        <v>0</v>
      </c>
    </row>
    <row r="3157" spans="1:19" s="92" customFormat="1" ht="51">
      <c r="A3157" s="5">
        <v>3142</v>
      </c>
      <c r="B3157" s="15" t="s">
        <v>710</v>
      </c>
      <c r="C3157" s="40" t="s">
        <v>597</v>
      </c>
      <c r="D3157" s="40" t="s">
        <v>2594</v>
      </c>
      <c r="E3157" s="31" t="s">
        <v>2618</v>
      </c>
      <c r="F3157" s="31" t="s">
        <v>2595</v>
      </c>
      <c r="G3157" s="31" t="s">
        <v>2618</v>
      </c>
      <c r="H3157" s="40" t="s">
        <v>2595</v>
      </c>
      <c r="I3157" s="40" t="s">
        <v>3201</v>
      </c>
      <c r="J3157" s="40" t="s">
        <v>3202</v>
      </c>
      <c r="K3157" s="40" t="s">
        <v>591</v>
      </c>
      <c r="L3157" s="11" t="s">
        <v>914</v>
      </c>
      <c r="M3157" s="93">
        <v>1</v>
      </c>
      <c r="N3157" s="94">
        <f>10500*3</f>
        <v>31500</v>
      </c>
      <c r="O3157" s="94">
        <f>N3157</f>
        <v>31500</v>
      </c>
      <c r="P3157" s="40" t="s">
        <v>3116</v>
      </c>
      <c r="Q3157" s="40" t="s">
        <v>766</v>
      </c>
      <c r="R3157" s="84">
        <v>635230100</v>
      </c>
      <c r="S3157" s="40">
        <v>30</v>
      </c>
    </row>
    <row r="3158" spans="1:19" s="92" customFormat="1" ht="89.25">
      <c r="A3158" s="5">
        <v>3143</v>
      </c>
      <c r="B3158" s="15" t="s">
        <v>710</v>
      </c>
      <c r="C3158" s="40" t="s">
        <v>711</v>
      </c>
      <c r="D3158" s="40" t="s">
        <v>976</v>
      </c>
      <c r="E3158" s="31" t="s">
        <v>730</v>
      </c>
      <c r="F3158" s="31" t="s">
        <v>731</v>
      </c>
      <c r="G3158" s="31" t="s">
        <v>977</v>
      </c>
      <c r="H3158" s="40" t="s">
        <v>978</v>
      </c>
      <c r="I3158" s="40" t="s">
        <v>3203</v>
      </c>
      <c r="J3158" s="40" t="s">
        <v>3204</v>
      </c>
      <c r="K3158" s="40" t="s">
        <v>591</v>
      </c>
      <c r="L3158" s="40" t="s">
        <v>644</v>
      </c>
      <c r="M3158" s="93">
        <v>2</v>
      </c>
      <c r="N3158" s="94">
        <v>26800</v>
      </c>
      <c r="O3158" s="94">
        <f>N3158*M3158</f>
        <v>53600</v>
      </c>
      <c r="P3158" s="40" t="s">
        <v>3116</v>
      </c>
      <c r="Q3158" s="40" t="s">
        <v>1051</v>
      </c>
      <c r="R3158" s="84">
        <v>635230100</v>
      </c>
      <c r="S3158" s="40">
        <v>100</v>
      </c>
    </row>
    <row r="3159" spans="1:19" s="92" customFormat="1" ht="63.75">
      <c r="A3159" s="5">
        <v>3144</v>
      </c>
      <c r="B3159" s="15" t="s">
        <v>710</v>
      </c>
      <c r="C3159" s="40" t="s">
        <v>711</v>
      </c>
      <c r="D3159" s="40" t="s">
        <v>744</v>
      </c>
      <c r="E3159" s="31" t="s">
        <v>745</v>
      </c>
      <c r="F3159" s="31" t="s">
        <v>109</v>
      </c>
      <c r="G3159" s="31" t="s">
        <v>746</v>
      </c>
      <c r="H3159" s="40" t="s">
        <v>3205</v>
      </c>
      <c r="I3159" s="40" t="s">
        <v>3206</v>
      </c>
      <c r="J3159" s="40" t="s">
        <v>3207</v>
      </c>
      <c r="K3159" s="40" t="s">
        <v>591</v>
      </c>
      <c r="L3159" s="40" t="s">
        <v>644</v>
      </c>
      <c r="M3159" s="93">
        <v>6</v>
      </c>
      <c r="N3159" s="94">
        <v>4000</v>
      </c>
      <c r="O3159" s="94">
        <f>M3159*N3159</f>
        <v>24000</v>
      </c>
      <c r="P3159" s="40" t="s">
        <v>3116</v>
      </c>
      <c r="Q3159" s="40" t="s">
        <v>1051</v>
      </c>
      <c r="R3159" s="84">
        <v>635230100</v>
      </c>
      <c r="S3159" s="40">
        <v>100</v>
      </c>
    </row>
    <row r="3160" spans="1:19" s="92" customFormat="1" ht="51">
      <c r="A3160" s="5">
        <v>3145</v>
      </c>
      <c r="B3160" s="15" t="s">
        <v>710</v>
      </c>
      <c r="C3160" s="40" t="s">
        <v>711</v>
      </c>
      <c r="D3160" s="98" t="s">
        <v>422</v>
      </c>
      <c r="E3160" s="76" t="s">
        <v>423</v>
      </c>
      <c r="F3160" s="76" t="s">
        <v>427</v>
      </c>
      <c r="G3160" s="76" t="s">
        <v>837</v>
      </c>
      <c r="H3160" s="76" t="s">
        <v>425</v>
      </c>
      <c r="I3160" s="76" t="s">
        <v>3208</v>
      </c>
      <c r="J3160" s="76" t="s">
        <v>3209</v>
      </c>
      <c r="K3160" s="76" t="s">
        <v>591</v>
      </c>
      <c r="L3160" s="11" t="s">
        <v>909</v>
      </c>
      <c r="M3160" s="53">
        <v>18</v>
      </c>
      <c r="N3160" s="94">
        <v>640</v>
      </c>
      <c r="O3160" s="94">
        <f>N3160*M3160</f>
        <v>11520</v>
      </c>
      <c r="P3160" s="40" t="s">
        <v>3116</v>
      </c>
      <c r="Q3160" s="40" t="s">
        <v>766</v>
      </c>
      <c r="R3160" s="84">
        <v>635230100</v>
      </c>
      <c r="S3160" s="40">
        <v>100</v>
      </c>
    </row>
    <row r="3161" spans="1:19" s="92" customFormat="1" ht="76.5">
      <c r="A3161" s="5">
        <v>3146</v>
      </c>
      <c r="B3161" s="15" t="s">
        <v>710</v>
      </c>
      <c r="C3161" s="40" t="s">
        <v>711</v>
      </c>
      <c r="D3161" s="40" t="s">
        <v>723</v>
      </c>
      <c r="E3161" s="31" t="s">
        <v>874</v>
      </c>
      <c r="F3161" s="31" t="s">
        <v>874</v>
      </c>
      <c r="G3161" s="31" t="s">
        <v>875</v>
      </c>
      <c r="H3161" s="40" t="s">
        <v>876</v>
      </c>
      <c r="I3161" s="40" t="s">
        <v>3210</v>
      </c>
      <c r="J3161" s="40" t="s">
        <v>3211</v>
      </c>
      <c r="K3161" s="40" t="s">
        <v>591</v>
      </c>
      <c r="L3161" s="40" t="s">
        <v>644</v>
      </c>
      <c r="M3161" s="93">
        <v>2</v>
      </c>
      <c r="N3161" s="94">
        <v>30000</v>
      </c>
      <c r="O3161" s="94">
        <f>N3161*M3161</f>
        <v>60000</v>
      </c>
      <c r="P3161" s="40" t="s">
        <v>3116</v>
      </c>
      <c r="Q3161" s="40" t="s">
        <v>1051</v>
      </c>
      <c r="R3161" s="84">
        <v>635230100</v>
      </c>
      <c r="S3161" s="40">
        <v>100</v>
      </c>
    </row>
    <row r="3162" spans="1:19" s="92" customFormat="1" ht="89.25">
      <c r="A3162" s="5">
        <v>3147</v>
      </c>
      <c r="B3162" s="15" t="s">
        <v>710</v>
      </c>
      <c r="C3162" s="40" t="s">
        <v>597</v>
      </c>
      <c r="D3162" s="40" t="s">
        <v>598</v>
      </c>
      <c r="E3162" s="31" t="s">
        <v>599</v>
      </c>
      <c r="F3162" s="31" t="s">
        <v>782</v>
      </c>
      <c r="G3162" s="31" t="s">
        <v>3195</v>
      </c>
      <c r="H3162" s="40" t="s">
        <v>602</v>
      </c>
      <c r="I3162" s="40" t="s">
        <v>3196</v>
      </c>
      <c r="J3162" s="40" t="s">
        <v>3197</v>
      </c>
      <c r="K3162" s="40" t="s">
        <v>591</v>
      </c>
      <c r="L3162" s="11" t="s">
        <v>914</v>
      </c>
      <c r="M3162" s="93">
        <v>1</v>
      </c>
      <c r="N3162" s="94">
        <v>624400</v>
      </c>
      <c r="O3162" s="94">
        <v>624400</v>
      </c>
      <c r="P3162" s="40" t="s">
        <v>502</v>
      </c>
      <c r="Q3162" s="40" t="s">
        <v>766</v>
      </c>
      <c r="R3162" s="84">
        <v>635259409</v>
      </c>
      <c r="S3162" s="40">
        <v>0</v>
      </c>
    </row>
    <row r="3163" spans="1:19" s="92" customFormat="1" ht="89.25">
      <c r="A3163" s="5">
        <v>3148</v>
      </c>
      <c r="B3163" s="15" t="s">
        <v>710</v>
      </c>
      <c r="C3163" s="40" t="s">
        <v>597</v>
      </c>
      <c r="D3163" s="40" t="s">
        <v>598</v>
      </c>
      <c r="E3163" s="31" t="s">
        <v>599</v>
      </c>
      <c r="F3163" s="31" t="s">
        <v>782</v>
      </c>
      <c r="G3163" s="31" t="s">
        <v>3195</v>
      </c>
      <c r="H3163" s="40" t="s">
        <v>602</v>
      </c>
      <c r="I3163" s="40" t="s">
        <v>3196</v>
      </c>
      <c r="J3163" s="40" t="s">
        <v>3197</v>
      </c>
      <c r="K3163" s="40" t="s">
        <v>591</v>
      </c>
      <c r="L3163" s="11" t="s">
        <v>914</v>
      </c>
      <c r="M3163" s="93">
        <v>1</v>
      </c>
      <c r="N3163" s="94">
        <v>624400</v>
      </c>
      <c r="O3163" s="94">
        <v>624400</v>
      </c>
      <c r="P3163" s="40" t="s">
        <v>502</v>
      </c>
      <c r="Q3163" s="40" t="s">
        <v>766</v>
      </c>
      <c r="R3163" s="84">
        <v>635259409</v>
      </c>
      <c r="S3163" s="40">
        <v>0</v>
      </c>
    </row>
    <row r="3164" spans="1:19" s="92" customFormat="1" ht="51">
      <c r="A3164" s="5">
        <v>3149</v>
      </c>
      <c r="B3164" s="15" t="s">
        <v>710</v>
      </c>
      <c r="C3164" s="40" t="s">
        <v>597</v>
      </c>
      <c r="D3164" s="11" t="s">
        <v>850</v>
      </c>
      <c r="E3164" s="76" t="s">
        <v>1736</v>
      </c>
      <c r="F3164" s="76" t="s">
        <v>851</v>
      </c>
      <c r="G3164" s="76" t="s">
        <v>1737</v>
      </c>
      <c r="H3164" s="76" t="s">
        <v>852</v>
      </c>
      <c r="I3164" s="76" t="s">
        <v>3199</v>
      </c>
      <c r="J3164" s="76" t="s">
        <v>3200</v>
      </c>
      <c r="K3164" s="40" t="s">
        <v>591</v>
      </c>
      <c r="L3164" s="11" t="s">
        <v>914</v>
      </c>
      <c r="M3164" s="97">
        <v>1</v>
      </c>
      <c r="N3164" s="94">
        <f>10000*5</f>
        <v>50000</v>
      </c>
      <c r="O3164" s="94">
        <f>N3164</f>
        <v>50000</v>
      </c>
      <c r="P3164" s="40" t="s">
        <v>698</v>
      </c>
      <c r="Q3164" s="40" t="s">
        <v>766</v>
      </c>
      <c r="R3164" s="84">
        <v>636430100</v>
      </c>
      <c r="S3164" s="40">
        <v>0</v>
      </c>
    </row>
    <row r="3165" spans="1:19" s="92" customFormat="1" ht="51">
      <c r="A3165" s="5">
        <v>3150</v>
      </c>
      <c r="B3165" s="15" t="s">
        <v>710</v>
      </c>
      <c r="C3165" s="40" t="s">
        <v>597</v>
      </c>
      <c r="D3165" s="40" t="s">
        <v>2594</v>
      </c>
      <c r="E3165" s="31" t="s">
        <v>2618</v>
      </c>
      <c r="F3165" s="31" t="s">
        <v>2595</v>
      </c>
      <c r="G3165" s="31" t="s">
        <v>2618</v>
      </c>
      <c r="H3165" s="40" t="s">
        <v>2595</v>
      </c>
      <c r="I3165" s="40" t="s">
        <v>3201</v>
      </c>
      <c r="J3165" s="40" t="s">
        <v>3202</v>
      </c>
      <c r="K3165" s="40" t="s">
        <v>591</v>
      </c>
      <c r="L3165" s="11" t="s">
        <v>914</v>
      </c>
      <c r="M3165" s="93">
        <v>1</v>
      </c>
      <c r="N3165" s="94">
        <f>10500*3</f>
        <v>31500</v>
      </c>
      <c r="O3165" s="94">
        <f>N3165</f>
        <v>31500</v>
      </c>
      <c r="P3165" s="40" t="s">
        <v>3116</v>
      </c>
      <c r="Q3165" s="40" t="s">
        <v>766</v>
      </c>
      <c r="R3165" s="84">
        <v>636430100</v>
      </c>
      <c r="S3165" s="40">
        <v>30</v>
      </c>
    </row>
    <row r="3166" spans="1:19" s="92" customFormat="1" ht="89.25">
      <c r="A3166" s="5">
        <v>3151</v>
      </c>
      <c r="B3166" s="15" t="s">
        <v>710</v>
      </c>
      <c r="C3166" s="40" t="s">
        <v>711</v>
      </c>
      <c r="D3166" s="40" t="s">
        <v>976</v>
      </c>
      <c r="E3166" s="31" t="s">
        <v>730</v>
      </c>
      <c r="F3166" s="31" t="s">
        <v>731</v>
      </c>
      <c r="G3166" s="31" t="s">
        <v>977</v>
      </c>
      <c r="H3166" s="40" t="s">
        <v>978</v>
      </c>
      <c r="I3166" s="40" t="s">
        <v>3203</v>
      </c>
      <c r="J3166" s="40" t="s">
        <v>3204</v>
      </c>
      <c r="K3166" s="40" t="s">
        <v>591</v>
      </c>
      <c r="L3166" s="40" t="s">
        <v>644</v>
      </c>
      <c r="M3166" s="93">
        <v>2</v>
      </c>
      <c r="N3166" s="94">
        <v>26800</v>
      </c>
      <c r="O3166" s="94">
        <f>N3166*M3166</f>
        <v>53600</v>
      </c>
      <c r="P3166" s="40" t="s">
        <v>3116</v>
      </c>
      <c r="Q3166" s="40" t="s">
        <v>1051</v>
      </c>
      <c r="R3166" s="84">
        <v>636430100</v>
      </c>
      <c r="S3166" s="40">
        <v>100</v>
      </c>
    </row>
    <row r="3167" spans="1:19" s="92" customFormat="1" ht="63.75">
      <c r="A3167" s="5">
        <v>3152</v>
      </c>
      <c r="B3167" s="15" t="s">
        <v>710</v>
      </c>
      <c r="C3167" s="40" t="s">
        <v>711</v>
      </c>
      <c r="D3167" s="40" t="s">
        <v>744</v>
      </c>
      <c r="E3167" s="31" t="s">
        <v>745</v>
      </c>
      <c r="F3167" s="31" t="s">
        <v>109</v>
      </c>
      <c r="G3167" s="31" t="s">
        <v>746</v>
      </c>
      <c r="H3167" s="40" t="s">
        <v>3205</v>
      </c>
      <c r="I3167" s="40" t="s">
        <v>3206</v>
      </c>
      <c r="J3167" s="40" t="s">
        <v>3207</v>
      </c>
      <c r="K3167" s="40" t="s">
        <v>591</v>
      </c>
      <c r="L3167" s="40" t="s">
        <v>644</v>
      </c>
      <c r="M3167" s="93">
        <v>6</v>
      </c>
      <c r="N3167" s="94">
        <v>4000</v>
      </c>
      <c r="O3167" s="94">
        <f>M3167*N3167</f>
        <v>24000</v>
      </c>
      <c r="P3167" s="40" t="s">
        <v>3116</v>
      </c>
      <c r="Q3167" s="40" t="s">
        <v>1051</v>
      </c>
      <c r="R3167" s="84">
        <v>636430100</v>
      </c>
      <c r="S3167" s="40">
        <v>100</v>
      </c>
    </row>
    <row r="3168" spans="1:19" s="92" customFormat="1" ht="51">
      <c r="A3168" s="5">
        <v>3153</v>
      </c>
      <c r="B3168" s="15" t="s">
        <v>710</v>
      </c>
      <c r="C3168" s="40" t="s">
        <v>711</v>
      </c>
      <c r="D3168" s="98" t="s">
        <v>422</v>
      </c>
      <c r="E3168" s="76" t="s">
        <v>423</v>
      </c>
      <c r="F3168" s="76" t="s">
        <v>427</v>
      </c>
      <c r="G3168" s="76" t="s">
        <v>837</v>
      </c>
      <c r="H3168" s="76" t="s">
        <v>425</v>
      </c>
      <c r="I3168" s="76" t="s">
        <v>3208</v>
      </c>
      <c r="J3168" s="76" t="s">
        <v>3209</v>
      </c>
      <c r="K3168" s="76" t="s">
        <v>591</v>
      </c>
      <c r="L3168" s="11" t="s">
        <v>909</v>
      </c>
      <c r="M3168" s="53">
        <v>18</v>
      </c>
      <c r="N3168" s="94">
        <v>640</v>
      </c>
      <c r="O3168" s="94">
        <f>N3168*M3168</f>
        <v>11520</v>
      </c>
      <c r="P3168" s="40" t="s">
        <v>3116</v>
      </c>
      <c r="Q3168" s="40" t="s">
        <v>766</v>
      </c>
      <c r="R3168" s="84">
        <v>636430100</v>
      </c>
      <c r="S3168" s="40">
        <v>100</v>
      </c>
    </row>
    <row r="3169" spans="1:19" s="92" customFormat="1" ht="76.5">
      <c r="A3169" s="5">
        <v>3154</v>
      </c>
      <c r="B3169" s="15" t="s">
        <v>710</v>
      </c>
      <c r="C3169" s="40" t="s">
        <v>711</v>
      </c>
      <c r="D3169" s="40" t="s">
        <v>723</v>
      </c>
      <c r="E3169" s="31" t="s">
        <v>874</v>
      </c>
      <c r="F3169" s="31" t="s">
        <v>874</v>
      </c>
      <c r="G3169" s="31" t="s">
        <v>875</v>
      </c>
      <c r="H3169" s="40" t="s">
        <v>876</v>
      </c>
      <c r="I3169" s="40" t="s">
        <v>3210</v>
      </c>
      <c r="J3169" s="40" t="s">
        <v>3211</v>
      </c>
      <c r="K3169" s="40" t="s">
        <v>591</v>
      </c>
      <c r="L3169" s="40" t="s">
        <v>644</v>
      </c>
      <c r="M3169" s="93">
        <v>2</v>
      </c>
      <c r="N3169" s="94">
        <v>30000</v>
      </c>
      <c r="O3169" s="94">
        <f>N3169*M3169</f>
        <v>60000</v>
      </c>
      <c r="P3169" s="40" t="s">
        <v>3116</v>
      </c>
      <c r="Q3169" s="40" t="s">
        <v>1051</v>
      </c>
      <c r="R3169" s="84">
        <v>636430100</v>
      </c>
      <c r="S3169" s="40">
        <v>100</v>
      </c>
    </row>
    <row r="3170" spans="1:19" s="92" customFormat="1" ht="89.25">
      <c r="A3170" s="5">
        <v>3155</v>
      </c>
      <c r="B3170" s="15" t="s">
        <v>710</v>
      </c>
      <c r="C3170" s="40" t="s">
        <v>597</v>
      </c>
      <c r="D3170" s="40" t="s">
        <v>598</v>
      </c>
      <c r="E3170" s="31" t="s">
        <v>599</v>
      </c>
      <c r="F3170" s="31" t="s">
        <v>782</v>
      </c>
      <c r="G3170" s="31" t="s">
        <v>3195</v>
      </c>
      <c r="H3170" s="40" t="s">
        <v>602</v>
      </c>
      <c r="I3170" s="40" t="s">
        <v>3196</v>
      </c>
      <c r="J3170" s="40" t="s">
        <v>3197</v>
      </c>
      <c r="K3170" s="40" t="s">
        <v>591</v>
      </c>
      <c r="L3170" s="11" t="s">
        <v>914</v>
      </c>
      <c r="M3170" s="93">
        <v>1</v>
      </c>
      <c r="N3170" s="94">
        <v>624400</v>
      </c>
      <c r="O3170" s="94">
        <v>624400</v>
      </c>
      <c r="P3170" s="40" t="s">
        <v>502</v>
      </c>
      <c r="Q3170" s="40" t="s">
        <v>766</v>
      </c>
      <c r="R3170" s="84">
        <v>636820100</v>
      </c>
      <c r="S3170" s="40">
        <v>0</v>
      </c>
    </row>
    <row r="3171" spans="1:19" s="92" customFormat="1" ht="89.25">
      <c r="A3171" s="5">
        <v>3156</v>
      </c>
      <c r="B3171" s="15" t="s">
        <v>710</v>
      </c>
      <c r="C3171" s="40" t="s">
        <v>597</v>
      </c>
      <c r="D3171" s="40" t="s">
        <v>598</v>
      </c>
      <c r="E3171" s="31" t="s">
        <v>599</v>
      </c>
      <c r="F3171" s="31" t="s">
        <v>782</v>
      </c>
      <c r="G3171" s="31" t="s">
        <v>3195</v>
      </c>
      <c r="H3171" s="40" t="s">
        <v>602</v>
      </c>
      <c r="I3171" s="40" t="s">
        <v>3196</v>
      </c>
      <c r="J3171" s="40" t="s">
        <v>3197</v>
      </c>
      <c r="K3171" s="40" t="s">
        <v>591</v>
      </c>
      <c r="L3171" s="11" t="s">
        <v>914</v>
      </c>
      <c r="M3171" s="93">
        <v>1</v>
      </c>
      <c r="N3171" s="94">
        <v>624400</v>
      </c>
      <c r="O3171" s="94">
        <v>624400</v>
      </c>
      <c r="P3171" s="40" t="s">
        <v>502</v>
      </c>
      <c r="Q3171" s="40" t="s">
        <v>766</v>
      </c>
      <c r="R3171" s="84">
        <v>636820100</v>
      </c>
      <c r="S3171" s="40">
        <v>0</v>
      </c>
    </row>
    <row r="3172" spans="1:19" s="92" customFormat="1" ht="51">
      <c r="A3172" s="5">
        <v>3157</v>
      </c>
      <c r="B3172" s="15" t="s">
        <v>710</v>
      </c>
      <c r="C3172" s="40" t="s">
        <v>597</v>
      </c>
      <c r="D3172" s="11" t="s">
        <v>850</v>
      </c>
      <c r="E3172" s="76" t="s">
        <v>1736</v>
      </c>
      <c r="F3172" s="76" t="s">
        <v>851</v>
      </c>
      <c r="G3172" s="76" t="s">
        <v>1737</v>
      </c>
      <c r="H3172" s="76" t="s">
        <v>852</v>
      </c>
      <c r="I3172" s="76" t="s">
        <v>3199</v>
      </c>
      <c r="J3172" s="76" t="s">
        <v>3200</v>
      </c>
      <c r="K3172" s="40" t="s">
        <v>591</v>
      </c>
      <c r="L3172" s="11" t="s">
        <v>914</v>
      </c>
      <c r="M3172" s="97">
        <v>1</v>
      </c>
      <c r="N3172" s="94">
        <f>10000*5</f>
        <v>50000</v>
      </c>
      <c r="O3172" s="94">
        <f>N3172</f>
        <v>50000</v>
      </c>
      <c r="P3172" s="40" t="s">
        <v>698</v>
      </c>
      <c r="Q3172" s="40" t="s">
        <v>766</v>
      </c>
      <c r="R3172" s="84">
        <v>635259409</v>
      </c>
      <c r="S3172" s="40">
        <v>0</v>
      </c>
    </row>
    <row r="3173" spans="1:19" s="92" customFormat="1" ht="51">
      <c r="A3173" s="5">
        <v>3158</v>
      </c>
      <c r="B3173" s="15" t="s">
        <v>710</v>
      </c>
      <c r="C3173" s="40" t="s">
        <v>597</v>
      </c>
      <c r="D3173" s="40" t="s">
        <v>2594</v>
      </c>
      <c r="E3173" s="31" t="s">
        <v>2618</v>
      </c>
      <c r="F3173" s="31" t="s">
        <v>2595</v>
      </c>
      <c r="G3173" s="31" t="s">
        <v>2618</v>
      </c>
      <c r="H3173" s="40" t="s">
        <v>2595</v>
      </c>
      <c r="I3173" s="40" t="s">
        <v>3201</v>
      </c>
      <c r="J3173" s="40" t="s">
        <v>3202</v>
      </c>
      <c r="K3173" s="40" t="s">
        <v>591</v>
      </c>
      <c r="L3173" s="11" t="s">
        <v>914</v>
      </c>
      <c r="M3173" s="93">
        <v>1</v>
      </c>
      <c r="N3173" s="94">
        <f>10500*3</f>
        <v>31500</v>
      </c>
      <c r="O3173" s="94">
        <f>N3173</f>
        <v>31500</v>
      </c>
      <c r="P3173" s="40" t="s">
        <v>3116</v>
      </c>
      <c r="Q3173" s="40" t="s">
        <v>766</v>
      </c>
      <c r="R3173" s="84">
        <v>635259409</v>
      </c>
      <c r="S3173" s="40">
        <v>30</v>
      </c>
    </row>
    <row r="3174" spans="1:19" s="92" customFormat="1" ht="89.25">
      <c r="A3174" s="5">
        <v>3159</v>
      </c>
      <c r="B3174" s="15" t="s">
        <v>710</v>
      </c>
      <c r="C3174" s="40" t="s">
        <v>711</v>
      </c>
      <c r="D3174" s="40" t="s">
        <v>976</v>
      </c>
      <c r="E3174" s="31" t="s">
        <v>730</v>
      </c>
      <c r="F3174" s="31" t="s">
        <v>731</v>
      </c>
      <c r="G3174" s="31" t="s">
        <v>977</v>
      </c>
      <c r="H3174" s="40" t="s">
        <v>978</v>
      </c>
      <c r="I3174" s="40" t="s">
        <v>3203</v>
      </c>
      <c r="J3174" s="40" t="s">
        <v>3204</v>
      </c>
      <c r="K3174" s="40" t="s">
        <v>591</v>
      </c>
      <c r="L3174" s="40" t="s">
        <v>644</v>
      </c>
      <c r="M3174" s="93">
        <v>2</v>
      </c>
      <c r="N3174" s="94">
        <v>26800</v>
      </c>
      <c r="O3174" s="94">
        <f>N3174*M3174</f>
        <v>53600</v>
      </c>
      <c r="P3174" s="40" t="s">
        <v>3116</v>
      </c>
      <c r="Q3174" s="40" t="s">
        <v>1051</v>
      </c>
      <c r="R3174" s="84">
        <v>635259409</v>
      </c>
      <c r="S3174" s="40">
        <v>100</v>
      </c>
    </row>
    <row r="3175" spans="1:19" s="92" customFormat="1" ht="63.75">
      <c r="A3175" s="5">
        <v>3160</v>
      </c>
      <c r="B3175" s="15" t="s">
        <v>710</v>
      </c>
      <c r="C3175" s="40" t="s">
        <v>711</v>
      </c>
      <c r="D3175" s="40" t="s">
        <v>744</v>
      </c>
      <c r="E3175" s="31" t="s">
        <v>745</v>
      </c>
      <c r="F3175" s="31" t="s">
        <v>109</v>
      </c>
      <c r="G3175" s="31" t="s">
        <v>746</v>
      </c>
      <c r="H3175" s="40" t="s">
        <v>3205</v>
      </c>
      <c r="I3175" s="40" t="s">
        <v>3206</v>
      </c>
      <c r="J3175" s="40" t="s">
        <v>3207</v>
      </c>
      <c r="K3175" s="40" t="s">
        <v>591</v>
      </c>
      <c r="L3175" s="40" t="s">
        <v>644</v>
      </c>
      <c r="M3175" s="93">
        <v>6</v>
      </c>
      <c r="N3175" s="94">
        <v>4000</v>
      </c>
      <c r="O3175" s="94">
        <f>M3175*N3175</f>
        <v>24000</v>
      </c>
      <c r="P3175" s="40" t="s">
        <v>3116</v>
      </c>
      <c r="Q3175" s="40" t="s">
        <v>1051</v>
      </c>
      <c r="R3175" s="84">
        <v>635259409</v>
      </c>
      <c r="S3175" s="40">
        <v>100</v>
      </c>
    </row>
    <row r="3176" spans="1:19" s="92" customFormat="1" ht="51">
      <c r="A3176" s="5">
        <v>3161</v>
      </c>
      <c r="B3176" s="15" t="s">
        <v>710</v>
      </c>
      <c r="C3176" s="40" t="s">
        <v>711</v>
      </c>
      <c r="D3176" s="98" t="s">
        <v>422</v>
      </c>
      <c r="E3176" s="76" t="s">
        <v>423</v>
      </c>
      <c r="F3176" s="76" t="s">
        <v>427</v>
      </c>
      <c r="G3176" s="76" t="s">
        <v>837</v>
      </c>
      <c r="H3176" s="76" t="s">
        <v>425</v>
      </c>
      <c r="I3176" s="76" t="s">
        <v>3208</v>
      </c>
      <c r="J3176" s="76" t="s">
        <v>3209</v>
      </c>
      <c r="K3176" s="76" t="s">
        <v>591</v>
      </c>
      <c r="L3176" s="11" t="s">
        <v>909</v>
      </c>
      <c r="M3176" s="53">
        <v>18</v>
      </c>
      <c r="N3176" s="94">
        <v>640</v>
      </c>
      <c r="O3176" s="94">
        <f>N3176*M3176</f>
        <v>11520</v>
      </c>
      <c r="P3176" s="40" t="s">
        <v>3116</v>
      </c>
      <c r="Q3176" s="40" t="s">
        <v>766</v>
      </c>
      <c r="R3176" s="84">
        <v>635259409</v>
      </c>
      <c r="S3176" s="40">
        <v>100</v>
      </c>
    </row>
    <row r="3177" spans="1:19" s="92" customFormat="1" ht="76.5">
      <c r="A3177" s="5">
        <v>3162</v>
      </c>
      <c r="B3177" s="15" t="s">
        <v>710</v>
      </c>
      <c r="C3177" s="40" t="s">
        <v>711</v>
      </c>
      <c r="D3177" s="40" t="s">
        <v>723</v>
      </c>
      <c r="E3177" s="31" t="s">
        <v>874</v>
      </c>
      <c r="F3177" s="31" t="s">
        <v>874</v>
      </c>
      <c r="G3177" s="31" t="s">
        <v>875</v>
      </c>
      <c r="H3177" s="40" t="s">
        <v>876</v>
      </c>
      <c r="I3177" s="40" t="s">
        <v>3210</v>
      </c>
      <c r="J3177" s="40" t="s">
        <v>3211</v>
      </c>
      <c r="K3177" s="40" t="s">
        <v>591</v>
      </c>
      <c r="L3177" s="40" t="s">
        <v>644</v>
      </c>
      <c r="M3177" s="93">
        <v>2</v>
      </c>
      <c r="N3177" s="94">
        <v>30000</v>
      </c>
      <c r="O3177" s="94">
        <f>N3177*M3177</f>
        <v>60000</v>
      </c>
      <c r="P3177" s="40" t="s">
        <v>3116</v>
      </c>
      <c r="Q3177" s="40" t="s">
        <v>1051</v>
      </c>
      <c r="R3177" s="84">
        <v>635259409</v>
      </c>
      <c r="S3177" s="40">
        <v>100</v>
      </c>
    </row>
    <row r="3178" spans="1:19" s="92" customFormat="1" ht="89.25">
      <c r="A3178" s="5">
        <v>3163</v>
      </c>
      <c r="B3178" s="15" t="s">
        <v>710</v>
      </c>
      <c r="C3178" s="40" t="s">
        <v>597</v>
      </c>
      <c r="D3178" s="40" t="s">
        <v>598</v>
      </c>
      <c r="E3178" s="31" t="s">
        <v>599</v>
      </c>
      <c r="F3178" s="31" t="s">
        <v>782</v>
      </c>
      <c r="G3178" s="31" t="s">
        <v>3195</v>
      </c>
      <c r="H3178" s="40" t="s">
        <v>602</v>
      </c>
      <c r="I3178" s="40" t="s">
        <v>3196</v>
      </c>
      <c r="J3178" s="40" t="s">
        <v>3197</v>
      </c>
      <c r="K3178" s="40" t="s">
        <v>591</v>
      </c>
      <c r="L3178" s="11" t="s">
        <v>914</v>
      </c>
      <c r="M3178" s="93">
        <v>1</v>
      </c>
      <c r="N3178" s="94">
        <v>624400</v>
      </c>
      <c r="O3178" s="94">
        <v>624400</v>
      </c>
      <c r="P3178" s="40" t="s">
        <v>502</v>
      </c>
      <c r="Q3178" s="40" t="s">
        <v>766</v>
      </c>
      <c r="R3178" s="84">
        <v>634421000</v>
      </c>
      <c r="S3178" s="40">
        <v>0</v>
      </c>
    </row>
    <row r="3179" spans="1:19" s="92" customFormat="1" ht="89.25">
      <c r="A3179" s="5">
        <v>3164</v>
      </c>
      <c r="B3179" s="15" t="s">
        <v>710</v>
      </c>
      <c r="C3179" s="40" t="s">
        <v>597</v>
      </c>
      <c r="D3179" s="40" t="s">
        <v>598</v>
      </c>
      <c r="E3179" s="31" t="s">
        <v>599</v>
      </c>
      <c r="F3179" s="31" t="s">
        <v>782</v>
      </c>
      <c r="G3179" s="31" t="s">
        <v>3195</v>
      </c>
      <c r="H3179" s="40" t="s">
        <v>602</v>
      </c>
      <c r="I3179" s="40" t="s">
        <v>3196</v>
      </c>
      <c r="J3179" s="40" t="s">
        <v>3197</v>
      </c>
      <c r="K3179" s="40" t="s">
        <v>591</v>
      </c>
      <c r="L3179" s="11" t="s">
        <v>914</v>
      </c>
      <c r="M3179" s="93">
        <v>1</v>
      </c>
      <c r="N3179" s="94">
        <v>624400</v>
      </c>
      <c r="O3179" s="94">
        <v>624400</v>
      </c>
      <c r="P3179" s="40" t="s">
        <v>502</v>
      </c>
      <c r="Q3179" s="40" t="s">
        <v>766</v>
      </c>
      <c r="R3179" s="84">
        <v>634421000</v>
      </c>
      <c r="S3179" s="40">
        <v>0</v>
      </c>
    </row>
    <row r="3180" spans="1:19" s="92" customFormat="1" ht="51">
      <c r="A3180" s="5">
        <v>3165</v>
      </c>
      <c r="B3180" s="15" t="s">
        <v>710</v>
      </c>
      <c r="C3180" s="40" t="s">
        <v>597</v>
      </c>
      <c r="D3180" s="11" t="s">
        <v>850</v>
      </c>
      <c r="E3180" s="76" t="s">
        <v>1736</v>
      </c>
      <c r="F3180" s="76" t="s">
        <v>851</v>
      </c>
      <c r="G3180" s="76" t="s">
        <v>1737</v>
      </c>
      <c r="H3180" s="76" t="s">
        <v>852</v>
      </c>
      <c r="I3180" s="76" t="s">
        <v>3199</v>
      </c>
      <c r="J3180" s="76" t="s">
        <v>3200</v>
      </c>
      <c r="K3180" s="40" t="s">
        <v>591</v>
      </c>
      <c r="L3180" s="11" t="s">
        <v>914</v>
      </c>
      <c r="M3180" s="97">
        <v>1</v>
      </c>
      <c r="N3180" s="94">
        <f>10000*5</f>
        <v>50000</v>
      </c>
      <c r="O3180" s="94">
        <f>N3180</f>
        <v>50000</v>
      </c>
      <c r="P3180" s="40" t="s">
        <v>698</v>
      </c>
      <c r="Q3180" s="40" t="s">
        <v>766</v>
      </c>
      <c r="R3180" s="84">
        <v>636820100</v>
      </c>
      <c r="S3180" s="40">
        <v>0</v>
      </c>
    </row>
    <row r="3181" spans="1:19" s="92" customFormat="1" ht="51">
      <c r="A3181" s="5">
        <v>3166</v>
      </c>
      <c r="B3181" s="15" t="s">
        <v>710</v>
      </c>
      <c r="C3181" s="40" t="s">
        <v>597</v>
      </c>
      <c r="D3181" s="40" t="s">
        <v>2594</v>
      </c>
      <c r="E3181" s="31" t="s">
        <v>2618</v>
      </c>
      <c r="F3181" s="31" t="s">
        <v>2595</v>
      </c>
      <c r="G3181" s="31" t="s">
        <v>2618</v>
      </c>
      <c r="H3181" s="40" t="s">
        <v>2595</v>
      </c>
      <c r="I3181" s="40" t="s">
        <v>3201</v>
      </c>
      <c r="J3181" s="40" t="s">
        <v>3202</v>
      </c>
      <c r="K3181" s="40" t="s">
        <v>591</v>
      </c>
      <c r="L3181" s="11" t="s">
        <v>914</v>
      </c>
      <c r="M3181" s="93">
        <v>1</v>
      </c>
      <c r="N3181" s="94">
        <f>10500*3</f>
        <v>31500</v>
      </c>
      <c r="O3181" s="94">
        <f>N3181</f>
        <v>31500</v>
      </c>
      <c r="P3181" s="40" t="s">
        <v>3116</v>
      </c>
      <c r="Q3181" s="40" t="s">
        <v>766</v>
      </c>
      <c r="R3181" s="84">
        <v>636820100</v>
      </c>
      <c r="S3181" s="40">
        <v>30</v>
      </c>
    </row>
    <row r="3182" spans="1:19" s="92" customFormat="1" ht="89.25">
      <c r="A3182" s="5">
        <v>3167</v>
      </c>
      <c r="B3182" s="15" t="s">
        <v>710</v>
      </c>
      <c r="C3182" s="40" t="s">
        <v>711</v>
      </c>
      <c r="D3182" s="40" t="s">
        <v>976</v>
      </c>
      <c r="E3182" s="31" t="s">
        <v>730</v>
      </c>
      <c r="F3182" s="31" t="s">
        <v>731</v>
      </c>
      <c r="G3182" s="31" t="s">
        <v>977</v>
      </c>
      <c r="H3182" s="40" t="s">
        <v>978</v>
      </c>
      <c r="I3182" s="40" t="s">
        <v>3203</v>
      </c>
      <c r="J3182" s="40" t="s">
        <v>3204</v>
      </c>
      <c r="K3182" s="40" t="s">
        <v>591</v>
      </c>
      <c r="L3182" s="40" t="s">
        <v>644</v>
      </c>
      <c r="M3182" s="93">
        <v>2</v>
      </c>
      <c r="N3182" s="94">
        <v>26800</v>
      </c>
      <c r="O3182" s="94">
        <f>N3182*M3182</f>
        <v>53600</v>
      </c>
      <c r="P3182" s="40" t="s">
        <v>3116</v>
      </c>
      <c r="Q3182" s="40" t="s">
        <v>1051</v>
      </c>
      <c r="R3182" s="84">
        <v>636820100</v>
      </c>
      <c r="S3182" s="40">
        <v>100</v>
      </c>
    </row>
    <row r="3183" spans="1:19" s="92" customFormat="1" ht="63.75">
      <c r="A3183" s="5">
        <v>3168</v>
      </c>
      <c r="B3183" s="15" t="s">
        <v>710</v>
      </c>
      <c r="C3183" s="40" t="s">
        <v>711</v>
      </c>
      <c r="D3183" s="40" t="s">
        <v>744</v>
      </c>
      <c r="E3183" s="31" t="s">
        <v>745</v>
      </c>
      <c r="F3183" s="31" t="s">
        <v>109</v>
      </c>
      <c r="G3183" s="31" t="s">
        <v>746</v>
      </c>
      <c r="H3183" s="40" t="s">
        <v>3205</v>
      </c>
      <c r="I3183" s="40" t="s">
        <v>3206</v>
      </c>
      <c r="J3183" s="40" t="s">
        <v>3207</v>
      </c>
      <c r="K3183" s="40" t="s">
        <v>591</v>
      </c>
      <c r="L3183" s="40" t="s">
        <v>644</v>
      </c>
      <c r="M3183" s="93">
        <v>6</v>
      </c>
      <c r="N3183" s="94">
        <v>4000</v>
      </c>
      <c r="O3183" s="94">
        <f>M3183*N3183</f>
        <v>24000</v>
      </c>
      <c r="P3183" s="40" t="s">
        <v>3116</v>
      </c>
      <c r="Q3183" s="40" t="s">
        <v>1051</v>
      </c>
      <c r="R3183" s="84">
        <v>636820100</v>
      </c>
      <c r="S3183" s="40">
        <v>100</v>
      </c>
    </row>
    <row r="3184" spans="1:19" s="92" customFormat="1" ht="51">
      <c r="A3184" s="5">
        <v>3169</v>
      </c>
      <c r="B3184" s="15" t="s">
        <v>710</v>
      </c>
      <c r="C3184" s="40" t="s">
        <v>711</v>
      </c>
      <c r="D3184" s="98" t="s">
        <v>422</v>
      </c>
      <c r="E3184" s="76" t="s">
        <v>423</v>
      </c>
      <c r="F3184" s="76" t="s">
        <v>427</v>
      </c>
      <c r="G3184" s="76" t="s">
        <v>837</v>
      </c>
      <c r="H3184" s="76" t="s">
        <v>425</v>
      </c>
      <c r="I3184" s="76" t="s">
        <v>3208</v>
      </c>
      <c r="J3184" s="76" t="s">
        <v>3209</v>
      </c>
      <c r="K3184" s="76" t="s">
        <v>591</v>
      </c>
      <c r="L3184" s="11" t="s">
        <v>909</v>
      </c>
      <c r="M3184" s="53">
        <v>18</v>
      </c>
      <c r="N3184" s="94">
        <v>640</v>
      </c>
      <c r="O3184" s="94">
        <f>N3184*M3184</f>
        <v>11520</v>
      </c>
      <c r="P3184" s="40" t="s">
        <v>3116</v>
      </c>
      <c r="Q3184" s="40" t="s">
        <v>766</v>
      </c>
      <c r="R3184" s="84">
        <v>636820100</v>
      </c>
      <c r="S3184" s="40">
        <v>100</v>
      </c>
    </row>
    <row r="3185" spans="1:19" s="92" customFormat="1" ht="76.5">
      <c r="A3185" s="5">
        <v>3170</v>
      </c>
      <c r="B3185" s="15" t="s">
        <v>710</v>
      </c>
      <c r="C3185" s="40" t="s">
        <v>711</v>
      </c>
      <c r="D3185" s="40" t="s">
        <v>723</v>
      </c>
      <c r="E3185" s="31" t="s">
        <v>874</v>
      </c>
      <c r="F3185" s="31" t="s">
        <v>874</v>
      </c>
      <c r="G3185" s="31" t="s">
        <v>875</v>
      </c>
      <c r="H3185" s="40" t="s">
        <v>876</v>
      </c>
      <c r="I3185" s="40" t="s">
        <v>3210</v>
      </c>
      <c r="J3185" s="40" t="s">
        <v>3211</v>
      </c>
      <c r="K3185" s="40" t="s">
        <v>591</v>
      </c>
      <c r="L3185" s="40" t="s">
        <v>644</v>
      </c>
      <c r="M3185" s="93">
        <v>2</v>
      </c>
      <c r="N3185" s="94">
        <v>30000</v>
      </c>
      <c r="O3185" s="94">
        <f>N3185*M3185</f>
        <v>60000</v>
      </c>
      <c r="P3185" s="40" t="s">
        <v>3116</v>
      </c>
      <c r="Q3185" s="40" t="s">
        <v>1051</v>
      </c>
      <c r="R3185" s="84">
        <v>636820100</v>
      </c>
      <c r="S3185" s="40">
        <v>100</v>
      </c>
    </row>
    <row r="3186" spans="1:19" s="92" customFormat="1" ht="89.25">
      <c r="A3186" s="5">
        <v>3171</v>
      </c>
      <c r="B3186" s="15" t="s">
        <v>710</v>
      </c>
      <c r="C3186" s="40" t="s">
        <v>597</v>
      </c>
      <c r="D3186" s="40" t="s">
        <v>598</v>
      </c>
      <c r="E3186" s="31" t="s">
        <v>599</v>
      </c>
      <c r="F3186" s="31" t="s">
        <v>782</v>
      </c>
      <c r="G3186" s="31" t="s">
        <v>3195</v>
      </c>
      <c r="H3186" s="40" t="s">
        <v>602</v>
      </c>
      <c r="I3186" s="40" t="s">
        <v>3196</v>
      </c>
      <c r="J3186" s="40" t="s">
        <v>3197</v>
      </c>
      <c r="K3186" s="40" t="s">
        <v>591</v>
      </c>
      <c r="L3186" s="11" t="s">
        <v>914</v>
      </c>
      <c r="M3186" s="93">
        <v>1</v>
      </c>
      <c r="N3186" s="94">
        <v>624400</v>
      </c>
      <c r="O3186" s="94">
        <v>624400</v>
      </c>
      <c r="P3186" s="40" t="s">
        <v>502</v>
      </c>
      <c r="Q3186" s="40" t="s">
        <v>766</v>
      </c>
      <c r="R3186" s="84">
        <v>635237100</v>
      </c>
      <c r="S3186" s="40">
        <v>0</v>
      </c>
    </row>
    <row r="3187" spans="1:19" s="92" customFormat="1" ht="89.25">
      <c r="A3187" s="5">
        <v>3172</v>
      </c>
      <c r="B3187" s="15" t="s">
        <v>710</v>
      </c>
      <c r="C3187" s="40" t="s">
        <v>597</v>
      </c>
      <c r="D3187" s="40" t="s">
        <v>598</v>
      </c>
      <c r="E3187" s="31" t="s">
        <v>599</v>
      </c>
      <c r="F3187" s="31" t="s">
        <v>782</v>
      </c>
      <c r="G3187" s="31" t="s">
        <v>3195</v>
      </c>
      <c r="H3187" s="40" t="s">
        <v>602</v>
      </c>
      <c r="I3187" s="40" t="s">
        <v>3196</v>
      </c>
      <c r="J3187" s="40" t="s">
        <v>3197</v>
      </c>
      <c r="K3187" s="40" t="s">
        <v>591</v>
      </c>
      <c r="L3187" s="11" t="s">
        <v>914</v>
      </c>
      <c r="M3187" s="93">
        <v>1</v>
      </c>
      <c r="N3187" s="94">
        <v>624400</v>
      </c>
      <c r="O3187" s="94">
        <v>624400</v>
      </c>
      <c r="P3187" s="40" t="s">
        <v>502</v>
      </c>
      <c r="Q3187" s="40" t="s">
        <v>766</v>
      </c>
      <c r="R3187" s="84">
        <v>635237100</v>
      </c>
      <c r="S3187" s="40">
        <v>0</v>
      </c>
    </row>
    <row r="3188" spans="1:19" s="92" customFormat="1" ht="51">
      <c r="A3188" s="5">
        <v>3173</v>
      </c>
      <c r="B3188" s="15" t="s">
        <v>710</v>
      </c>
      <c r="C3188" s="40" t="s">
        <v>597</v>
      </c>
      <c r="D3188" s="11" t="s">
        <v>850</v>
      </c>
      <c r="E3188" s="76" t="s">
        <v>1736</v>
      </c>
      <c r="F3188" s="76" t="s">
        <v>851</v>
      </c>
      <c r="G3188" s="76" t="s">
        <v>1737</v>
      </c>
      <c r="H3188" s="76" t="s">
        <v>852</v>
      </c>
      <c r="I3188" s="76" t="s">
        <v>3199</v>
      </c>
      <c r="J3188" s="76" t="s">
        <v>3200</v>
      </c>
      <c r="K3188" s="40" t="s">
        <v>591</v>
      </c>
      <c r="L3188" s="11" t="s">
        <v>914</v>
      </c>
      <c r="M3188" s="97">
        <v>1</v>
      </c>
      <c r="N3188" s="94">
        <f>10000*5</f>
        <v>50000</v>
      </c>
      <c r="O3188" s="94">
        <f>N3188</f>
        <v>50000</v>
      </c>
      <c r="P3188" s="40" t="s">
        <v>698</v>
      </c>
      <c r="Q3188" s="40" t="s">
        <v>766</v>
      </c>
      <c r="R3188" s="84">
        <v>634421000</v>
      </c>
      <c r="S3188" s="40">
        <v>0</v>
      </c>
    </row>
    <row r="3189" spans="1:19" s="92" customFormat="1" ht="51">
      <c r="A3189" s="5">
        <v>3174</v>
      </c>
      <c r="B3189" s="15" t="s">
        <v>710</v>
      </c>
      <c r="C3189" s="40" t="s">
        <v>597</v>
      </c>
      <c r="D3189" s="40" t="s">
        <v>2594</v>
      </c>
      <c r="E3189" s="31" t="s">
        <v>2618</v>
      </c>
      <c r="F3189" s="31" t="s">
        <v>2595</v>
      </c>
      <c r="G3189" s="31" t="s">
        <v>2618</v>
      </c>
      <c r="H3189" s="40" t="s">
        <v>2595</v>
      </c>
      <c r="I3189" s="40" t="s">
        <v>3201</v>
      </c>
      <c r="J3189" s="40" t="s">
        <v>3202</v>
      </c>
      <c r="K3189" s="40" t="s">
        <v>591</v>
      </c>
      <c r="L3189" s="11" t="s">
        <v>914</v>
      </c>
      <c r="M3189" s="93">
        <v>1</v>
      </c>
      <c r="N3189" s="94">
        <f>10500*3</f>
        <v>31500</v>
      </c>
      <c r="O3189" s="94">
        <f>N3189</f>
        <v>31500</v>
      </c>
      <c r="P3189" s="40" t="s">
        <v>3116</v>
      </c>
      <c r="Q3189" s="40" t="s">
        <v>766</v>
      </c>
      <c r="R3189" s="84">
        <v>634421000</v>
      </c>
      <c r="S3189" s="40">
        <v>30</v>
      </c>
    </row>
    <row r="3190" spans="1:19" s="92" customFormat="1" ht="89.25">
      <c r="A3190" s="5">
        <v>3175</v>
      </c>
      <c r="B3190" s="15" t="s">
        <v>710</v>
      </c>
      <c r="C3190" s="40" t="s">
        <v>711</v>
      </c>
      <c r="D3190" s="40" t="s">
        <v>976</v>
      </c>
      <c r="E3190" s="31" t="s">
        <v>730</v>
      </c>
      <c r="F3190" s="31" t="s">
        <v>731</v>
      </c>
      <c r="G3190" s="31" t="s">
        <v>977</v>
      </c>
      <c r="H3190" s="40" t="s">
        <v>978</v>
      </c>
      <c r="I3190" s="40" t="s">
        <v>3203</v>
      </c>
      <c r="J3190" s="40" t="s">
        <v>3204</v>
      </c>
      <c r="K3190" s="40" t="s">
        <v>591</v>
      </c>
      <c r="L3190" s="40" t="s">
        <v>644</v>
      </c>
      <c r="M3190" s="93">
        <v>2</v>
      </c>
      <c r="N3190" s="94">
        <v>26800</v>
      </c>
      <c r="O3190" s="94">
        <f>N3190*M3190</f>
        <v>53600</v>
      </c>
      <c r="P3190" s="40" t="s">
        <v>3116</v>
      </c>
      <c r="Q3190" s="40" t="s">
        <v>1051</v>
      </c>
      <c r="R3190" s="84">
        <v>634421000</v>
      </c>
      <c r="S3190" s="40">
        <v>100</v>
      </c>
    </row>
    <row r="3191" spans="1:19" s="92" customFormat="1" ht="63.75">
      <c r="A3191" s="5">
        <v>3176</v>
      </c>
      <c r="B3191" s="15" t="s">
        <v>710</v>
      </c>
      <c r="C3191" s="40" t="s">
        <v>711</v>
      </c>
      <c r="D3191" s="40" t="s">
        <v>744</v>
      </c>
      <c r="E3191" s="31" t="s">
        <v>745</v>
      </c>
      <c r="F3191" s="31" t="s">
        <v>109</v>
      </c>
      <c r="G3191" s="31" t="s">
        <v>746</v>
      </c>
      <c r="H3191" s="40" t="s">
        <v>3205</v>
      </c>
      <c r="I3191" s="40" t="s">
        <v>3206</v>
      </c>
      <c r="J3191" s="40" t="s">
        <v>3207</v>
      </c>
      <c r="K3191" s="40" t="s">
        <v>591</v>
      </c>
      <c r="L3191" s="40" t="s">
        <v>644</v>
      </c>
      <c r="M3191" s="93">
        <v>6</v>
      </c>
      <c r="N3191" s="94">
        <v>4000</v>
      </c>
      <c r="O3191" s="94">
        <f>M3191*N3191</f>
        <v>24000</v>
      </c>
      <c r="P3191" s="40" t="s">
        <v>3116</v>
      </c>
      <c r="Q3191" s="40" t="s">
        <v>1051</v>
      </c>
      <c r="R3191" s="84">
        <v>634421000</v>
      </c>
      <c r="S3191" s="40">
        <v>100</v>
      </c>
    </row>
    <row r="3192" spans="1:19" s="92" customFormat="1" ht="51">
      <c r="A3192" s="5">
        <v>3177</v>
      </c>
      <c r="B3192" s="15" t="s">
        <v>710</v>
      </c>
      <c r="C3192" s="40" t="s">
        <v>711</v>
      </c>
      <c r="D3192" s="98" t="s">
        <v>422</v>
      </c>
      <c r="E3192" s="76" t="s">
        <v>423</v>
      </c>
      <c r="F3192" s="76" t="s">
        <v>427</v>
      </c>
      <c r="G3192" s="76" t="s">
        <v>837</v>
      </c>
      <c r="H3192" s="76" t="s">
        <v>425</v>
      </c>
      <c r="I3192" s="76" t="s">
        <v>3208</v>
      </c>
      <c r="J3192" s="76" t="s">
        <v>3209</v>
      </c>
      <c r="K3192" s="76" t="s">
        <v>591</v>
      </c>
      <c r="L3192" s="11" t="s">
        <v>909</v>
      </c>
      <c r="M3192" s="53">
        <v>18</v>
      </c>
      <c r="N3192" s="94">
        <v>640</v>
      </c>
      <c r="O3192" s="94">
        <f>N3192*M3192</f>
        <v>11520</v>
      </c>
      <c r="P3192" s="40" t="s">
        <v>3116</v>
      </c>
      <c r="Q3192" s="40" t="s">
        <v>766</v>
      </c>
      <c r="R3192" s="84">
        <v>634421000</v>
      </c>
      <c r="S3192" s="40">
        <v>100</v>
      </c>
    </row>
    <row r="3193" spans="1:19" s="92" customFormat="1" ht="76.5">
      <c r="A3193" s="5">
        <v>3178</v>
      </c>
      <c r="B3193" s="15" t="s">
        <v>710</v>
      </c>
      <c r="C3193" s="40" t="s">
        <v>711</v>
      </c>
      <c r="D3193" s="40" t="s">
        <v>723</v>
      </c>
      <c r="E3193" s="31" t="s">
        <v>874</v>
      </c>
      <c r="F3193" s="31" t="s">
        <v>874</v>
      </c>
      <c r="G3193" s="31" t="s">
        <v>875</v>
      </c>
      <c r="H3193" s="40" t="s">
        <v>876</v>
      </c>
      <c r="I3193" s="40" t="s">
        <v>3210</v>
      </c>
      <c r="J3193" s="40" t="s">
        <v>3211</v>
      </c>
      <c r="K3193" s="40" t="s">
        <v>591</v>
      </c>
      <c r="L3193" s="40" t="s">
        <v>644</v>
      </c>
      <c r="M3193" s="93">
        <v>2</v>
      </c>
      <c r="N3193" s="94">
        <v>30000</v>
      </c>
      <c r="O3193" s="94">
        <f>N3193*M3193</f>
        <v>60000</v>
      </c>
      <c r="P3193" s="40" t="s">
        <v>3116</v>
      </c>
      <c r="Q3193" s="40" t="s">
        <v>1051</v>
      </c>
      <c r="R3193" s="84">
        <v>634421000</v>
      </c>
      <c r="S3193" s="40">
        <v>100</v>
      </c>
    </row>
    <row r="3194" spans="1:19" s="92" customFormat="1" ht="89.25">
      <c r="A3194" s="5">
        <v>3179</v>
      </c>
      <c r="B3194" s="15" t="s">
        <v>710</v>
      </c>
      <c r="C3194" s="40" t="s">
        <v>597</v>
      </c>
      <c r="D3194" s="40" t="s">
        <v>598</v>
      </c>
      <c r="E3194" s="31" t="s">
        <v>599</v>
      </c>
      <c r="F3194" s="31" t="s">
        <v>782</v>
      </c>
      <c r="G3194" s="31" t="s">
        <v>3195</v>
      </c>
      <c r="H3194" s="40" t="s">
        <v>602</v>
      </c>
      <c r="I3194" s="40" t="s">
        <v>3196</v>
      </c>
      <c r="J3194" s="40" t="s">
        <v>3197</v>
      </c>
      <c r="K3194" s="40" t="s">
        <v>591</v>
      </c>
      <c r="L3194" s="11" t="s">
        <v>914</v>
      </c>
      <c r="M3194" s="93">
        <v>1</v>
      </c>
      <c r="N3194" s="94">
        <v>624400</v>
      </c>
      <c r="O3194" s="94">
        <v>624400</v>
      </c>
      <c r="P3194" s="40" t="s">
        <v>502</v>
      </c>
      <c r="Q3194" s="40" t="s">
        <v>766</v>
      </c>
      <c r="R3194" s="84">
        <v>631800000</v>
      </c>
      <c r="S3194" s="40">
        <v>0</v>
      </c>
    </row>
    <row r="3195" spans="1:19" s="92" customFormat="1" ht="89.25">
      <c r="A3195" s="5">
        <v>3180</v>
      </c>
      <c r="B3195" s="15" t="s">
        <v>710</v>
      </c>
      <c r="C3195" s="40" t="s">
        <v>597</v>
      </c>
      <c r="D3195" s="40" t="s">
        <v>598</v>
      </c>
      <c r="E3195" s="31" t="s">
        <v>599</v>
      </c>
      <c r="F3195" s="31" t="s">
        <v>782</v>
      </c>
      <c r="G3195" s="31" t="s">
        <v>3195</v>
      </c>
      <c r="H3195" s="40" t="s">
        <v>602</v>
      </c>
      <c r="I3195" s="40" t="s">
        <v>3196</v>
      </c>
      <c r="J3195" s="40" t="s">
        <v>3197</v>
      </c>
      <c r="K3195" s="40" t="s">
        <v>591</v>
      </c>
      <c r="L3195" s="11" t="s">
        <v>914</v>
      </c>
      <c r="M3195" s="93">
        <v>1</v>
      </c>
      <c r="N3195" s="94">
        <v>624400</v>
      </c>
      <c r="O3195" s="94">
        <v>624400</v>
      </c>
      <c r="P3195" s="40" t="s">
        <v>502</v>
      </c>
      <c r="Q3195" s="40" t="s">
        <v>766</v>
      </c>
      <c r="R3195" s="84">
        <v>631800000</v>
      </c>
      <c r="S3195" s="40">
        <v>0</v>
      </c>
    </row>
    <row r="3196" spans="1:19" s="92" customFormat="1" ht="51">
      <c r="A3196" s="5">
        <v>3181</v>
      </c>
      <c r="B3196" s="15" t="s">
        <v>710</v>
      </c>
      <c r="C3196" s="40" t="s">
        <v>597</v>
      </c>
      <c r="D3196" s="11" t="s">
        <v>850</v>
      </c>
      <c r="E3196" s="76" t="s">
        <v>1736</v>
      </c>
      <c r="F3196" s="76" t="s">
        <v>851</v>
      </c>
      <c r="G3196" s="76" t="s">
        <v>1737</v>
      </c>
      <c r="H3196" s="76" t="s">
        <v>852</v>
      </c>
      <c r="I3196" s="76" t="s">
        <v>3199</v>
      </c>
      <c r="J3196" s="76" t="s">
        <v>3200</v>
      </c>
      <c r="K3196" s="40" t="s">
        <v>591</v>
      </c>
      <c r="L3196" s="11" t="s">
        <v>914</v>
      </c>
      <c r="M3196" s="97">
        <v>1</v>
      </c>
      <c r="N3196" s="94">
        <f>10000*5</f>
        <v>50000</v>
      </c>
      <c r="O3196" s="94">
        <f>N3196</f>
        <v>50000</v>
      </c>
      <c r="P3196" s="40" t="s">
        <v>698</v>
      </c>
      <c r="Q3196" s="40" t="s">
        <v>766</v>
      </c>
      <c r="R3196" s="84">
        <v>631800000</v>
      </c>
      <c r="S3196" s="40">
        <v>0</v>
      </c>
    </row>
    <row r="3197" spans="1:19" s="92" customFormat="1" ht="51">
      <c r="A3197" s="5">
        <v>3182</v>
      </c>
      <c r="B3197" s="15" t="s">
        <v>710</v>
      </c>
      <c r="C3197" s="40" t="s">
        <v>597</v>
      </c>
      <c r="D3197" s="40" t="s">
        <v>2594</v>
      </c>
      <c r="E3197" s="31" t="s">
        <v>2618</v>
      </c>
      <c r="F3197" s="31" t="s">
        <v>2595</v>
      </c>
      <c r="G3197" s="31" t="s">
        <v>2618</v>
      </c>
      <c r="H3197" s="40" t="s">
        <v>2595</v>
      </c>
      <c r="I3197" s="40" t="s">
        <v>3201</v>
      </c>
      <c r="J3197" s="40" t="s">
        <v>3202</v>
      </c>
      <c r="K3197" s="40" t="s">
        <v>591</v>
      </c>
      <c r="L3197" s="11" t="s">
        <v>914</v>
      </c>
      <c r="M3197" s="93">
        <v>1</v>
      </c>
      <c r="N3197" s="94">
        <f>10500*3</f>
        <v>31500</v>
      </c>
      <c r="O3197" s="94">
        <f>N3197</f>
        <v>31500</v>
      </c>
      <c r="P3197" s="40" t="s">
        <v>3116</v>
      </c>
      <c r="Q3197" s="40" t="s">
        <v>766</v>
      </c>
      <c r="R3197" s="84">
        <v>631800000</v>
      </c>
      <c r="S3197" s="40">
        <v>30</v>
      </c>
    </row>
    <row r="3198" spans="1:19" s="92" customFormat="1" ht="89.25">
      <c r="A3198" s="5">
        <v>3183</v>
      </c>
      <c r="B3198" s="15" t="s">
        <v>710</v>
      </c>
      <c r="C3198" s="40" t="s">
        <v>711</v>
      </c>
      <c r="D3198" s="40" t="s">
        <v>976</v>
      </c>
      <c r="E3198" s="31" t="s">
        <v>730</v>
      </c>
      <c r="F3198" s="31" t="s">
        <v>731</v>
      </c>
      <c r="G3198" s="31" t="s">
        <v>977</v>
      </c>
      <c r="H3198" s="40" t="s">
        <v>978</v>
      </c>
      <c r="I3198" s="40" t="s">
        <v>3203</v>
      </c>
      <c r="J3198" s="40" t="s">
        <v>3204</v>
      </c>
      <c r="K3198" s="40" t="s">
        <v>591</v>
      </c>
      <c r="L3198" s="40" t="s">
        <v>644</v>
      </c>
      <c r="M3198" s="93">
        <v>2</v>
      </c>
      <c r="N3198" s="94">
        <v>26800</v>
      </c>
      <c r="O3198" s="94">
        <f>N3198*M3198</f>
        <v>53600</v>
      </c>
      <c r="P3198" s="40" t="s">
        <v>3116</v>
      </c>
      <c r="Q3198" s="40" t="s">
        <v>1051</v>
      </c>
      <c r="R3198" s="84">
        <v>631800000</v>
      </c>
      <c r="S3198" s="40">
        <v>100</v>
      </c>
    </row>
    <row r="3199" spans="1:19" s="92" customFormat="1" ht="63.75">
      <c r="A3199" s="5">
        <v>3184</v>
      </c>
      <c r="B3199" s="15" t="s">
        <v>710</v>
      </c>
      <c r="C3199" s="40" t="s">
        <v>711</v>
      </c>
      <c r="D3199" s="40" t="s">
        <v>744</v>
      </c>
      <c r="E3199" s="31" t="s">
        <v>745</v>
      </c>
      <c r="F3199" s="31" t="s">
        <v>109</v>
      </c>
      <c r="G3199" s="31" t="s">
        <v>746</v>
      </c>
      <c r="H3199" s="40" t="s">
        <v>3205</v>
      </c>
      <c r="I3199" s="40" t="s">
        <v>3206</v>
      </c>
      <c r="J3199" s="40" t="s">
        <v>3207</v>
      </c>
      <c r="K3199" s="40" t="s">
        <v>591</v>
      </c>
      <c r="L3199" s="40" t="s">
        <v>644</v>
      </c>
      <c r="M3199" s="93">
        <v>6</v>
      </c>
      <c r="N3199" s="94">
        <v>4000</v>
      </c>
      <c r="O3199" s="94">
        <f>M3199*N3199</f>
        <v>24000</v>
      </c>
      <c r="P3199" s="40" t="s">
        <v>3116</v>
      </c>
      <c r="Q3199" s="40" t="s">
        <v>1051</v>
      </c>
      <c r="R3199" s="84">
        <v>631800000</v>
      </c>
      <c r="S3199" s="40">
        <v>100</v>
      </c>
    </row>
    <row r="3200" spans="1:19" s="92" customFormat="1" ht="51">
      <c r="A3200" s="5">
        <v>3185</v>
      </c>
      <c r="B3200" s="15" t="s">
        <v>710</v>
      </c>
      <c r="C3200" s="40" t="s">
        <v>711</v>
      </c>
      <c r="D3200" s="98" t="s">
        <v>422</v>
      </c>
      <c r="E3200" s="76" t="s">
        <v>423</v>
      </c>
      <c r="F3200" s="76" t="s">
        <v>427</v>
      </c>
      <c r="G3200" s="76" t="s">
        <v>837</v>
      </c>
      <c r="H3200" s="76" t="s">
        <v>425</v>
      </c>
      <c r="I3200" s="76" t="s">
        <v>3208</v>
      </c>
      <c r="J3200" s="76" t="s">
        <v>3209</v>
      </c>
      <c r="K3200" s="76" t="s">
        <v>591</v>
      </c>
      <c r="L3200" s="11" t="s">
        <v>909</v>
      </c>
      <c r="M3200" s="53">
        <v>18</v>
      </c>
      <c r="N3200" s="94">
        <v>640</v>
      </c>
      <c r="O3200" s="94">
        <f>N3200*M3200</f>
        <v>11520</v>
      </c>
      <c r="P3200" s="40" t="s">
        <v>3116</v>
      </c>
      <c r="Q3200" s="40" t="s">
        <v>766</v>
      </c>
      <c r="R3200" s="84">
        <v>631800000</v>
      </c>
      <c r="S3200" s="40">
        <v>100</v>
      </c>
    </row>
    <row r="3201" spans="1:19" s="92" customFormat="1" ht="76.5">
      <c r="A3201" s="5">
        <v>3186</v>
      </c>
      <c r="B3201" s="15" t="s">
        <v>710</v>
      </c>
      <c r="C3201" s="40" t="s">
        <v>711</v>
      </c>
      <c r="D3201" s="40" t="s">
        <v>723</v>
      </c>
      <c r="E3201" s="31" t="s">
        <v>874</v>
      </c>
      <c r="F3201" s="31" t="s">
        <v>874</v>
      </c>
      <c r="G3201" s="31" t="s">
        <v>875</v>
      </c>
      <c r="H3201" s="40" t="s">
        <v>876</v>
      </c>
      <c r="I3201" s="40" t="s">
        <v>3210</v>
      </c>
      <c r="J3201" s="40" t="s">
        <v>3211</v>
      </c>
      <c r="K3201" s="40" t="s">
        <v>591</v>
      </c>
      <c r="L3201" s="40" t="s">
        <v>644</v>
      </c>
      <c r="M3201" s="93">
        <v>2</v>
      </c>
      <c r="N3201" s="94">
        <v>30000</v>
      </c>
      <c r="O3201" s="94">
        <f>N3201*M3201</f>
        <v>60000</v>
      </c>
      <c r="P3201" s="40" t="s">
        <v>3116</v>
      </c>
      <c r="Q3201" s="40" t="s">
        <v>1051</v>
      </c>
      <c r="R3201" s="84">
        <v>631800000</v>
      </c>
      <c r="S3201" s="40">
        <v>100</v>
      </c>
    </row>
    <row r="3202" spans="1:19" s="92" customFormat="1" ht="51">
      <c r="A3202" s="5">
        <v>3187</v>
      </c>
      <c r="B3202" s="15" t="s">
        <v>710</v>
      </c>
      <c r="C3202" s="40" t="s">
        <v>597</v>
      </c>
      <c r="D3202" s="40" t="s">
        <v>3128</v>
      </c>
      <c r="E3202" s="31" t="s">
        <v>2620</v>
      </c>
      <c r="F3202" s="31" t="s">
        <v>1304</v>
      </c>
      <c r="G3202" s="31" t="s">
        <v>3129</v>
      </c>
      <c r="H3202" s="40" t="s">
        <v>3130</v>
      </c>
      <c r="I3202" s="40" t="s">
        <v>3131</v>
      </c>
      <c r="J3202" s="40" t="s">
        <v>3132</v>
      </c>
      <c r="K3202" s="40" t="s">
        <v>591</v>
      </c>
      <c r="L3202" s="11" t="s">
        <v>914</v>
      </c>
      <c r="M3202" s="93">
        <v>1</v>
      </c>
      <c r="N3202" s="94">
        <f>59000*9</f>
        <v>531000</v>
      </c>
      <c r="O3202" s="94">
        <f>N3202*M3202</f>
        <v>531000</v>
      </c>
      <c r="P3202" s="40" t="s">
        <v>3116</v>
      </c>
      <c r="Q3202" s="40" t="s">
        <v>766</v>
      </c>
      <c r="R3202" s="84">
        <v>311010000</v>
      </c>
      <c r="S3202" s="40">
        <v>50</v>
      </c>
    </row>
    <row r="3203" spans="1:19" s="92" customFormat="1" ht="76.5">
      <c r="A3203" s="5">
        <v>3188</v>
      </c>
      <c r="B3203" s="15" t="s">
        <v>710</v>
      </c>
      <c r="C3203" s="40" t="s">
        <v>3117</v>
      </c>
      <c r="D3203" s="40" t="s">
        <v>532</v>
      </c>
      <c r="E3203" s="31" t="s">
        <v>3133</v>
      </c>
      <c r="F3203" s="31" t="s">
        <v>534</v>
      </c>
      <c r="G3203" s="31" t="s">
        <v>3133</v>
      </c>
      <c r="H3203" s="31" t="s">
        <v>534</v>
      </c>
      <c r="I3203" s="40" t="s">
        <v>3134</v>
      </c>
      <c r="J3203" s="40" t="s">
        <v>3135</v>
      </c>
      <c r="K3203" s="40" t="s">
        <v>591</v>
      </c>
      <c r="L3203" s="11" t="s">
        <v>914</v>
      </c>
      <c r="M3203" s="93">
        <v>1</v>
      </c>
      <c r="N3203" s="94">
        <f>9*30000</f>
        <v>270000</v>
      </c>
      <c r="O3203" s="94">
        <f>N3203*M3203</f>
        <v>270000</v>
      </c>
      <c r="P3203" s="40" t="s">
        <v>3116</v>
      </c>
      <c r="Q3203" s="40" t="s">
        <v>1051</v>
      </c>
      <c r="R3203" s="84">
        <v>311010000</v>
      </c>
      <c r="S3203" s="40">
        <v>50</v>
      </c>
    </row>
    <row r="3204" spans="1:19" s="92" customFormat="1" ht="51">
      <c r="A3204" s="5">
        <v>3189</v>
      </c>
      <c r="B3204" s="15" t="s">
        <v>710</v>
      </c>
      <c r="C3204" s="40" t="s">
        <v>2433</v>
      </c>
      <c r="D3204" s="40" t="s">
        <v>3136</v>
      </c>
      <c r="E3204" s="40" t="s">
        <v>466</v>
      </c>
      <c r="F3204" s="40" t="s">
        <v>25</v>
      </c>
      <c r="G3204" s="40" t="s">
        <v>3212</v>
      </c>
      <c r="H3204" s="40" t="s">
        <v>467</v>
      </c>
      <c r="I3204" s="40" t="s">
        <v>3137</v>
      </c>
      <c r="J3204" s="40" t="s">
        <v>3138</v>
      </c>
      <c r="K3204" s="40" t="s">
        <v>591</v>
      </c>
      <c r="L3204" s="95" t="s">
        <v>644</v>
      </c>
      <c r="M3204" s="93">
        <f>18*5</f>
        <v>90</v>
      </c>
      <c r="N3204" s="94">
        <v>40</v>
      </c>
      <c r="O3204" s="94">
        <f>N3204*M3204</f>
        <v>3600</v>
      </c>
      <c r="P3204" s="40" t="s">
        <v>3139</v>
      </c>
      <c r="Q3204" s="40" t="s">
        <v>766</v>
      </c>
      <c r="R3204" s="84">
        <v>311010000</v>
      </c>
      <c r="S3204" s="40">
        <v>0</v>
      </c>
    </row>
    <row r="3205" spans="1:19" s="92" customFormat="1" ht="51">
      <c r="A3205" s="5">
        <v>3190</v>
      </c>
      <c r="B3205" s="15" t="s">
        <v>710</v>
      </c>
      <c r="C3205" s="40" t="s">
        <v>2433</v>
      </c>
      <c r="D3205" s="40" t="s">
        <v>3140</v>
      </c>
      <c r="E3205" s="40" t="s">
        <v>3141</v>
      </c>
      <c r="F3205" s="40" t="s">
        <v>3142</v>
      </c>
      <c r="G3205" s="40" t="s">
        <v>3213</v>
      </c>
      <c r="H3205" s="40" t="s">
        <v>3214</v>
      </c>
      <c r="I3205" s="40" t="s">
        <v>3143</v>
      </c>
      <c r="J3205" s="40" t="s">
        <v>3144</v>
      </c>
      <c r="K3205" s="40" t="s">
        <v>591</v>
      </c>
      <c r="L3205" s="95" t="s">
        <v>644</v>
      </c>
      <c r="M3205" s="93">
        <f>18*2</f>
        <v>36</v>
      </c>
      <c r="N3205" s="94">
        <v>170</v>
      </c>
      <c r="O3205" s="94">
        <f t="shared" ref="O3205:O3222" si="78">N3205*M3205</f>
        <v>6120</v>
      </c>
      <c r="P3205" s="40" t="s">
        <v>3139</v>
      </c>
      <c r="Q3205" s="40" t="s">
        <v>766</v>
      </c>
      <c r="R3205" s="84">
        <v>311010000</v>
      </c>
      <c r="S3205" s="40">
        <v>0</v>
      </c>
    </row>
    <row r="3206" spans="1:19" s="92" customFormat="1" ht="51">
      <c r="A3206" s="5">
        <v>3191</v>
      </c>
      <c r="B3206" s="15" t="s">
        <v>710</v>
      </c>
      <c r="C3206" s="40" t="s">
        <v>2433</v>
      </c>
      <c r="D3206" s="40" t="s">
        <v>452</v>
      </c>
      <c r="E3206" s="40" t="s">
        <v>453</v>
      </c>
      <c r="F3206" s="40" t="s">
        <v>454</v>
      </c>
      <c r="G3206" s="40" t="s">
        <v>455</v>
      </c>
      <c r="H3206" s="40" t="s">
        <v>456</v>
      </c>
      <c r="I3206" s="40" t="s">
        <v>3145</v>
      </c>
      <c r="J3206" s="40" t="s">
        <v>3146</v>
      </c>
      <c r="K3206" s="40" t="s">
        <v>591</v>
      </c>
      <c r="L3206" s="95" t="s">
        <v>480</v>
      </c>
      <c r="M3206" s="93">
        <f>18*5</f>
        <v>90</v>
      </c>
      <c r="N3206" s="94">
        <v>155</v>
      </c>
      <c r="O3206" s="94">
        <f t="shared" si="78"/>
        <v>13950</v>
      </c>
      <c r="P3206" s="40" t="s">
        <v>3139</v>
      </c>
      <c r="Q3206" s="40" t="s">
        <v>766</v>
      </c>
      <c r="R3206" s="84">
        <v>311010000</v>
      </c>
      <c r="S3206" s="40">
        <v>0</v>
      </c>
    </row>
    <row r="3207" spans="1:19" s="92" customFormat="1" ht="51">
      <c r="A3207" s="5">
        <v>3192</v>
      </c>
      <c r="B3207" s="15" t="s">
        <v>710</v>
      </c>
      <c r="C3207" s="40" t="s">
        <v>2433</v>
      </c>
      <c r="D3207" s="40" t="s">
        <v>452</v>
      </c>
      <c r="E3207" s="40" t="s">
        <v>453</v>
      </c>
      <c r="F3207" s="40" t="s">
        <v>454</v>
      </c>
      <c r="G3207" s="40" t="s">
        <v>455</v>
      </c>
      <c r="H3207" s="40" t="s">
        <v>456</v>
      </c>
      <c r="I3207" s="40" t="s">
        <v>3147</v>
      </c>
      <c r="J3207" s="40" t="s">
        <v>3148</v>
      </c>
      <c r="K3207" s="40" t="s">
        <v>591</v>
      </c>
      <c r="L3207" s="95" t="s">
        <v>480</v>
      </c>
      <c r="M3207" s="93">
        <f>18*5</f>
        <v>90</v>
      </c>
      <c r="N3207" s="94">
        <v>200</v>
      </c>
      <c r="O3207" s="94">
        <f t="shared" si="78"/>
        <v>18000</v>
      </c>
      <c r="P3207" s="40" t="s">
        <v>3139</v>
      </c>
      <c r="Q3207" s="40" t="s">
        <v>766</v>
      </c>
      <c r="R3207" s="84">
        <v>311010000</v>
      </c>
      <c r="S3207" s="40">
        <v>0</v>
      </c>
    </row>
    <row r="3208" spans="1:19" s="92" customFormat="1" ht="51">
      <c r="A3208" s="5">
        <v>3193</v>
      </c>
      <c r="B3208" s="15" t="s">
        <v>710</v>
      </c>
      <c r="C3208" s="40" t="s">
        <v>2433</v>
      </c>
      <c r="D3208" s="40" t="s">
        <v>432</v>
      </c>
      <c r="E3208" s="40" t="s">
        <v>433</v>
      </c>
      <c r="F3208" s="40" t="s">
        <v>434</v>
      </c>
      <c r="G3208" s="40" t="s">
        <v>435</v>
      </c>
      <c r="H3208" s="40" t="s">
        <v>436</v>
      </c>
      <c r="I3208" s="40" t="s">
        <v>3149</v>
      </c>
      <c r="J3208" s="40" t="s">
        <v>3150</v>
      </c>
      <c r="K3208" s="40" t="s">
        <v>591</v>
      </c>
      <c r="L3208" s="95" t="s">
        <v>644</v>
      </c>
      <c r="M3208" s="93">
        <f>18*5</f>
        <v>90</v>
      </c>
      <c r="N3208" s="94">
        <v>250</v>
      </c>
      <c r="O3208" s="94">
        <f t="shared" si="78"/>
        <v>22500</v>
      </c>
      <c r="P3208" s="40" t="s">
        <v>3139</v>
      </c>
      <c r="Q3208" s="40" t="s">
        <v>766</v>
      </c>
      <c r="R3208" s="84">
        <v>311010000</v>
      </c>
      <c r="S3208" s="40">
        <v>0</v>
      </c>
    </row>
    <row r="3209" spans="1:19" s="92" customFormat="1" ht="51">
      <c r="A3209" s="5">
        <v>3194</v>
      </c>
      <c r="B3209" s="15" t="s">
        <v>710</v>
      </c>
      <c r="C3209" s="40" t="s">
        <v>2433</v>
      </c>
      <c r="D3209" s="40" t="s">
        <v>447</v>
      </c>
      <c r="E3209" s="40" t="s">
        <v>24</v>
      </c>
      <c r="F3209" s="40" t="s">
        <v>24</v>
      </c>
      <c r="G3209" s="40" t="s">
        <v>3215</v>
      </c>
      <c r="H3209" s="40" t="s">
        <v>448</v>
      </c>
      <c r="I3209" s="40" t="s">
        <v>3151</v>
      </c>
      <c r="J3209" s="40" t="s">
        <v>3152</v>
      </c>
      <c r="K3209" s="40" t="s">
        <v>591</v>
      </c>
      <c r="L3209" s="95" t="s">
        <v>644</v>
      </c>
      <c r="M3209" s="93">
        <f>18*3</f>
        <v>54</v>
      </c>
      <c r="N3209" s="94">
        <v>250</v>
      </c>
      <c r="O3209" s="94">
        <f t="shared" si="78"/>
        <v>13500</v>
      </c>
      <c r="P3209" s="40" t="s">
        <v>3139</v>
      </c>
      <c r="Q3209" s="40" t="s">
        <v>766</v>
      </c>
      <c r="R3209" s="84">
        <v>311010000</v>
      </c>
      <c r="S3209" s="40">
        <v>0</v>
      </c>
    </row>
    <row r="3210" spans="1:19" s="92" customFormat="1" ht="51">
      <c r="A3210" s="5">
        <v>3195</v>
      </c>
      <c r="B3210" s="15" t="s">
        <v>710</v>
      </c>
      <c r="C3210" s="40" t="s">
        <v>2433</v>
      </c>
      <c r="D3210" s="40" t="s">
        <v>449</v>
      </c>
      <c r="E3210" s="40" t="s">
        <v>450</v>
      </c>
      <c r="F3210" s="40" t="s">
        <v>450</v>
      </c>
      <c r="G3210" s="40" t="s">
        <v>3216</v>
      </c>
      <c r="H3210" s="40" t="s">
        <v>451</v>
      </c>
      <c r="I3210" s="40" t="s">
        <v>3153</v>
      </c>
      <c r="J3210" s="40" t="s">
        <v>3154</v>
      </c>
      <c r="K3210" s="40" t="s">
        <v>591</v>
      </c>
      <c r="L3210" s="95" t="s">
        <v>480</v>
      </c>
      <c r="M3210" s="93">
        <v>54</v>
      </c>
      <c r="N3210" s="94">
        <v>250</v>
      </c>
      <c r="O3210" s="94">
        <f t="shared" si="78"/>
        <v>13500</v>
      </c>
      <c r="P3210" s="40" t="s">
        <v>3139</v>
      </c>
      <c r="Q3210" s="40" t="s">
        <v>766</v>
      </c>
      <c r="R3210" s="84">
        <v>311010000</v>
      </c>
      <c r="S3210" s="40">
        <v>0</v>
      </c>
    </row>
    <row r="3211" spans="1:19" s="92" customFormat="1" ht="51">
      <c r="A3211" s="5">
        <v>3196</v>
      </c>
      <c r="B3211" s="15" t="s">
        <v>710</v>
      </c>
      <c r="C3211" s="40" t="s">
        <v>2433</v>
      </c>
      <c r="D3211" s="40" t="s">
        <v>3155</v>
      </c>
      <c r="E3211" s="40" t="s">
        <v>3156</v>
      </c>
      <c r="F3211" s="40" t="s">
        <v>3157</v>
      </c>
      <c r="G3211" s="40" t="s">
        <v>3217</v>
      </c>
      <c r="H3211" s="40" t="s">
        <v>3218</v>
      </c>
      <c r="I3211" s="40" t="s">
        <v>3158</v>
      </c>
      <c r="J3211" s="40" t="s">
        <v>3159</v>
      </c>
      <c r="K3211" s="40" t="s">
        <v>591</v>
      </c>
      <c r="L3211" s="95" t="s">
        <v>644</v>
      </c>
      <c r="M3211" s="93">
        <f>18*2</f>
        <v>36</v>
      </c>
      <c r="N3211" s="94">
        <v>150</v>
      </c>
      <c r="O3211" s="94">
        <f t="shared" si="78"/>
        <v>5400</v>
      </c>
      <c r="P3211" s="40" t="s">
        <v>3139</v>
      </c>
      <c r="Q3211" s="40" t="s">
        <v>766</v>
      </c>
      <c r="R3211" s="84">
        <v>311010000</v>
      </c>
      <c r="S3211" s="40">
        <v>0</v>
      </c>
    </row>
    <row r="3212" spans="1:19" s="92" customFormat="1" ht="51">
      <c r="A3212" s="5">
        <v>3197</v>
      </c>
      <c r="B3212" s="15" t="s">
        <v>710</v>
      </c>
      <c r="C3212" s="40" t="s">
        <v>2433</v>
      </c>
      <c r="D3212" s="40" t="s">
        <v>437</v>
      </c>
      <c r="E3212" s="40" t="s">
        <v>20</v>
      </c>
      <c r="F3212" s="40" t="s">
        <v>20</v>
      </c>
      <c r="G3212" s="40" t="s">
        <v>438</v>
      </c>
      <c r="H3212" s="40" t="s">
        <v>439</v>
      </c>
      <c r="I3212" s="40" t="s">
        <v>3160</v>
      </c>
      <c r="J3212" s="40" t="s">
        <v>3161</v>
      </c>
      <c r="K3212" s="40" t="s">
        <v>591</v>
      </c>
      <c r="L3212" s="95" t="s">
        <v>644</v>
      </c>
      <c r="M3212" s="93">
        <f>18*5</f>
        <v>90</v>
      </c>
      <c r="N3212" s="94">
        <v>100</v>
      </c>
      <c r="O3212" s="94">
        <f t="shared" si="78"/>
        <v>9000</v>
      </c>
      <c r="P3212" s="40" t="s">
        <v>3139</v>
      </c>
      <c r="Q3212" s="40" t="s">
        <v>766</v>
      </c>
      <c r="R3212" s="84">
        <v>311010000</v>
      </c>
      <c r="S3212" s="40">
        <v>0</v>
      </c>
    </row>
    <row r="3213" spans="1:19" s="92" customFormat="1" ht="51">
      <c r="A3213" s="5">
        <v>3198</v>
      </c>
      <c r="B3213" s="15" t="s">
        <v>710</v>
      </c>
      <c r="C3213" s="40" t="s">
        <v>2433</v>
      </c>
      <c r="D3213" s="40" t="s">
        <v>3162</v>
      </c>
      <c r="E3213" s="40" t="s">
        <v>3163</v>
      </c>
      <c r="F3213" s="40" t="s">
        <v>3164</v>
      </c>
      <c r="G3213" s="31" t="s">
        <v>3219</v>
      </c>
      <c r="H3213" s="40" t="s">
        <v>3220</v>
      </c>
      <c r="I3213" s="40" t="s">
        <v>3165</v>
      </c>
      <c r="J3213" s="40" t="s">
        <v>3166</v>
      </c>
      <c r="K3213" s="40" t="s">
        <v>591</v>
      </c>
      <c r="L3213" s="95" t="s">
        <v>480</v>
      </c>
      <c r="M3213" s="93">
        <f>18*5</f>
        <v>90</v>
      </c>
      <c r="N3213" s="94">
        <v>500</v>
      </c>
      <c r="O3213" s="94">
        <f t="shared" si="78"/>
        <v>45000</v>
      </c>
      <c r="P3213" s="40" t="s">
        <v>3139</v>
      </c>
      <c r="Q3213" s="40" t="s">
        <v>766</v>
      </c>
      <c r="R3213" s="84">
        <v>311010000</v>
      </c>
      <c r="S3213" s="40">
        <v>0</v>
      </c>
    </row>
    <row r="3214" spans="1:19" s="92" customFormat="1" ht="51">
      <c r="A3214" s="5">
        <v>3199</v>
      </c>
      <c r="B3214" s="15" t="s">
        <v>710</v>
      </c>
      <c r="C3214" s="40" t="s">
        <v>2433</v>
      </c>
      <c r="D3214" s="40" t="s">
        <v>440</v>
      </c>
      <c r="E3214" s="40" t="s">
        <v>21</v>
      </c>
      <c r="F3214" s="40" t="s">
        <v>21</v>
      </c>
      <c r="G3214" s="31" t="s">
        <v>441</v>
      </c>
      <c r="H3214" s="40" t="s">
        <v>442</v>
      </c>
      <c r="I3214" s="40" t="s">
        <v>3167</v>
      </c>
      <c r="J3214" s="40" t="s">
        <v>3168</v>
      </c>
      <c r="K3214" s="40" t="s">
        <v>591</v>
      </c>
      <c r="L3214" s="95" t="s">
        <v>644</v>
      </c>
      <c r="M3214" s="93">
        <f t="shared" ref="M3214:M3219" si="79">18*1</f>
        <v>18</v>
      </c>
      <c r="N3214" s="94">
        <v>1500</v>
      </c>
      <c r="O3214" s="94">
        <f t="shared" si="78"/>
        <v>27000</v>
      </c>
      <c r="P3214" s="40" t="s">
        <v>3139</v>
      </c>
      <c r="Q3214" s="40" t="s">
        <v>766</v>
      </c>
      <c r="R3214" s="84">
        <v>311010000</v>
      </c>
      <c r="S3214" s="40">
        <v>0</v>
      </c>
    </row>
    <row r="3215" spans="1:19" s="92" customFormat="1" ht="127.5">
      <c r="A3215" s="5">
        <v>3200</v>
      </c>
      <c r="B3215" s="15" t="s">
        <v>710</v>
      </c>
      <c r="C3215" s="40" t="s">
        <v>2433</v>
      </c>
      <c r="D3215" s="40" t="s">
        <v>470</v>
      </c>
      <c r="E3215" s="40" t="s">
        <v>27</v>
      </c>
      <c r="F3215" s="40" t="s">
        <v>27</v>
      </c>
      <c r="G3215" s="31" t="s">
        <v>471</v>
      </c>
      <c r="H3215" s="40" t="s">
        <v>472</v>
      </c>
      <c r="I3215" s="40" t="s">
        <v>3169</v>
      </c>
      <c r="J3215" s="40" t="s">
        <v>3170</v>
      </c>
      <c r="K3215" s="40" t="s">
        <v>591</v>
      </c>
      <c r="L3215" s="95" t="s">
        <v>644</v>
      </c>
      <c r="M3215" s="93">
        <f t="shared" si="79"/>
        <v>18</v>
      </c>
      <c r="N3215" s="94">
        <v>3500</v>
      </c>
      <c r="O3215" s="94">
        <f t="shared" si="78"/>
        <v>63000</v>
      </c>
      <c r="P3215" s="40" t="s">
        <v>3139</v>
      </c>
      <c r="Q3215" s="40" t="s">
        <v>766</v>
      </c>
      <c r="R3215" s="84">
        <v>311010000</v>
      </c>
      <c r="S3215" s="40">
        <v>0</v>
      </c>
    </row>
    <row r="3216" spans="1:19" s="92" customFormat="1" ht="76.5">
      <c r="A3216" s="5">
        <v>3201</v>
      </c>
      <c r="B3216" s="15" t="s">
        <v>710</v>
      </c>
      <c r="C3216" s="40" t="s">
        <v>2433</v>
      </c>
      <c r="D3216" s="40" t="s">
        <v>3171</v>
      </c>
      <c r="E3216" s="40" t="s">
        <v>3172</v>
      </c>
      <c r="F3216" s="40" t="s">
        <v>3172</v>
      </c>
      <c r="G3216" s="40" t="s">
        <v>3173</v>
      </c>
      <c r="H3216" s="40" t="s">
        <v>3174</v>
      </c>
      <c r="I3216" s="40" t="s">
        <v>3175</v>
      </c>
      <c r="J3216" s="40" t="s">
        <v>3176</v>
      </c>
      <c r="K3216" s="40" t="s">
        <v>591</v>
      </c>
      <c r="L3216" s="95" t="s">
        <v>644</v>
      </c>
      <c r="M3216" s="93">
        <f t="shared" si="79"/>
        <v>18</v>
      </c>
      <c r="N3216" s="94">
        <v>150</v>
      </c>
      <c r="O3216" s="94">
        <f t="shared" si="78"/>
        <v>2700</v>
      </c>
      <c r="P3216" s="40" t="s">
        <v>3139</v>
      </c>
      <c r="Q3216" s="40" t="s">
        <v>766</v>
      </c>
      <c r="R3216" s="84">
        <v>311010000</v>
      </c>
      <c r="S3216" s="40">
        <v>0</v>
      </c>
    </row>
    <row r="3217" spans="1:19" s="92" customFormat="1" ht="51">
      <c r="A3217" s="5">
        <v>3202</v>
      </c>
      <c r="B3217" s="15" t="s">
        <v>710</v>
      </c>
      <c r="C3217" s="40" t="s">
        <v>2433</v>
      </c>
      <c r="D3217" s="40" t="s">
        <v>457</v>
      </c>
      <c r="E3217" s="40" t="s">
        <v>17</v>
      </c>
      <c r="F3217" s="40" t="s">
        <v>17</v>
      </c>
      <c r="G3217" s="40" t="s">
        <v>3177</v>
      </c>
      <c r="H3217" s="40" t="s">
        <v>458</v>
      </c>
      <c r="I3217" s="40" t="s">
        <v>3178</v>
      </c>
      <c r="J3217" s="40" t="s">
        <v>3179</v>
      </c>
      <c r="K3217" s="40" t="s">
        <v>591</v>
      </c>
      <c r="L3217" s="95" t="s">
        <v>644</v>
      </c>
      <c r="M3217" s="93">
        <f t="shared" si="79"/>
        <v>18</v>
      </c>
      <c r="N3217" s="94">
        <v>600</v>
      </c>
      <c r="O3217" s="94">
        <f t="shared" si="78"/>
        <v>10800</v>
      </c>
      <c r="P3217" s="40" t="s">
        <v>3139</v>
      </c>
      <c r="Q3217" s="40" t="s">
        <v>766</v>
      </c>
      <c r="R3217" s="84">
        <v>311010000</v>
      </c>
      <c r="S3217" s="40">
        <v>0</v>
      </c>
    </row>
    <row r="3218" spans="1:19" s="92" customFormat="1" ht="51">
      <c r="A3218" s="5">
        <v>3203</v>
      </c>
      <c r="B3218" s="15" t="s">
        <v>710</v>
      </c>
      <c r="C3218" s="40" t="s">
        <v>2433</v>
      </c>
      <c r="D3218" s="40" t="s">
        <v>457</v>
      </c>
      <c r="E3218" s="40" t="s">
        <v>17</v>
      </c>
      <c r="F3218" s="40" t="s">
        <v>17</v>
      </c>
      <c r="G3218" s="40" t="s">
        <v>3177</v>
      </c>
      <c r="H3218" s="40" t="s">
        <v>458</v>
      </c>
      <c r="I3218" s="40" t="s">
        <v>3180</v>
      </c>
      <c r="J3218" s="40" t="s">
        <v>3181</v>
      </c>
      <c r="K3218" s="40" t="s">
        <v>591</v>
      </c>
      <c r="L3218" s="95" t="s">
        <v>644</v>
      </c>
      <c r="M3218" s="93">
        <f t="shared" si="79"/>
        <v>18</v>
      </c>
      <c r="N3218" s="94">
        <v>800</v>
      </c>
      <c r="O3218" s="94">
        <f t="shared" si="78"/>
        <v>14400</v>
      </c>
      <c r="P3218" s="40" t="s">
        <v>3139</v>
      </c>
      <c r="Q3218" s="40" t="s">
        <v>766</v>
      </c>
      <c r="R3218" s="84">
        <v>311010000</v>
      </c>
      <c r="S3218" s="40">
        <v>0</v>
      </c>
    </row>
    <row r="3219" spans="1:19" s="92" customFormat="1" ht="51">
      <c r="A3219" s="5">
        <v>3204</v>
      </c>
      <c r="B3219" s="15" t="s">
        <v>710</v>
      </c>
      <c r="C3219" s="40" t="s">
        <v>2433</v>
      </c>
      <c r="D3219" s="40" t="s">
        <v>476</v>
      </c>
      <c r="E3219" s="40" t="s">
        <v>477</v>
      </c>
      <c r="F3219" s="40" t="s">
        <v>28</v>
      </c>
      <c r="G3219" s="40" t="s">
        <v>478</v>
      </c>
      <c r="H3219" s="40" t="s">
        <v>479</v>
      </c>
      <c r="I3219" s="40" t="s">
        <v>3182</v>
      </c>
      <c r="J3219" s="40" t="s">
        <v>3183</v>
      </c>
      <c r="K3219" s="40" t="s">
        <v>591</v>
      </c>
      <c r="L3219" s="95" t="s">
        <v>644</v>
      </c>
      <c r="M3219" s="93">
        <f t="shared" si="79"/>
        <v>18</v>
      </c>
      <c r="N3219" s="94">
        <v>1500</v>
      </c>
      <c r="O3219" s="94">
        <f t="shared" si="78"/>
        <v>27000</v>
      </c>
      <c r="P3219" s="40" t="s">
        <v>3139</v>
      </c>
      <c r="Q3219" s="40" t="s">
        <v>766</v>
      </c>
      <c r="R3219" s="84">
        <v>311010000</v>
      </c>
      <c r="S3219" s="40">
        <v>0</v>
      </c>
    </row>
    <row r="3220" spans="1:19" s="92" customFormat="1" ht="51">
      <c r="A3220" s="5">
        <v>3205</v>
      </c>
      <c r="B3220" s="15" t="s">
        <v>710</v>
      </c>
      <c r="C3220" s="40" t="s">
        <v>2433</v>
      </c>
      <c r="D3220" s="40" t="s">
        <v>468</v>
      </c>
      <c r="E3220" s="40" t="s">
        <v>3184</v>
      </c>
      <c r="F3220" s="40" t="s">
        <v>26</v>
      </c>
      <c r="G3220" s="40" t="s">
        <v>3185</v>
      </c>
      <c r="H3220" s="40" t="s">
        <v>469</v>
      </c>
      <c r="I3220" s="40" t="s">
        <v>3186</v>
      </c>
      <c r="J3220" s="40" t="s">
        <v>3187</v>
      </c>
      <c r="K3220" s="40" t="s">
        <v>591</v>
      </c>
      <c r="L3220" s="95" t="s">
        <v>644</v>
      </c>
      <c r="M3220" s="93">
        <f>18*5</f>
        <v>90</v>
      </c>
      <c r="N3220" s="94">
        <v>250</v>
      </c>
      <c r="O3220" s="94">
        <f t="shared" si="78"/>
        <v>22500</v>
      </c>
      <c r="P3220" s="40" t="s">
        <v>3139</v>
      </c>
      <c r="Q3220" s="40" t="s">
        <v>766</v>
      </c>
      <c r="R3220" s="84">
        <v>311010000</v>
      </c>
      <c r="S3220" s="40">
        <v>0</v>
      </c>
    </row>
    <row r="3221" spans="1:19" s="92" customFormat="1" ht="51">
      <c r="A3221" s="5">
        <v>3206</v>
      </c>
      <c r="B3221" s="15" t="s">
        <v>710</v>
      </c>
      <c r="C3221" s="40" t="s">
        <v>2433</v>
      </c>
      <c r="D3221" s="40" t="s">
        <v>443</v>
      </c>
      <c r="E3221" s="40" t="s">
        <v>444</v>
      </c>
      <c r="F3221" s="40" t="s">
        <v>444</v>
      </c>
      <c r="G3221" s="40" t="s">
        <v>445</v>
      </c>
      <c r="H3221" s="40" t="s">
        <v>446</v>
      </c>
      <c r="I3221" s="40" t="s">
        <v>3188</v>
      </c>
      <c r="J3221" s="40" t="s">
        <v>3189</v>
      </c>
      <c r="K3221" s="40" t="s">
        <v>591</v>
      </c>
      <c r="L3221" s="95" t="s">
        <v>644</v>
      </c>
      <c r="M3221" s="93">
        <f>18*5</f>
        <v>90</v>
      </c>
      <c r="N3221" s="94">
        <v>500</v>
      </c>
      <c r="O3221" s="94">
        <f t="shared" si="78"/>
        <v>45000</v>
      </c>
      <c r="P3221" s="40" t="s">
        <v>3139</v>
      </c>
      <c r="Q3221" s="40" t="s">
        <v>766</v>
      </c>
      <c r="R3221" s="84">
        <v>311010000</v>
      </c>
      <c r="S3221" s="40">
        <v>0</v>
      </c>
    </row>
    <row r="3222" spans="1:19" s="92" customFormat="1" ht="51">
      <c r="A3222" s="5">
        <v>3207</v>
      </c>
      <c r="B3222" s="15" t="s">
        <v>710</v>
      </c>
      <c r="C3222" s="40" t="s">
        <v>711</v>
      </c>
      <c r="D3222" s="40" t="s">
        <v>3190</v>
      </c>
      <c r="E3222" s="31" t="s">
        <v>3191</v>
      </c>
      <c r="F3222" s="31" t="s">
        <v>3192</v>
      </c>
      <c r="G3222" s="40" t="s">
        <v>3264</v>
      </c>
      <c r="H3222" s="40" t="s">
        <v>3264</v>
      </c>
      <c r="I3222" s="31" t="s">
        <v>3193</v>
      </c>
      <c r="J3222" s="31" t="s">
        <v>3194</v>
      </c>
      <c r="K3222" s="40" t="s">
        <v>591</v>
      </c>
      <c r="L3222" s="95" t="s">
        <v>644</v>
      </c>
      <c r="M3222" s="93">
        <f>18*1</f>
        <v>18</v>
      </c>
      <c r="N3222" s="94">
        <v>1200</v>
      </c>
      <c r="O3222" s="94">
        <f t="shared" si="78"/>
        <v>21600</v>
      </c>
      <c r="P3222" s="40" t="s">
        <v>3139</v>
      </c>
      <c r="Q3222" s="40" t="s">
        <v>766</v>
      </c>
      <c r="R3222" s="84">
        <v>311010000</v>
      </c>
      <c r="S3222" s="40">
        <v>0</v>
      </c>
    </row>
    <row r="3223" spans="1:19" s="92" customFormat="1" ht="89.25">
      <c r="A3223" s="5">
        <v>3208</v>
      </c>
      <c r="B3223" s="15" t="s">
        <v>710</v>
      </c>
      <c r="C3223" s="40" t="s">
        <v>597</v>
      </c>
      <c r="D3223" s="40" t="s">
        <v>598</v>
      </c>
      <c r="E3223" s="31" t="s">
        <v>599</v>
      </c>
      <c r="F3223" s="31" t="s">
        <v>782</v>
      </c>
      <c r="G3223" s="31" t="s">
        <v>3195</v>
      </c>
      <c r="H3223" s="40" t="s">
        <v>602</v>
      </c>
      <c r="I3223" s="40" t="s">
        <v>3196</v>
      </c>
      <c r="J3223" s="40" t="s">
        <v>3197</v>
      </c>
      <c r="K3223" s="40" t="s">
        <v>591</v>
      </c>
      <c r="L3223" s="11" t="s">
        <v>914</v>
      </c>
      <c r="M3223" s="93">
        <v>1</v>
      </c>
      <c r="N3223" s="94">
        <v>624400</v>
      </c>
      <c r="O3223" s="94">
        <v>624400</v>
      </c>
      <c r="P3223" s="40" t="s">
        <v>502</v>
      </c>
      <c r="Q3223" s="40" t="s">
        <v>766</v>
      </c>
      <c r="R3223" s="84">
        <v>313630100</v>
      </c>
      <c r="S3223" s="40">
        <v>0</v>
      </c>
    </row>
    <row r="3224" spans="1:19" s="92" customFormat="1" ht="89.25">
      <c r="A3224" s="5">
        <v>3209</v>
      </c>
      <c r="B3224" s="15" t="s">
        <v>710</v>
      </c>
      <c r="C3224" s="40" t="s">
        <v>597</v>
      </c>
      <c r="D3224" s="40" t="s">
        <v>598</v>
      </c>
      <c r="E3224" s="31" t="s">
        <v>599</v>
      </c>
      <c r="F3224" s="31" t="s">
        <v>782</v>
      </c>
      <c r="G3224" s="31" t="s">
        <v>3195</v>
      </c>
      <c r="H3224" s="40" t="s">
        <v>602</v>
      </c>
      <c r="I3224" s="40" t="s">
        <v>3196</v>
      </c>
      <c r="J3224" s="40" t="s">
        <v>3197</v>
      </c>
      <c r="K3224" s="40" t="s">
        <v>591</v>
      </c>
      <c r="L3224" s="11" t="s">
        <v>914</v>
      </c>
      <c r="M3224" s="93">
        <v>1</v>
      </c>
      <c r="N3224" s="94">
        <v>624400</v>
      </c>
      <c r="O3224" s="94">
        <v>624400</v>
      </c>
      <c r="P3224" s="40" t="s">
        <v>502</v>
      </c>
      <c r="Q3224" s="40" t="s">
        <v>766</v>
      </c>
      <c r="R3224" s="84">
        <v>313630100</v>
      </c>
      <c r="S3224" s="40">
        <v>0</v>
      </c>
    </row>
    <row r="3225" spans="1:19" s="92" customFormat="1" ht="51">
      <c r="A3225" s="5">
        <v>3210</v>
      </c>
      <c r="B3225" s="15" t="s">
        <v>710</v>
      </c>
      <c r="C3225" s="40" t="s">
        <v>597</v>
      </c>
      <c r="D3225" s="11" t="s">
        <v>850</v>
      </c>
      <c r="E3225" s="76" t="s">
        <v>1736</v>
      </c>
      <c r="F3225" s="76" t="s">
        <v>851</v>
      </c>
      <c r="G3225" s="76" t="s">
        <v>1737</v>
      </c>
      <c r="H3225" s="76" t="s">
        <v>852</v>
      </c>
      <c r="I3225" s="76" t="s">
        <v>3199</v>
      </c>
      <c r="J3225" s="76" t="s">
        <v>3200</v>
      </c>
      <c r="K3225" s="40" t="s">
        <v>591</v>
      </c>
      <c r="L3225" s="11" t="s">
        <v>914</v>
      </c>
      <c r="M3225" s="97">
        <v>1</v>
      </c>
      <c r="N3225" s="94">
        <f>10000*5</f>
        <v>50000</v>
      </c>
      <c r="O3225" s="94">
        <f>N3225</f>
        <v>50000</v>
      </c>
      <c r="P3225" s="40" t="s">
        <v>698</v>
      </c>
      <c r="Q3225" s="40" t="s">
        <v>766</v>
      </c>
      <c r="R3225" s="84">
        <v>313630100</v>
      </c>
      <c r="S3225" s="40">
        <v>0</v>
      </c>
    </row>
    <row r="3226" spans="1:19" s="92" customFormat="1" ht="51">
      <c r="A3226" s="5">
        <v>3211</v>
      </c>
      <c r="B3226" s="15" t="s">
        <v>710</v>
      </c>
      <c r="C3226" s="40" t="s">
        <v>597</v>
      </c>
      <c r="D3226" s="40" t="s">
        <v>2594</v>
      </c>
      <c r="E3226" s="31" t="s">
        <v>2618</v>
      </c>
      <c r="F3226" s="31" t="s">
        <v>2595</v>
      </c>
      <c r="G3226" s="31" t="s">
        <v>2618</v>
      </c>
      <c r="H3226" s="40" t="s">
        <v>2595</v>
      </c>
      <c r="I3226" s="40" t="s">
        <v>3201</v>
      </c>
      <c r="J3226" s="40" t="s">
        <v>3202</v>
      </c>
      <c r="K3226" s="40" t="s">
        <v>591</v>
      </c>
      <c r="L3226" s="11" t="s">
        <v>914</v>
      </c>
      <c r="M3226" s="93">
        <v>1</v>
      </c>
      <c r="N3226" s="94">
        <f>10500*3</f>
        <v>31500</v>
      </c>
      <c r="O3226" s="94">
        <f>N3226</f>
        <v>31500</v>
      </c>
      <c r="P3226" s="40" t="s">
        <v>3116</v>
      </c>
      <c r="Q3226" s="40" t="s">
        <v>766</v>
      </c>
      <c r="R3226" s="84">
        <v>313630100</v>
      </c>
      <c r="S3226" s="40">
        <v>30</v>
      </c>
    </row>
    <row r="3227" spans="1:19" s="92" customFormat="1" ht="89.25">
      <c r="A3227" s="5">
        <v>3212</v>
      </c>
      <c r="B3227" s="15" t="s">
        <v>710</v>
      </c>
      <c r="C3227" s="40" t="s">
        <v>711</v>
      </c>
      <c r="D3227" s="40" t="s">
        <v>976</v>
      </c>
      <c r="E3227" s="31" t="s">
        <v>730</v>
      </c>
      <c r="F3227" s="31" t="s">
        <v>731</v>
      </c>
      <c r="G3227" s="31" t="s">
        <v>977</v>
      </c>
      <c r="H3227" s="40" t="s">
        <v>978</v>
      </c>
      <c r="I3227" s="40" t="s">
        <v>3203</v>
      </c>
      <c r="J3227" s="40" t="s">
        <v>3204</v>
      </c>
      <c r="K3227" s="40" t="s">
        <v>591</v>
      </c>
      <c r="L3227" s="40" t="s">
        <v>644</v>
      </c>
      <c r="M3227" s="93">
        <v>2</v>
      </c>
      <c r="N3227" s="94">
        <v>26800</v>
      </c>
      <c r="O3227" s="94">
        <f>N3227*M3227</f>
        <v>53600</v>
      </c>
      <c r="P3227" s="40" t="s">
        <v>3116</v>
      </c>
      <c r="Q3227" s="40" t="s">
        <v>1051</v>
      </c>
      <c r="R3227" s="84">
        <v>313630100</v>
      </c>
      <c r="S3227" s="40">
        <v>100</v>
      </c>
    </row>
    <row r="3228" spans="1:19" s="92" customFormat="1" ht="63.75">
      <c r="A3228" s="5">
        <v>3213</v>
      </c>
      <c r="B3228" s="15" t="s">
        <v>710</v>
      </c>
      <c r="C3228" s="40" t="s">
        <v>711</v>
      </c>
      <c r="D3228" s="40" t="s">
        <v>744</v>
      </c>
      <c r="E3228" s="31" t="s">
        <v>745</v>
      </c>
      <c r="F3228" s="31" t="s">
        <v>109</v>
      </c>
      <c r="G3228" s="31" t="s">
        <v>746</v>
      </c>
      <c r="H3228" s="40" t="s">
        <v>3205</v>
      </c>
      <c r="I3228" s="40" t="s">
        <v>3206</v>
      </c>
      <c r="J3228" s="40" t="s">
        <v>3207</v>
      </c>
      <c r="K3228" s="40" t="s">
        <v>591</v>
      </c>
      <c r="L3228" s="40" t="s">
        <v>644</v>
      </c>
      <c r="M3228" s="93">
        <v>6</v>
      </c>
      <c r="N3228" s="94">
        <v>4000</v>
      </c>
      <c r="O3228" s="94">
        <f>M3228*N3228</f>
        <v>24000</v>
      </c>
      <c r="P3228" s="40" t="s">
        <v>3116</v>
      </c>
      <c r="Q3228" s="40" t="s">
        <v>1051</v>
      </c>
      <c r="R3228" s="84">
        <v>313630100</v>
      </c>
      <c r="S3228" s="40">
        <v>100</v>
      </c>
    </row>
    <row r="3229" spans="1:19" s="92" customFormat="1" ht="51">
      <c r="A3229" s="5">
        <v>3214</v>
      </c>
      <c r="B3229" s="15" t="s">
        <v>710</v>
      </c>
      <c r="C3229" s="40" t="s">
        <v>711</v>
      </c>
      <c r="D3229" s="98" t="s">
        <v>422</v>
      </c>
      <c r="E3229" s="76" t="s">
        <v>423</v>
      </c>
      <c r="F3229" s="76" t="s">
        <v>427</v>
      </c>
      <c r="G3229" s="76" t="s">
        <v>837</v>
      </c>
      <c r="H3229" s="76" t="s">
        <v>425</v>
      </c>
      <c r="I3229" s="76" t="s">
        <v>3208</v>
      </c>
      <c r="J3229" s="76" t="s">
        <v>3209</v>
      </c>
      <c r="K3229" s="76" t="s">
        <v>591</v>
      </c>
      <c r="L3229" s="11" t="s">
        <v>909</v>
      </c>
      <c r="M3229" s="53">
        <v>18</v>
      </c>
      <c r="N3229" s="94">
        <v>640</v>
      </c>
      <c r="O3229" s="94">
        <f>N3229*M3229</f>
        <v>11520</v>
      </c>
      <c r="P3229" s="40" t="s">
        <v>3116</v>
      </c>
      <c r="Q3229" s="40" t="s">
        <v>766</v>
      </c>
      <c r="R3229" s="84">
        <v>313630100</v>
      </c>
      <c r="S3229" s="40">
        <v>100</v>
      </c>
    </row>
    <row r="3230" spans="1:19" s="92" customFormat="1" ht="76.5">
      <c r="A3230" s="5">
        <v>3215</v>
      </c>
      <c r="B3230" s="15" t="s">
        <v>710</v>
      </c>
      <c r="C3230" s="40" t="s">
        <v>711</v>
      </c>
      <c r="D3230" s="40" t="s">
        <v>723</v>
      </c>
      <c r="E3230" s="31" t="s">
        <v>874</v>
      </c>
      <c r="F3230" s="31" t="s">
        <v>874</v>
      </c>
      <c r="G3230" s="31" t="s">
        <v>875</v>
      </c>
      <c r="H3230" s="40" t="s">
        <v>876</v>
      </c>
      <c r="I3230" s="40" t="s">
        <v>3210</v>
      </c>
      <c r="J3230" s="40" t="s">
        <v>3211</v>
      </c>
      <c r="K3230" s="40" t="s">
        <v>591</v>
      </c>
      <c r="L3230" s="40" t="s">
        <v>644</v>
      </c>
      <c r="M3230" s="93">
        <v>1</v>
      </c>
      <c r="N3230" s="94">
        <v>30000</v>
      </c>
      <c r="O3230" s="94">
        <f>N3230*M3230</f>
        <v>30000</v>
      </c>
      <c r="P3230" s="40" t="s">
        <v>3116</v>
      </c>
      <c r="Q3230" s="40" t="s">
        <v>1051</v>
      </c>
      <c r="R3230" s="84">
        <v>313630100</v>
      </c>
      <c r="S3230" s="40">
        <v>100</v>
      </c>
    </row>
    <row r="3231" spans="1:19" s="92" customFormat="1" ht="89.25">
      <c r="A3231" s="5">
        <v>3216</v>
      </c>
      <c r="B3231" s="15" t="s">
        <v>710</v>
      </c>
      <c r="C3231" s="40" t="s">
        <v>597</v>
      </c>
      <c r="D3231" s="40" t="s">
        <v>598</v>
      </c>
      <c r="E3231" s="31" t="s">
        <v>599</v>
      </c>
      <c r="F3231" s="31" t="s">
        <v>782</v>
      </c>
      <c r="G3231" s="31" t="s">
        <v>3195</v>
      </c>
      <c r="H3231" s="40" t="s">
        <v>602</v>
      </c>
      <c r="I3231" s="40" t="s">
        <v>3196</v>
      </c>
      <c r="J3231" s="40" t="s">
        <v>3197</v>
      </c>
      <c r="K3231" s="40" t="s">
        <v>591</v>
      </c>
      <c r="L3231" s="11" t="s">
        <v>914</v>
      </c>
      <c r="M3231" s="93">
        <v>1</v>
      </c>
      <c r="N3231" s="94">
        <v>624400</v>
      </c>
      <c r="O3231" s="94">
        <v>624400</v>
      </c>
      <c r="P3231" s="40" t="s">
        <v>502</v>
      </c>
      <c r="Q3231" s="40" t="s">
        <v>766</v>
      </c>
      <c r="R3231" s="84">
        <v>314030100</v>
      </c>
      <c r="S3231" s="40">
        <v>0</v>
      </c>
    </row>
    <row r="3232" spans="1:19" s="92" customFormat="1" ht="89.25">
      <c r="A3232" s="5">
        <v>3217</v>
      </c>
      <c r="B3232" s="15" t="s">
        <v>710</v>
      </c>
      <c r="C3232" s="40" t="s">
        <v>597</v>
      </c>
      <c r="D3232" s="40" t="s">
        <v>598</v>
      </c>
      <c r="E3232" s="31" t="s">
        <v>599</v>
      </c>
      <c r="F3232" s="31" t="s">
        <v>782</v>
      </c>
      <c r="G3232" s="31" t="s">
        <v>3195</v>
      </c>
      <c r="H3232" s="40" t="s">
        <v>602</v>
      </c>
      <c r="I3232" s="40" t="s">
        <v>3196</v>
      </c>
      <c r="J3232" s="40" t="s">
        <v>3197</v>
      </c>
      <c r="K3232" s="40" t="s">
        <v>591</v>
      </c>
      <c r="L3232" s="11" t="s">
        <v>914</v>
      </c>
      <c r="M3232" s="93">
        <v>1</v>
      </c>
      <c r="N3232" s="94">
        <v>624400</v>
      </c>
      <c r="O3232" s="94">
        <v>624400</v>
      </c>
      <c r="P3232" s="40" t="s">
        <v>502</v>
      </c>
      <c r="Q3232" s="40" t="s">
        <v>766</v>
      </c>
      <c r="R3232" s="84">
        <v>314030100</v>
      </c>
      <c r="S3232" s="40">
        <v>0</v>
      </c>
    </row>
    <row r="3233" spans="1:19" s="92" customFormat="1" ht="51">
      <c r="A3233" s="5">
        <v>3218</v>
      </c>
      <c r="B3233" s="15" t="s">
        <v>710</v>
      </c>
      <c r="C3233" s="40" t="s">
        <v>597</v>
      </c>
      <c r="D3233" s="11" t="s">
        <v>850</v>
      </c>
      <c r="E3233" s="76" t="s">
        <v>1736</v>
      </c>
      <c r="F3233" s="76" t="s">
        <v>851</v>
      </c>
      <c r="G3233" s="76" t="s">
        <v>1737</v>
      </c>
      <c r="H3233" s="76" t="s">
        <v>852</v>
      </c>
      <c r="I3233" s="76" t="s">
        <v>3199</v>
      </c>
      <c r="J3233" s="76" t="s">
        <v>3200</v>
      </c>
      <c r="K3233" s="40" t="s">
        <v>591</v>
      </c>
      <c r="L3233" s="11" t="s">
        <v>914</v>
      </c>
      <c r="M3233" s="97">
        <v>1</v>
      </c>
      <c r="N3233" s="94">
        <f>10000*5</f>
        <v>50000</v>
      </c>
      <c r="O3233" s="94">
        <f>N3233</f>
        <v>50000</v>
      </c>
      <c r="P3233" s="40" t="s">
        <v>698</v>
      </c>
      <c r="Q3233" s="40" t="s">
        <v>766</v>
      </c>
      <c r="R3233" s="84">
        <v>314030100</v>
      </c>
      <c r="S3233" s="40">
        <v>0</v>
      </c>
    </row>
    <row r="3234" spans="1:19" s="92" customFormat="1" ht="51">
      <c r="A3234" s="5">
        <v>3219</v>
      </c>
      <c r="B3234" s="15" t="s">
        <v>710</v>
      </c>
      <c r="C3234" s="40" t="s">
        <v>597</v>
      </c>
      <c r="D3234" s="40" t="s">
        <v>2594</v>
      </c>
      <c r="E3234" s="31" t="s">
        <v>2618</v>
      </c>
      <c r="F3234" s="31" t="s">
        <v>2595</v>
      </c>
      <c r="G3234" s="31" t="s">
        <v>2618</v>
      </c>
      <c r="H3234" s="40" t="s">
        <v>2595</v>
      </c>
      <c r="I3234" s="40" t="s">
        <v>3201</v>
      </c>
      <c r="J3234" s="40" t="s">
        <v>3202</v>
      </c>
      <c r="K3234" s="40" t="s">
        <v>591</v>
      </c>
      <c r="L3234" s="11" t="s">
        <v>914</v>
      </c>
      <c r="M3234" s="93">
        <v>1</v>
      </c>
      <c r="N3234" s="94">
        <f>10500*3</f>
        <v>31500</v>
      </c>
      <c r="O3234" s="94">
        <f>N3234</f>
        <v>31500</v>
      </c>
      <c r="P3234" s="40" t="s">
        <v>3116</v>
      </c>
      <c r="Q3234" s="40" t="s">
        <v>766</v>
      </c>
      <c r="R3234" s="84">
        <v>314030100</v>
      </c>
      <c r="S3234" s="40">
        <v>30</v>
      </c>
    </row>
    <row r="3235" spans="1:19" s="92" customFormat="1" ht="89.25">
      <c r="A3235" s="5">
        <v>3220</v>
      </c>
      <c r="B3235" s="15" t="s">
        <v>710</v>
      </c>
      <c r="C3235" s="40" t="s">
        <v>711</v>
      </c>
      <c r="D3235" s="40" t="s">
        <v>976</v>
      </c>
      <c r="E3235" s="31" t="s">
        <v>730</v>
      </c>
      <c r="F3235" s="31" t="s">
        <v>731</v>
      </c>
      <c r="G3235" s="31" t="s">
        <v>977</v>
      </c>
      <c r="H3235" s="40" t="s">
        <v>978</v>
      </c>
      <c r="I3235" s="40" t="s">
        <v>3203</v>
      </c>
      <c r="J3235" s="40" t="s">
        <v>3204</v>
      </c>
      <c r="K3235" s="40" t="s">
        <v>591</v>
      </c>
      <c r="L3235" s="40" t="s">
        <v>644</v>
      </c>
      <c r="M3235" s="93">
        <v>2</v>
      </c>
      <c r="N3235" s="94">
        <v>26800</v>
      </c>
      <c r="O3235" s="94">
        <f>N3235*M3235</f>
        <v>53600</v>
      </c>
      <c r="P3235" s="40" t="s">
        <v>3116</v>
      </c>
      <c r="Q3235" s="40" t="s">
        <v>1051</v>
      </c>
      <c r="R3235" s="84">
        <v>314030100</v>
      </c>
      <c r="S3235" s="40">
        <v>100</v>
      </c>
    </row>
    <row r="3236" spans="1:19" s="92" customFormat="1" ht="63.75">
      <c r="A3236" s="5">
        <v>3221</v>
      </c>
      <c r="B3236" s="15" t="s">
        <v>710</v>
      </c>
      <c r="C3236" s="40" t="s">
        <v>711</v>
      </c>
      <c r="D3236" s="40" t="s">
        <v>744</v>
      </c>
      <c r="E3236" s="31" t="s">
        <v>745</v>
      </c>
      <c r="F3236" s="31" t="s">
        <v>109</v>
      </c>
      <c r="G3236" s="31" t="s">
        <v>746</v>
      </c>
      <c r="H3236" s="40" t="s">
        <v>3205</v>
      </c>
      <c r="I3236" s="40" t="s">
        <v>3206</v>
      </c>
      <c r="J3236" s="40" t="s">
        <v>3207</v>
      </c>
      <c r="K3236" s="40" t="s">
        <v>591</v>
      </c>
      <c r="L3236" s="40" t="s">
        <v>644</v>
      </c>
      <c r="M3236" s="93">
        <v>6</v>
      </c>
      <c r="N3236" s="94">
        <v>4000</v>
      </c>
      <c r="O3236" s="94">
        <f>M3236*N3236</f>
        <v>24000</v>
      </c>
      <c r="P3236" s="40" t="s">
        <v>3116</v>
      </c>
      <c r="Q3236" s="40" t="s">
        <v>1051</v>
      </c>
      <c r="R3236" s="84">
        <v>314030100</v>
      </c>
      <c r="S3236" s="40">
        <v>100</v>
      </c>
    </row>
    <row r="3237" spans="1:19" s="92" customFormat="1" ht="51">
      <c r="A3237" s="5">
        <v>3222</v>
      </c>
      <c r="B3237" s="15" t="s">
        <v>710</v>
      </c>
      <c r="C3237" s="40" t="s">
        <v>711</v>
      </c>
      <c r="D3237" s="98" t="s">
        <v>422</v>
      </c>
      <c r="E3237" s="76" t="s">
        <v>423</v>
      </c>
      <c r="F3237" s="76" t="s">
        <v>427</v>
      </c>
      <c r="G3237" s="76" t="s">
        <v>837</v>
      </c>
      <c r="H3237" s="76" t="s">
        <v>425</v>
      </c>
      <c r="I3237" s="76" t="s">
        <v>3208</v>
      </c>
      <c r="J3237" s="76" t="s">
        <v>3209</v>
      </c>
      <c r="K3237" s="76" t="s">
        <v>591</v>
      </c>
      <c r="L3237" s="11" t="s">
        <v>909</v>
      </c>
      <c r="M3237" s="53">
        <v>18</v>
      </c>
      <c r="N3237" s="94">
        <v>640</v>
      </c>
      <c r="O3237" s="94">
        <f>N3237*M3237</f>
        <v>11520</v>
      </c>
      <c r="P3237" s="40" t="s">
        <v>3116</v>
      </c>
      <c r="Q3237" s="40" t="s">
        <v>766</v>
      </c>
      <c r="R3237" s="84">
        <v>314030100</v>
      </c>
      <c r="S3237" s="40">
        <v>100</v>
      </c>
    </row>
    <row r="3238" spans="1:19" s="92" customFormat="1" ht="76.5">
      <c r="A3238" s="5">
        <v>3223</v>
      </c>
      <c r="B3238" s="15" t="s">
        <v>710</v>
      </c>
      <c r="C3238" s="40" t="s">
        <v>711</v>
      </c>
      <c r="D3238" s="40" t="s">
        <v>723</v>
      </c>
      <c r="E3238" s="31" t="s">
        <v>874</v>
      </c>
      <c r="F3238" s="31" t="s">
        <v>874</v>
      </c>
      <c r="G3238" s="31" t="s">
        <v>875</v>
      </c>
      <c r="H3238" s="40" t="s">
        <v>876</v>
      </c>
      <c r="I3238" s="40" t="s">
        <v>3210</v>
      </c>
      <c r="J3238" s="40" t="s">
        <v>3211</v>
      </c>
      <c r="K3238" s="40" t="s">
        <v>591</v>
      </c>
      <c r="L3238" s="40" t="s">
        <v>644</v>
      </c>
      <c r="M3238" s="93">
        <v>1</v>
      </c>
      <c r="N3238" s="94">
        <v>30000</v>
      </c>
      <c r="O3238" s="94">
        <f>N3238*M3238</f>
        <v>30000</v>
      </c>
      <c r="P3238" s="40" t="s">
        <v>3116</v>
      </c>
      <c r="Q3238" s="40" t="s">
        <v>1051</v>
      </c>
      <c r="R3238" s="84">
        <v>314030100</v>
      </c>
      <c r="S3238" s="40">
        <v>100</v>
      </c>
    </row>
    <row r="3239" spans="1:19" s="92" customFormat="1" ht="89.25">
      <c r="A3239" s="5">
        <v>3224</v>
      </c>
      <c r="B3239" s="15" t="s">
        <v>710</v>
      </c>
      <c r="C3239" s="40" t="s">
        <v>597</v>
      </c>
      <c r="D3239" s="40" t="s">
        <v>598</v>
      </c>
      <c r="E3239" s="31" t="s">
        <v>599</v>
      </c>
      <c r="F3239" s="31" t="s">
        <v>782</v>
      </c>
      <c r="G3239" s="31" t="s">
        <v>3195</v>
      </c>
      <c r="H3239" s="40" t="s">
        <v>602</v>
      </c>
      <c r="I3239" s="40" t="s">
        <v>3196</v>
      </c>
      <c r="J3239" s="40" t="s">
        <v>3197</v>
      </c>
      <c r="K3239" s="40" t="s">
        <v>591</v>
      </c>
      <c r="L3239" s="11" t="s">
        <v>914</v>
      </c>
      <c r="M3239" s="93">
        <v>1</v>
      </c>
      <c r="N3239" s="94">
        <v>624400</v>
      </c>
      <c r="O3239" s="94">
        <v>624400</v>
      </c>
      <c r="P3239" s="40" t="s">
        <v>502</v>
      </c>
      <c r="Q3239" s="40" t="s">
        <v>766</v>
      </c>
      <c r="R3239" s="84">
        <v>314230100</v>
      </c>
      <c r="S3239" s="40">
        <v>0</v>
      </c>
    </row>
    <row r="3240" spans="1:19" s="92" customFormat="1" ht="89.25">
      <c r="A3240" s="5">
        <v>3225</v>
      </c>
      <c r="B3240" s="15" t="s">
        <v>710</v>
      </c>
      <c r="C3240" s="40" t="s">
        <v>597</v>
      </c>
      <c r="D3240" s="40" t="s">
        <v>598</v>
      </c>
      <c r="E3240" s="31" t="s">
        <v>599</v>
      </c>
      <c r="F3240" s="31" t="s">
        <v>782</v>
      </c>
      <c r="G3240" s="31" t="s">
        <v>3195</v>
      </c>
      <c r="H3240" s="40" t="s">
        <v>602</v>
      </c>
      <c r="I3240" s="40" t="s">
        <v>3196</v>
      </c>
      <c r="J3240" s="40" t="s">
        <v>3197</v>
      </c>
      <c r="K3240" s="40" t="s">
        <v>591</v>
      </c>
      <c r="L3240" s="11" t="s">
        <v>914</v>
      </c>
      <c r="M3240" s="93">
        <v>1</v>
      </c>
      <c r="N3240" s="94">
        <v>624400</v>
      </c>
      <c r="O3240" s="94">
        <v>624400</v>
      </c>
      <c r="P3240" s="40" t="s">
        <v>502</v>
      </c>
      <c r="Q3240" s="40" t="s">
        <v>766</v>
      </c>
      <c r="R3240" s="84">
        <v>314230100</v>
      </c>
      <c r="S3240" s="40">
        <v>0</v>
      </c>
    </row>
    <row r="3241" spans="1:19" s="92" customFormat="1" ht="51">
      <c r="A3241" s="5">
        <v>3226</v>
      </c>
      <c r="B3241" s="15" t="s">
        <v>710</v>
      </c>
      <c r="C3241" s="40" t="s">
        <v>597</v>
      </c>
      <c r="D3241" s="11" t="s">
        <v>850</v>
      </c>
      <c r="E3241" s="76" t="s">
        <v>1736</v>
      </c>
      <c r="F3241" s="76" t="s">
        <v>851</v>
      </c>
      <c r="G3241" s="76" t="s">
        <v>1737</v>
      </c>
      <c r="H3241" s="76" t="s">
        <v>852</v>
      </c>
      <c r="I3241" s="76" t="s">
        <v>3199</v>
      </c>
      <c r="J3241" s="76" t="s">
        <v>3200</v>
      </c>
      <c r="K3241" s="40" t="s">
        <v>591</v>
      </c>
      <c r="L3241" s="11" t="s">
        <v>914</v>
      </c>
      <c r="M3241" s="97">
        <v>1</v>
      </c>
      <c r="N3241" s="94">
        <f>10000*5</f>
        <v>50000</v>
      </c>
      <c r="O3241" s="94">
        <f>N3241</f>
        <v>50000</v>
      </c>
      <c r="P3241" s="40" t="s">
        <v>698</v>
      </c>
      <c r="Q3241" s="40" t="s">
        <v>766</v>
      </c>
      <c r="R3241" s="84">
        <v>314230100</v>
      </c>
      <c r="S3241" s="40">
        <v>0</v>
      </c>
    </row>
    <row r="3242" spans="1:19" s="92" customFormat="1" ht="51">
      <c r="A3242" s="5">
        <v>3227</v>
      </c>
      <c r="B3242" s="15" t="s">
        <v>710</v>
      </c>
      <c r="C3242" s="40" t="s">
        <v>597</v>
      </c>
      <c r="D3242" s="40" t="s">
        <v>2594</v>
      </c>
      <c r="E3242" s="31" t="s">
        <v>2618</v>
      </c>
      <c r="F3242" s="31" t="s">
        <v>2595</v>
      </c>
      <c r="G3242" s="31" t="s">
        <v>2618</v>
      </c>
      <c r="H3242" s="40" t="s">
        <v>2595</v>
      </c>
      <c r="I3242" s="40" t="s">
        <v>3201</v>
      </c>
      <c r="J3242" s="40" t="s">
        <v>3202</v>
      </c>
      <c r="K3242" s="40" t="s">
        <v>591</v>
      </c>
      <c r="L3242" s="11" t="s">
        <v>914</v>
      </c>
      <c r="M3242" s="93">
        <v>1</v>
      </c>
      <c r="N3242" s="94">
        <f>10500*3</f>
        <v>31500</v>
      </c>
      <c r="O3242" s="94">
        <f>N3242</f>
        <v>31500</v>
      </c>
      <c r="P3242" s="40" t="s">
        <v>3116</v>
      </c>
      <c r="Q3242" s="40" t="s">
        <v>766</v>
      </c>
      <c r="R3242" s="84">
        <v>314230100</v>
      </c>
      <c r="S3242" s="40">
        <v>30</v>
      </c>
    </row>
    <row r="3243" spans="1:19" s="92" customFormat="1" ht="89.25">
      <c r="A3243" s="5">
        <v>3228</v>
      </c>
      <c r="B3243" s="15" t="s">
        <v>710</v>
      </c>
      <c r="C3243" s="40" t="s">
        <v>711</v>
      </c>
      <c r="D3243" s="40" t="s">
        <v>976</v>
      </c>
      <c r="E3243" s="31" t="s">
        <v>730</v>
      </c>
      <c r="F3243" s="31" t="s">
        <v>731</v>
      </c>
      <c r="G3243" s="31" t="s">
        <v>977</v>
      </c>
      <c r="H3243" s="40" t="s">
        <v>978</v>
      </c>
      <c r="I3243" s="40" t="s">
        <v>3203</v>
      </c>
      <c r="J3243" s="40" t="s">
        <v>3204</v>
      </c>
      <c r="K3243" s="40" t="s">
        <v>591</v>
      </c>
      <c r="L3243" s="40" t="s">
        <v>644</v>
      </c>
      <c r="M3243" s="93">
        <v>2</v>
      </c>
      <c r="N3243" s="94">
        <v>26800</v>
      </c>
      <c r="O3243" s="94">
        <f>N3243*M3243</f>
        <v>53600</v>
      </c>
      <c r="P3243" s="40" t="s">
        <v>3116</v>
      </c>
      <c r="Q3243" s="40" t="s">
        <v>1051</v>
      </c>
      <c r="R3243" s="84">
        <v>314230100</v>
      </c>
      <c r="S3243" s="40">
        <v>100</v>
      </c>
    </row>
    <row r="3244" spans="1:19" s="92" customFormat="1" ht="63.75">
      <c r="A3244" s="5">
        <v>3229</v>
      </c>
      <c r="B3244" s="15" t="s">
        <v>710</v>
      </c>
      <c r="C3244" s="40" t="s">
        <v>711</v>
      </c>
      <c r="D3244" s="40" t="s">
        <v>744</v>
      </c>
      <c r="E3244" s="31" t="s">
        <v>745</v>
      </c>
      <c r="F3244" s="31" t="s">
        <v>109</v>
      </c>
      <c r="G3244" s="31" t="s">
        <v>746</v>
      </c>
      <c r="H3244" s="40" t="s">
        <v>3205</v>
      </c>
      <c r="I3244" s="40" t="s">
        <v>3206</v>
      </c>
      <c r="J3244" s="40" t="s">
        <v>3207</v>
      </c>
      <c r="K3244" s="40" t="s">
        <v>591</v>
      </c>
      <c r="L3244" s="40" t="s">
        <v>644</v>
      </c>
      <c r="M3244" s="93">
        <v>6</v>
      </c>
      <c r="N3244" s="94">
        <v>4000</v>
      </c>
      <c r="O3244" s="94">
        <f>M3244*N3244</f>
        <v>24000</v>
      </c>
      <c r="P3244" s="40" t="s">
        <v>3116</v>
      </c>
      <c r="Q3244" s="40" t="s">
        <v>1051</v>
      </c>
      <c r="R3244" s="84">
        <v>314230100</v>
      </c>
      <c r="S3244" s="40">
        <v>100</v>
      </c>
    </row>
    <row r="3245" spans="1:19" s="92" customFormat="1" ht="51">
      <c r="A3245" s="5">
        <v>3230</v>
      </c>
      <c r="B3245" s="15" t="s">
        <v>710</v>
      </c>
      <c r="C3245" s="40" t="s">
        <v>711</v>
      </c>
      <c r="D3245" s="98" t="s">
        <v>422</v>
      </c>
      <c r="E3245" s="76" t="s">
        <v>423</v>
      </c>
      <c r="F3245" s="76" t="s">
        <v>427</v>
      </c>
      <c r="G3245" s="76" t="s">
        <v>837</v>
      </c>
      <c r="H3245" s="76" t="s">
        <v>425</v>
      </c>
      <c r="I3245" s="76" t="s">
        <v>3208</v>
      </c>
      <c r="J3245" s="76" t="s">
        <v>3209</v>
      </c>
      <c r="K3245" s="76" t="s">
        <v>591</v>
      </c>
      <c r="L3245" s="11" t="s">
        <v>909</v>
      </c>
      <c r="M3245" s="53">
        <v>18</v>
      </c>
      <c r="N3245" s="94">
        <v>640</v>
      </c>
      <c r="O3245" s="94">
        <f>N3245*M3245</f>
        <v>11520</v>
      </c>
      <c r="P3245" s="40" t="s">
        <v>3116</v>
      </c>
      <c r="Q3245" s="40" t="s">
        <v>766</v>
      </c>
      <c r="R3245" s="84">
        <v>314230100</v>
      </c>
      <c r="S3245" s="40">
        <v>100</v>
      </c>
    </row>
    <row r="3246" spans="1:19" s="92" customFormat="1" ht="76.5">
      <c r="A3246" s="5">
        <v>3231</v>
      </c>
      <c r="B3246" s="15" t="s">
        <v>710</v>
      </c>
      <c r="C3246" s="40" t="s">
        <v>711</v>
      </c>
      <c r="D3246" s="40" t="s">
        <v>723</v>
      </c>
      <c r="E3246" s="31" t="s">
        <v>874</v>
      </c>
      <c r="F3246" s="31" t="s">
        <v>874</v>
      </c>
      <c r="G3246" s="31" t="s">
        <v>875</v>
      </c>
      <c r="H3246" s="40" t="s">
        <v>876</v>
      </c>
      <c r="I3246" s="40" t="s">
        <v>3210</v>
      </c>
      <c r="J3246" s="40" t="s">
        <v>3211</v>
      </c>
      <c r="K3246" s="40" t="s">
        <v>591</v>
      </c>
      <c r="L3246" s="40" t="s">
        <v>644</v>
      </c>
      <c r="M3246" s="93">
        <v>1</v>
      </c>
      <c r="N3246" s="94">
        <v>30000</v>
      </c>
      <c r="O3246" s="94">
        <f>N3246*M3246</f>
        <v>30000</v>
      </c>
      <c r="P3246" s="40" t="s">
        <v>3116</v>
      </c>
      <c r="Q3246" s="40" t="s">
        <v>1051</v>
      </c>
      <c r="R3246" s="84">
        <v>314230100</v>
      </c>
      <c r="S3246" s="40">
        <v>100</v>
      </c>
    </row>
    <row r="3247" spans="1:19" s="92" customFormat="1" ht="89.25">
      <c r="A3247" s="5">
        <v>3232</v>
      </c>
      <c r="B3247" s="15" t="s">
        <v>710</v>
      </c>
      <c r="C3247" s="40" t="s">
        <v>597</v>
      </c>
      <c r="D3247" s="40" t="s">
        <v>598</v>
      </c>
      <c r="E3247" s="31" t="s">
        <v>599</v>
      </c>
      <c r="F3247" s="31" t="s">
        <v>782</v>
      </c>
      <c r="G3247" s="31" t="s">
        <v>3195</v>
      </c>
      <c r="H3247" s="40" t="s">
        <v>602</v>
      </c>
      <c r="I3247" s="40" t="s">
        <v>3196</v>
      </c>
      <c r="J3247" s="40" t="s">
        <v>3197</v>
      </c>
      <c r="K3247" s="40" t="s">
        <v>591</v>
      </c>
      <c r="L3247" s="11" t="s">
        <v>914</v>
      </c>
      <c r="M3247" s="93">
        <v>1</v>
      </c>
      <c r="N3247" s="94">
        <v>624400</v>
      </c>
      <c r="O3247" s="94">
        <v>624400</v>
      </c>
      <c r="P3247" s="40" t="s">
        <v>502</v>
      </c>
      <c r="Q3247" s="40" t="s">
        <v>766</v>
      </c>
      <c r="R3247" s="84">
        <v>314830100</v>
      </c>
      <c r="S3247" s="40">
        <v>0</v>
      </c>
    </row>
    <row r="3248" spans="1:19" s="92" customFormat="1" ht="89.25">
      <c r="A3248" s="5">
        <v>3233</v>
      </c>
      <c r="B3248" s="15" t="s">
        <v>710</v>
      </c>
      <c r="C3248" s="40" t="s">
        <v>597</v>
      </c>
      <c r="D3248" s="40" t="s">
        <v>598</v>
      </c>
      <c r="E3248" s="31" t="s">
        <v>599</v>
      </c>
      <c r="F3248" s="31" t="s">
        <v>782</v>
      </c>
      <c r="G3248" s="31" t="s">
        <v>3195</v>
      </c>
      <c r="H3248" s="40" t="s">
        <v>602</v>
      </c>
      <c r="I3248" s="40" t="s">
        <v>3196</v>
      </c>
      <c r="J3248" s="40" t="s">
        <v>3197</v>
      </c>
      <c r="K3248" s="40" t="s">
        <v>591</v>
      </c>
      <c r="L3248" s="11" t="s">
        <v>914</v>
      </c>
      <c r="M3248" s="93">
        <v>1</v>
      </c>
      <c r="N3248" s="94">
        <v>624400</v>
      </c>
      <c r="O3248" s="94">
        <v>624400</v>
      </c>
      <c r="P3248" s="40" t="s">
        <v>502</v>
      </c>
      <c r="Q3248" s="40" t="s">
        <v>766</v>
      </c>
      <c r="R3248" s="84">
        <v>314830100</v>
      </c>
      <c r="S3248" s="40">
        <v>0</v>
      </c>
    </row>
    <row r="3249" spans="1:19" s="92" customFormat="1" ht="51">
      <c r="A3249" s="5">
        <v>3234</v>
      </c>
      <c r="B3249" s="15" t="s">
        <v>710</v>
      </c>
      <c r="C3249" s="40" t="s">
        <v>597</v>
      </c>
      <c r="D3249" s="11" t="s">
        <v>850</v>
      </c>
      <c r="E3249" s="76" t="s">
        <v>1736</v>
      </c>
      <c r="F3249" s="76" t="s">
        <v>851</v>
      </c>
      <c r="G3249" s="76" t="s">
        <v>1737</v>
      </c>
      <c r="H3249" s="76" t="s">
        <v>852</v>
      </c>
      <c r="I3249" s="76" t="s">
        <v>3199</v>
      </c>
      <c r="J3249" s="76" t="s">
        <v>3200</v>
      </c>
      <c r="K3249" s="40" t="s">
        <v>591</v>
      </c>
      <c r="L3249" s="11" t="s">
        <v>914</v>
      </c>
      <c r="M3249" s="97">
        <v>1</v>
      </c>
      <c r="N3249" s="94">
        <f>10000*5</f>
        <v>50000</v>
      </c>
      <c r="O3249" s="94">
        <f>N3249</f>
        <v>50000</v>
      </c>
      <c r="P3249" s="40" t="s">
        <v>698</v>
      </c>
      <c r="Q3249" s="40" t="s">
        <v>766</v>
      </c>
      <c r="R3249" s="84">
        <v>314830100</v>
      </c>
      <c r="S3249" s="40">
        <v>0</v>
      </c>
    </row>
    <row r="3250" spans="1:19" s="92" customFormat="1" ht="51">
      <c r="A3250" s="5">
        <v>3235</v>
      </c>
      <c r="B3250" s="15" t="s">
        <v>710</v>
      </c>
      <c r="C3250" s="40" t="s">
        <v>597</v>
      </c>
      <c r="D3250" s="40" t="s">
        <v>2594</v>
      </c>
      <c r="E3250" s="31" t="s">
        <v>2618</v>
      </c>
      <c r="F3250" s="31" t="s">
        <v>2595</v>
      </c>
      <c r="G3250" s="31" t="s">
        <v>2618</v>
      </c>
      <c r="H3250" s="40" t="s">
        <v>2595</v>
      </c>
      <c r="I3250" s="40" t="s">
        <v>3201</v>
      </c>
      <c r="J3250" s="40" t="s">
        <v>3202</v>
      </c>
      <c r="K3250" s="40" t="s">
        <v>591</v>
      </c>
      <c r="L3250" s="11" t="s">
        <v>914</v>
      </c>
      <c r="M3250" s="93">
        <v>1</v>
      </c>
      <c r="N3250" s="94">
        <f>10500*3</f>
        <v>31500</v>
      </c>
      <c r="O3250" s="94">
        <f>N3250</f>
        <v>31500</v>
      </c>
      <c r="P3250" s="40" t="s">
        <v>3116</v>
      </c>
      <c r="Q3250" s="40" t="s">
        <v>766</v>
      </c>
      <c r="R3250" s="84">
        <v>314830100</v>
      </c>
      <c r="S3250" s="40">
        <v>30</v>
      </c>
    </row>
    <row r="3251" spans="1:19" s="92" customFormat="1" ht="89.25">
      <c r="A3251" s="5">
        <v>3236</v>
      </c>
      <c r="B3251" s="15" t="s">
        <v>710</v>
      </c>
      <c r="C3251" s="40" t="s">
        <v>711</v>
      </c>
      <c r="D3251" s="40" t="s">
        <v>976</v>
      </c>
      <c r="E3251" s="31" t="s">
        <v>730</v>
      </c>
      <c r="F3251" s="31" t="s">
        <v>731</v>
      </c>
      <c r="G3251" s="31" t="s">
        <v>977</v>
      </c>
      <c r="H3251" s="40" t="s">
        <v>978</v>
      </c>
      <c r="I3251" s="40" t="s">
        <v>3203</v>
      </c>
      <c r="J3251" s="40" t="s">
        <v>3204</v>
      </c>
      <c r="K3251" s="40" t="s">
        <v>591</v>
      </c>
      <c r="L3251" s="40" t="s">
        <v>644</v>
      </c>
      <c r="M3251" s="93">
        <v>2</v>
      </c>
      <c r="N3251" s="94">
        <v>26800</v>
      </c>
      <c r="O3251" s="94">
        <f>N3251*M3251</f>
        <v>53600</v>
      </c>
      <c r="P3251" s="40" t="s">
        <v>3116</v>
      </c>
      <c r="Q3251" s="40" t="s">
        <v>1051</v>
      </c>
      <c r="R3251" s="84">
        <v>314830100</v>
      </c>
      <c r="S3251" s="40">
        <v>100</v>
      </c>
    </row>
    <row r="3252" spans="1:19" s="92" customFormat="1" ht="63.75">
      <c r="A3252" s="5">
        <v>3237</v>
      </c>
      <c r="B3252" s="15" t="s">
        <v>710</v>
      </c>
      <c r="C3252" s="40" t="s">
        <v>711</v>
      </c>
      <c r="D3252" s="40" t="s">
        <v>744</v>
      </c>
      <c r="E3252" s="31" t="s">
        <v>745</v>
      </c>
      <c r="F3252" s="31" t="s">
        <v>109</v>
      </c>
      <c r="G3252" s="31" t="s">
        <v>746</v>
      </c>
      <c r="H3252" s="40" t="s">
        <v>3205</v>
      </c>
      <c r="I3252" s="40" t="s">
        <v>3206</v>
      </c>
      <c r="J3252" s="40" t="s">
        <v>3207</v>
      </c>
      <c r="K3252" s="40" t="s">
        <v>591</v>
      </c>
      <c r="L3252" s="40" t="s">
        <v>644</v>
      </c>
      <c r="M3252" s="93">
        <v>6</v>
      </c>
      <c r="N3252" s="94">
        <v>4000</v>
      </c>
      <c r="O3252" s="94">
        <f>M3252*N3252</f>
        <v>24000</v>
      </c>
      <c r="P3252" s="40" t="s">
        <v>3116</v>
      </c>
      <c r="Q3252" s="40" t="s">
        <v>1051</v>
      </c>
      <c r="R3252" s="84">
        <v>314830100</v>
      </c>
      <c r="S3252" s="40">
        <v>100</v>
      </c>
    </row>
    <row r="3253" spans="1:19" s="92" customFormat="1" ht="51">
      <c r="A3253" s="5">
        <v>3238</v>
      </c>
      <c r="B3253" s="15" t="s">
        <v>710</v>
      </c>
      <c r="C3253" s="40" t="s">
        <v>711</v>
      </c>
      <c r="D3253" s="98" t="s">
        <v>422</v>
      </c>
      <c r="E3253" s="76" t="s">
        <v>423</v>
      </c>
      <c r="F3253" s="76" t="s">
        <v>427</v>
      </c>
      <c r="G3253" s="76" t="s">
        <v>837</v>
      </c>
      <c r="H3253" s="76" t="s">
        <v>425</v>
      </c>
      <c r="I3253" s="76" t="s">
        <v>3208</v>
      </c>
      <c r="J3253" s="76" t="s">
        <v>3209</v>
      </c>
      <c r="K3253" s="76" t="s">
        <v>591</v>
      </c>
      <c r="L3253" s="11" t="s">
        <v>909</v>
      </c>
      <c r="M3253" s="53">
        <v>18</v>
      </c>
      <c r="N3253" s="94">
        <v>640</v>
      </c>
      <c r="O3253" s="94">
        <f>N3253*M3253</f>
        <v>11520</v>
      </c>
      <c r="P3253" s="40" t="s">
        <v>3116</v>
      </c>
      <c r="Q3253" s="40" t="s">
        <v>766</v>
      </c>
      <c r="R3253" s="84">
        <v>314830100</v>
      </c>
      <c r="S3253" s="40">
        <v>100</v>
      </c>
    </row>
    <row r="3254" spans="1:19" s="92" customFormat="1" ht="76.5">
      <c r="A3254" s="5">
        <v>3239</v>
      </c>
      <c r="B3254" s="15" t="s">
        <v>710</v>
      </c>
      <c r="C3254" s="40" t="s">
        <v>711</v>
      </c>
      <c r="D3254" s="40" t="s">
        <v>723</v>
      </c>
      <c r="E3254" s="31" t="s">
        <v>874</v>
      </c>
      <c r="F3254" s="31" t="s">
        <v>874</v>
      </c>
      <c r="G3254" s="31" t="s">
        <v>875</v>
      </c>
      <c r="H3254" s="40" t="s">
        <v>876</v>
      </c>
      <c r="I3254" s="40" t="s">
        <v>3210</v>
      </c>
      <c r="J3254" s="40" t="s">
        <v>3211</v>
      </c>
      <c r="K3254" s="40" t="s">
        <v>591</v>
      </c>
      <c r="L3254" s="40" t="s">
        <v>644</v>
      </c>
      <c r="M3254" s="93">
        <v>1</v>
      </c>
      <c r="N3254" s="94">
        <v>30000</v>
      </c>
      <c r="O3254" s="94">
        <f>N3254*M3254</f>
        <v>30000</v>
      </c>
      <c r="P3254" s="40" t="s">
        <v>3116</v>
      </c>
      <c r="Q3254" s="40" t="s">
        <v>1051</v>
      </c>
      <c r="R3254" s="84">
        <v>314830100</v>
      </c>
      <c r="S3254" s="40">
        <v>100</v>
      </c>
    </row>
    <row r="3255" spans="1:19" s="92" customFormat="1" ht="89.25">
      <c r="A3255" s="5">
        <v>3240</v>
      </c>
      <c r="B3255" s="15" t="s">
        <v>710</v>
      </c>
      <c r="C3255" s="40" t="s">
        <v>597</v>
      </c>
      <c r="D3255" s="40" t="s">
        <v>598</v>
      </c>
      <c r="E3255" s="31" t="s">
        <v>599</v>
      </c>
      <c r="F3255" s="31" t="s">
        <v>782</v>
      </c>
      <c r="G3255" s="31" t="s">
        <v>3195</v>
      </c>
      <c r="H3255" s="40" t="s">
        <v>602</v>
      </c>
      <c r="I3255" s="40" t="s">
        <v>3196</v>
      </c>
      <c r="J3255" s="40" t="s">
        <v>3197</v>
      </c>
      <c r="K3255" s="40" t="s">
        <v>591</v>
      </c>
      <c r="L3255" s="11" t="s">
        <v>914</v>
      </c>
      <c r="M3255" s="93">
        <v>1</v>
      </c>
      <c r="N3255" s="94">
        <v>624400</v>
      </c>
      <c r="O3255" s="94">
        <v>624400</v>
      </c>
      <c r="P3255" s="40" t="s">
        <v>502</v>
      </c>
      <c r="Q3255" s="40" t="s">
        <v>766</v>
      </c>
      <c r="R3255" s="84">
        <v>315430100</v>
      </c>
      <c r="S3255" s="40">
        <v>0</v>
      </c>
    </row>
    <row r="3256" spans="1:19" s="92" customFormat="1" ht="89.25">
      <c r="A3256" s="5">
        <v>3241</v>
      </c>
      <c r="B3256" s="15" t="s">
        <v>710</v>
      </c>
      <c r="C3256" s="40" t="s">
        <v>597</v>
      </c>
      <c r="D3256" s="40" t="s">
        <v>598</v>
      </c>
      <c r="E3256" s="31" t="s">
        <v>599</v>
      </c>
      <c r="F3256" s="31" t="s">
        <v>782</v>
      </c>
      <c r="G3256" s="31" t="s">
        <v>3195</v>
      </c>
      <c r="H3256" s="40" t="s">
        <v>602</v>
      </c>
      <c r="I3256" s="40" t="s">
        <v>3196</v>
      </c>
      <c r="J3256" s="40" t="s">
        <v>3197</v>
      </c>
      <c r="K3256" s="40" t="s">
        <v>591</v>
      </c>
      <c r="L3256" s="11" t="s">
        <v>914</v>
      </c>
      <c r="M3256" s="93">
        <v>1</v>
      </c>
      <c r="N3256" s="94">
        <v>624400</v>
      </c>
      <c r="O3256" s="94">
        <v>624400</v>
      </c>
      <c r="P3256" s="40" t="s">
        <v>502</v>
      </c>
      <c r="Q3256" s="40" t="s">
        <v>766</v>
      </c>
      <c r="R3256" s="84">
        <v>315430100</v>
      </c>
      <c r="S3256" s="40">
        <v>0</v>
      </c>
    </row>
    <row r="3257" spans="1:19" s="92" customFormat="1" ht="51">
      <c r="A3257" s="5">
        <v>3242</v>
      </c>
      <c r="B3257" s="15" t="s">
        <v>710</v>
      </c>
      <c r="C3257" s="40" t="s">
        <v>597</v>
      </c>
      <c r="D3257" s="11" t="s">
        <v>850</v>
      </c>
      <c r="E3257" s="76" t="s">
        <v>1736</v>
      </c>
      <c r="F3257" s="76" t="s">
        <v>851</v>
      </c>
      <c r="G3257" s="76" t="s">
        <v>1737</v>
      </c>
      <c r="H3257" s="76" t="s">
        <v>852</v>
      </c>
      <c r="I3257" s="76" t="s">
        <v>3199</v>
      </c>
      <c r="J3257" s="76" t="s">
        <v>3200</v>
      </c>
      <c r="K3257" s="40" t="s">
        <v>591</v>
      </c>
      <c r="L3257" s="11" t="s">
        <v>914</v>
      </c>
      <c r="M3257" s="97">
        <v>1</v>
      </c>
      <c r="N3257" s="94">
        <f>10000*5</f>
        <v>50000</v>
      </c>
      <c r="O3257" s="94">
        <f>N3257</f>
        <v>50000</v>
      </c>
      <c r="P3257" s="40" t="s">
        <v>698</v>
      </c>
      <c r="Q3257" s="40" t="s">
        <v>766</v>
      </c>
      <c r="R3257" s="84">
        <v>315430100</v>
      </c>
      <c r="S3257" s="40">
        <v>0</v>
      </c>
    </row>
    <row r="3258" spans="1:19" s="92" customFormat="1" ht="51">
      <c r="A3258" s="5">
        <v>3243</v>
      </c>
      <c r="B3258" s="15" t="s">
        <v>710</v>
      </c>
      <c r="C3258" s="40" t="s">
        <v>597</v>
      </c>
      <c r="D3258" s="40" t="s">
        <v>2594</v>
      </c>
      <c r="E3258" s="31" t="s">
        <v>2618</v>
      </c>
      <c r="F3258" s="31" t="s">
        <v>2595</v>
      </c>
      <c r="G3258" s="31" t="s">
        <v>2618</v>
      </c>
      <c r="H3258" s="40" t="s">
        <v>2595</v>
      </c>
      <c r="I3258" s="40" t="s">
        <v>3201</v>
      </c>
      <c r="J3258" s="40" t="s">
        <v>3202</v>
      </c>
      <c r="K3258" s="40" t="s">
        <v>591</v>
      </c>
      <c r="L3258" s="11" t="s">
        <v>914</v>
      </c>
      <c r="M3258" s="93">
        <v>1</v>
      </c>
      <c r="N3258" s="94">
        <f>10500*3</f>
        <v>31500</v>
      </c>
      <c r="O3258" s="94">
        <f>N3258</f>
        <v>31500</v>
      </c>
      <c r="P3258" s="40" t="s">
        <v>3116</v>
      </c>
      <c r="Q3258" s="40" t="s">
        <v>766</v>
      </c>
      <c r="R3258" s="84">
        <v>315430100</v>
      </c>
      <c r="S3258" s="40">
        <v>30</v>
      </c>
    </row>
    <row r="3259" spans="1:19" s="92" customFormat="1" ht="89.25">
      <c r="A3259" s="5">
        <v>3244</v>
      </c>
      <c r="B3259" s="15" t="s">
        <v>710</v>
      </c>
      <c r="C3259" s="40" t="s">
        <v>711</v>
      </c>
      <c r="D3259" s="40" t="s">
        <v>976</v>
      </c>
      <c r="E3259" s="31" t="s">
        <v>730</v>
      </c>
      <c r="F3259" s="31" t="s">
        <v>731</v>
      </c>
      <c r="G3259" s="31" t="s">
        <v>977</v>
      </c>
      <c r="H3259" s="40" t="s">
        <v>978</v>
      </c>
      <c r="I3259" s="40" t="s">
        <v>3203</v>
      </c>
      <c r="J3259" s="40" t="s">
        <v>3204</v>
      </c>
      <c r="K3259" s="40" t="s">
        <v>591</v>
      </c>
      <c r="L3259" s="40" t="s">
        <v>644</v>
      </c>
      <c r="M3259" s="93">
        <v>2</v>
      </c>
      <c r="N3259" s="94">
        <v>26800</v>
      </c>
      <c r="O3259" s="94">
        <f>N3259*M3259</f>
        <v>53600</v>
      </c>
      <c r="P3259" s="40" t="s">
        <v>3116</v>
      </c>
      <c r="Q3259" s="40" t="s">
        <v>1051</v>
      </c>
      <c r="R3259" s="84">
        <v>315430100</v>
      </c>
      <c r="S3259" s="40">
        <v>100</v>
      </c>
    </row>
    <row r="3260" spans="1:19" s="92" customFormat="1" ht="63.75">
      <c r="A3260" s="5">
        <v>3245</v>
      </c>
      <c r="B3260" s="15" t="s">
        <v>710</v>
      </c>
      <c r="C3260" s="40" t="s">
        <v>711</v>
      </c>
      <c r="D3260" s="40" t="s">
        <v>744</v>
      </c>
      <c r="E3260" s="31" t="s">
        <v>745</v>
      </c>
      <c r="F3260" s="31" t="s">
        <v>109</v>
      </c>
      <c r="G3260" s="31" t="s">
        <v>746</v>
      </c>
      <c r="H3260" s="40" t="s">
        <v>3205</v>
      </c>
      <c r="I3260" s="40" t="s">
        <v>3206</v>
      </c>
      <c r="J3260" s="40" t="s">
        <v>3207</v>
      </c>
      <c r="K3260" s="40" t="s">
        <v>591</v>
      </c>
      <c r="L3260" s="40" t="s">
        <v>644</v>
      </c>
      <c r="M3260" s="93">
        <v>6</v>
      </c>
      <c r="N3260" s="94">
        <v>4000</v>
      </c>
      <c r="O3260" s="94">
        <f>M3260*N3260</f>
        <v>24000</v>
      </c>
      <c r="P3260" s="40" t="s">
        <v>3116</v>
      </c>
      <c r="Q3260" s="40" t="s">
        <v>1051</v>
      </c>
      <c r="R3260" s="84">
        <v>315430100</v>
      </c>
      <c r="S3260" s="40">
        <v>100</v>
      </c>
    </row>
    <row r="3261" spans="1:19" s="92" customFormat="1" ht="51">
      <c r="A3261" s="5">
        <v>3246</v>
      </c>
      <c r="B3261" s="15" t="s">
        <v>710</v>
      </c>
      <c r="C3261" s="40" t="s">
        <v>711</v>
      </c>
      <c r="D3261" s="98" t="s">
        <v>422</v>
      </c>
      <c r="E3261" s="76" t="s">
        <v>423</v>
      </c>
      <c r="F3261" s="76" t="s">
        <v>427</v>
      </c>
      <c r="G3261" s="76" t="s">
        <v>837</v>
      </c>
      <c r="H3261" s="76" t="s">
        <v>425</v>
      </c>
      <c r="I3261" s="76" t="s">
        <v>3208</v>
      </c>
      <c r="J3261" s="76" t="s">
        <v>3209</v>
      </c>
      <c r="K3261" s="76" t="s">
        <v>591</v>
      </c>
      <c r="L3261" s="11" t="s">
        <v>909</v>
      </c>
      <c r="M3261" s="53">
        <v>18</v>
      </c>
      <c r="N3261" s="94">
        <v>640</v>
      </c>
      <c r="O3261" s="94">
        <f>N3261*M3261</f>
        <v>11520</v>
      </c>
      <c r="P3261" s="40" t="s">
        <v>3116</v>
      </c>
      <c r="Q3261" s="40" t="s">
        <v>766</v>
      </c>
      <c r="R3261" s="84">
        <v>315430100</v>
      </c>
      <c r="S3261" s="40">
        <v>100</v>
      </c>
    </row>
    <row r="3262" spans="1:19" s="92" customFormat="1" ht="76.5">
      <c r="A3262" s="5">
        <v>3247</v>
      </c>
      <c r="B3262" s="15" t="s">
        <v>710</v>
      </c>
      <c r="C3262" s="40" t="s">
        <v>711</v>
      </c>
      <c r="D3262" s="40" t="s">
        <v>723</v>
      </c>
      <c r="E3262" s="31" t="s">
        <v>874</v>
      </c>
      <c r="F3262" s="31" t="s">
        <v>874</v>
      </c>
      <c r="G3262" s="31" t="s">
        <v>875</v>
      </c>
      <c r="H3262" s="40" t="s">
        <v>876</v>
      </c>
      <c r="I3262" s="40" t="s">
        <v>3210</v>
      </c>
      <c r="J3262" s="40" t="s">
        <v>3211</v>
      </c>
      <c r="K3262" s="40" t="s">
        <v>591</v>
      </c>
      <c r="L3262" s="40" t="s">
        <v>644</v>
      </c>
      <c r="M3262" s="93">
        <v>1</v>
      </c>
      <c r="N3262" s="94">
        <v>30000</v>
      </c>
      <c r="O3262" s="94">
        <f>N3262*M3262</f>
        <v>30000</v>
      </c>
      <c r="P3262" s="40" t="s">
        <v>3116</v>
      </c>
      <c r="Q3262" s="40" t="s">
        <v>1051</v>
      </c>
      <c r="R3262" s="84">
        <v>315430100</v>
      </c>
      <c r="S3262" s="40">
        <v>100</v>
      </c>
    </row>
    <row r="3263" spans="1:19" s="92" customFormat="1" ht="89.25">
      <c r="A3263" s="5">
        <v>3248</v>
      </c>
      <c r="B3263" s="15" t="s">
        <v>710</v>
      </c>
      <c r="C3263" s="40" t="s">
        <v>597</v>
      </c>
      <c r="D3263" s="40" t="s">
        <v>598</v>
      </c>
      <c r="E3263" s="31" t="s">
        <v>599</v>
      </c>
      <c r="F3263" s="31" t="s">
        <v>782</v>
      </c>
      <c r="G3263" s="31" t="s">
        <v>3195</v>
      </c>
      <c r="H3263" s="40" t="s">
        <v>602</v>
      </c>
      <c r="I3263" s="40" t="s">
        <v>3196</v>
      </c>
      <c r="J3263" s="40" t="s">
        <v>3197</v>
      </c>
      <c r="K3263" s="40" t="s">
        <v>591</v>
      </c>
      <c r="L3263" s="11" t="s">
        <v>914</v>
      </c>
      <c r="M3263" s="93">
        <v>1</v>
      </c>
      <c r="N3263" s="94">
        <v>624400</v>
      </c>
      <c r="O3263" s="94">
        <v>624400</v>
      </c>
      <c r="P3263" s="40" t="s">
        <v>502</v>
      </c>
      <c r="Q3263" s="40" t="s">
        <v>766</v>
      </c>
      <c r="R3263" s="84">
        <v>315630100</v>
      </c>
      <c r="S3263" s="40">
        <v>0</v>
      </c>
    </row>
    <row r="3264" spans="1:19" s="92" customFormat="1" ht="89.25">
      <c r="A3264" s="5">
        <v>3249</v>
      </c>
      <c r="B3264" s="15" t="s">
        <v>710</v>
      </c>
      <c r="C3264" s="40" t="s">
        <v>597</v>
      </c>
      <c r="D3264" s="40" t="s">
        <v>598</v>
      </c>
      <c r="E3264" s="31" t="s">
        <v>599</v>
      </c>
      <c r="F3264" s="31" t="s">
        <v>782</v>
      </c>
      <c r="G3264" s="31" t="s">
        <v>3195</v>
      </c>
      <c r="H3264" s="40" t="s">
        <v>602</v>
      </c>
      <c r="I3264" s="40" t="s">
        <v>3196</v>
      </c>
      <c r="J3264" s="40" t="s">
        <v>3197</v>
      </c>
      <c r="K3264" s="40" t="s">
        <v>591</v>
      </c>
      <c r="L3264" s="11" t="s">
        <v>914</v>
      </c>
      <c r="M3264" s="93">
        <v>1</v>
      </c>
      <c r="N3264" s="94">
        <v>624400</v>
      </c>
      <c r="O3264" s="94">
        <v>624400</v>
      </c>
      <c r="P3264" s="40" t="s">
        <v>502</v>
      </c>
      <c r="Q3264" s="40" t="s">
        <v>766</v>
      </c>
      <c r="R3264" s="84">
        <v>315630100</v>
      </c>
      <c r="S3264" s="40">
        <v>0</v>
      </c>
    </row>
    <row r="3265" spans="1:19" s="92" customFormat="1" ht="51">
      <c r="A3265" s="5">
        <v>3250</v>
      </c>
      <c r="B3265" s="15" t="s">
        <v>710</v>
      </c>
      <c r="C3265" s="40" t="s">
        <v>597</v>
      </c>
      <c r="D3265" s="11" t="s">
        <v>850</v>
      </c>
      <c r="E3265" s="76" t="s">
        <v>1736</v>
      </c>
      <c r="F3265" s="76" t="s">
        <v>851</v>
      </c>
      <c r="G3265" s="76" t="s">
        <v>1737</v>
      </c>
      <c r="H3265" s="76" t="s">
        <v>852</v>
      </c>
      <c r="I3265" s="76" t="s">
        <v>3199</v>
      </c>
      <c r="J3265" s="76" t="s">
        <v>3200</v>
      </c>
      <c r="K3265" s="40" t="s">
        <v>591</v>
      </c>
      <c r="L3265" s="11" t="s">
        <v>914</v>
      </c>
      <c r="M3265" s="97">
        <v>1</v>
      </c>
      <c r="N3265" s="94">
        <f>10000*5</f>
        <v>50000</v>
      </c>
      <c r="O3265" s="94">
        <f>N3265</f>
        <v>50000</v>
      </c>
      <c r="P3265" s="40" t="s">
        <v>698</v>
      </c>
      <c r="Q3265" s="40" t="s">
        <v>766</v>
      </c>
      <c r="R3265" s="84">
        <v>315630100</v>
      </c>
      <c r="S3265" s="40">
        <v>0</v>
      </c>
    </row>
    <row r="3266" spans="1:19" s="92" customFormat="1" ht="51">
      <c r="A3266" s="5">
        <v>3251</v>
      </c>
      <c r="B3266" s="15" t="s">
        <v>710</v>
      </c>
      <c r="C3266" s="40" t="s">
        <v>597</v>
      </c>
      <c r="D3266" s="40" t="s">
        <v>2594</v>
      </c>
      <c r="E3266" s="31" t="s">
        <v>2618</v>
      </c>
      <c r="F3266" s="31" t="s">
        <v>2595</v>
      </c>
      <c r="G3266" s="31" t="s">
        <v>2618</v>
      </c>
      <c r="H3266" s="40" t="s">
        <v>2595</v>
      </c>
      <c r="I3266" s="40" t="s">
        <v>3201</v>
      </c>
      <c r="J3266" s="40" t="s">
        <v>3202</v>
      </c>
      <c r="K3266" s="40" t="s">
        <v>591</v>
      </c>
      <c r="L3266" s="11" t="s">
        <v>914</v>
      </c>
      <c r="M3266" s="93">
        <v>1</v>
      </c>
      <c r="N3266" s="94">
        <f>10500*3</f>
        <v>31500</v>
      </c>
      <c r="O3266" s="94">
        <f>N3266</f>
        <v>31500</v>
      </c>
      <c r="P3266" s="40" t="s">
        <v>3116</v>
      </c>
      <c r="Q3266" s="40" t="s">
        <v>766</v>
      </c>
      <c r="R3266" s="84">
        <v>315630100</v>
      </c>
      <c r="S3266" s="40">
        <v>30</v>
      </c>
    </row>
    <row r="3267" spans="1:19" s="92" customFormat="1" ht="89.25">
      <c r="A3267" s="5">
        <v>3252</v>
      </c>
      <c r="B3267" s="15" t="s">
        <v>710</v>
      </c>
      <c r="C3267" s="40" t="s">
        <v>711</v>
      </c>
      <c r="D3267" s="40" t="s">
        <v>976</v>
      </c>
      <c r="E3267" s="31" t="s">
        <v>730</v>
      </c>
      <c r="F3267" s="31" t="s">
        <v>731</v>
      </c>
      <c r="G3267" s="31" t="s">
        <v>977</v>
      </c>
      <c r="H3267" s="40" t="s">
        <v>978</v>
      </c>
      <c r="I3267" s="40" t="s">
        <v>3203</v>
      </c>
      <c r="J3267" s="40" t="s">
        <v>3204</v>
      </c>
      <c r="K3267" s="40" t="s">
        <v>591</v>
      </c>
      <c r="L3267" s="40" t="s">
        <v>644</v>
      </c>
      <c r="M3267" s="93">
        <v>2</v>
      </c>
      <c r="N3267" s="94">
        <v>26800</v>
      </c>
      <c r="O3267" s="94">
        <f>N3267*M3267</f>
        <v>53600</v>
      </c>
      <c r="P3267" s="40" t="s">
        <v>3116</v>
      </c>
      <c r="Q3267" s="40" t="s">
        <v>1051</v>
      </c>
      <c r="R3267" s="84">
        <v>315630100</v>
      </c>
      <c r="S3267" s="40">
        <v>100</v>
      </c>
    </row>
    <row r="3268" spans="1:19" s="92" customFormat="1" ht="63.75">
      <c r="A3268" s="5">
        <v>3253</v>
      </c>
      <c r="B3268" s="15" t="s">
        <v>710</v>
      </c>
      <c r="C3268" s="40" t="s">
        <v>711</v>
      </c>
      <c r="D3268" s="40" t="s">
        <v>744</v>
      </c>
      <c r="E3268" s="31" t="s">
        <v>745</v>
      </c>
      <c r="F3268" s="31" t="s">
        <v>109</v>
      </c>
      <c r="G3268" s="31" t="s">
        <v>746</v>
      </c>
      <c r="H3268" s="40" t="s">
        <v>3205</v>
      </c>
      <c r="I3268" s="40" t="s">
        <v>3206</v>
      </c>
      <c r="J3268" s="40" t="s">
        <v>3207</v>
      </c>
      <c r="K3268" s="40" t="s">
        <v>591</v>
      </c>
      <c r="L3268" s="40" t="s">
        <v>644</v>
      </c>
      <c r="M3268" s="93">
        <v>6</v>
      </c>
      <c r="N3268" s="94">
        <v>4000</v>
      </c>
      <c r="O3268" s="94">
        <f>M3268*N3268</f>
        <v>24000</v>
      </c>
      <c r="P3268" s="40" t="s">
        <v>3116</v>
      </c>
      <c r="Q3268" s="40" t="s">
        <v>1051</v>
      </c>
      <c r="R3268" s="84">
        <v>315630100</v>
      </c>
      <c r="S3268" s="40">
        <v>100</v>
      </c>
    </row>
    <row r="3269" spans="1:19" s="92" customFormat="1" ht="51">
      <c r="A3269" s="5">
        <v>3254</v>
      </c>
      <c r="B3269" s="15" t="s">
        <v>710</v>
      </c>
      <c r="C3269" s="40" t="s">
        <v>711</v>
      </c>
      <c r="D3269" s="98" t="s">
        <v>422</v>
      </c>
      <c r="E3269" s="76" t="s">
        <v>423</v>
      </c>
      <c r="F3269" s="76" t="s">
        <v>427</v>
      </c>
      <c r="G3269" s="76" t="s">
        <v>837</v>
      </c>
      <c r="H3269" s="76" t="s">
        <v>425</v>
      </c>
      <c r="I3269" s="76" t="s">
        <v>3208</v>
      </c>
      <c r="J3269" s="76" t="s">
        <v>3209</v>
      </c>
      <c r="K3269" s="76" t="s">
        <v>591</v>
      </c>
      <c r="L3269" s="11" t="s">
        <v>909</v>
      </c>
      <c r="M3269" s="53">
        <v>18</v>
      </c>
      <c r="N3269" s="94">
        <v>640</v>
      </c>
      <c r="O3269" s="94">
        <f>N3269*M3269</f>
        <v>11520</v>
      </c>
      <c r="P3269" s="40" t="s">
        <v>3116</v>
      </c>
      <c r="Q3269" s="40" t="s">
        <v>766</v>
      </c>
      <c r="R3269" s="84">
        <v>315630100</v>
      </c>
      <c r="S3269" s="40">
        <v>100</v>
      </c>
    </row>
    <row r="3270" spans="1:19" s="92" customFormat="1" ht="76.5">
      <c r="A3270" s="5">
        <v>3255</v>
      </c>
      <c r="B3270" s="15" t="s">
        <v>710</v>
      </c>
      <c r="C3270" s="40" t="s">
        <v>711</v>
      </c>
      <c r="D3270" s="40" t="s">
        <v>723</v>
      </c>
      <c r="E3270" s="31" t="s">
        <v>874</v>
      </c>
      <c r="F3270" s="31" t="s">
        <v>874</v>
      </c>
      <c r="G3270" s="31" t="s">
        <v>875</v>
      </c>
      <c r="H3270" s="40" t="s">
        <v>876</v>
      </c>
      <c r="I3270" s="40" t="s">
        <v>3210</v>
      </c>
      <c r="J3270" s="40" t="s">
        <v>3211</v>
      </c>
      <c r="K3270" s="40" t="s">
        <v>591</v>
      </c>
      <c r="L3270" s="40" t="s">
        <v>644</v>
      </c>
      <c r="M3270" s="93">
        <v>1</v>
      </c>
      <c r="N3270" s="94">
        <v>30000</v>
      </c>
      <c r="O3270" s="94">
        <f>N3270*M3270</f>
        <v>30000</v>
      </c>
      <c r="P3270" s="40" t="s">
        <v>3116</v>
      </c>
      <c r="Q3270" s="40" t="s">
        <v>1051</v>
      </c>
      <c r="R3270" s="84">
        <v>315630100</v>
      </c>
      <c r="S3270" s="40">
        <v>100</v>
      </c>
    </row>
    <row r="3271" spans="1:19" s="92" customFormat="1" ht="89.25">
      <c r="A3271" s="5">
        <v>3256</v>
      </c>
      <c r="B3271" s="15" t="s">
        <v>710</v>
      </c>
      <c r="C3271" s="40" t="s">
        <v>597</v>
      </c>
      <c r="D3271" s="40" t="s">
        <v>598</v>
      </c>
      <c r="E3271" s="31" t="s">
        <v>599</v>
      </c>
      <c r="F3271" s="31" t="s">
        <v>782</v>
      </c>
      <c r="G3271" s="31" t="s">
        <v>3195</v>
      </c>
      <c r="H3271" s="40" t="s">
        <v>602</v>
      </c>
      <c r="I3271" s="40" t="s">
        <v>3196</v>
      </c>
      <c r="J3271" s="40" t="s">
        <v>3197</v>
      </c>
      <c r="K3271" s="40" t="s">
        <v>591</v>
      </c>
      <c r="L3271" s="11" t="s">
        <v>914</v>
      </c>
      <c r="M3271" s="93">
        <v>1</v>
      </c>
      <c r="N3271" s="94">
        <v>624400</v>
      </c>
      <c r="O3271" s="94">
        <v>624400</v>
      </c>
      <c r="P3271" s="40" t="s">
        <v>502</v>
      </c>
      <c r="Q3271" s="40" t="s">
        <v>766</v>
      </c>
      <c r="R3271" s="84">
        <v>315030100</v>
      </c>
      <c r="S3271" s="40">
        <v>0</v>
      </c>
    </row>
    <row r="3272" spans="1:19" s="92" customFormat="1" ht="89.25">
      <c r="A3272" s="5">
        <v>3257</v>
      </c>
      <c r="B3272" s="15" t="s">
        <v>710</v>
      </c>
      <c r="C3272" s="40" t="s">
        <v>597</v>
      </c>
      <c r="D3272" s="40" t="s">
        <v>598</v>
      </c>
      <c r="E3272" s="31" t="s">
        <v>599</v>
      </c>
      <c r="F3272" s="31" t="s">
        <v>782</v>
      </c>
      <c r="G3272" s="31" t="s">
        <v>3195</v>
      </c>
      <c r="H3272" s="40" t="s">
        <v>602</v>
      </c>
      <c r="I3272" s="40" t="s">
        <v>3196</v>
      </c>
      <c r="J3272" s="40" t="s">
        <v>3197</v>
      </c>
      <c r="K3272" s="40" t="s">
        <v>591</v>
      </c>
      <c r="L3272" s="11" t="s">
        <v>914</v>
      </c>
      <c r="M3272" s="93">
        <v>1</v>
      </c>
      <c r="N3272" s="94">
        <v>624400</v>
      </c>
      <c r="O3272" s="94">
        <v>624400</v>
      </c>
      <c r="P3272" s="40" t="s">
        <v>502</v>
      </c>
      <c r="Q3272" s="40" t="s">
        <v>766</v>
      </c>
      <c r="R3272" s="84">
        <v>315030100</v>
      </c>
      <c r="S3272" s="40">
        <v>0</v>
      </c>
    </row>
    <row r="3273" spans="1:19" s="92" customFormat="1" ht="51">
      <c r="A3273" s="5">
        <v>3258</v>
      </c>
      <c r="B3273" s="15" t="s">
        <v>710</v>
      </c>
      <c r="C3273" s="40" t="s">
        <v>597</v>
      </c>
      <c r="D3273" s="11" t="s">
        <v>850</v>
      </c>
      <c r="E3273" s="76" t="s">
        <v>1736</v>
      </c>
      <c r="F3273" s="76" t="s">
        <v>851</v>
      </c>
      <c r="G3273" s="76" t="s">
        <v>1737</v>
      </c>
      <c r="H3273" s="76" t="s">
        <v>852</v>
      </c>
      <c r="I3273" s="76" t="s">
        <v>3199</v>
      </c>
      <c r="J3273" s="76" t="s">
        <v>3200</v>
      </c>
      <c r="K3273" s="40" t="s">
        <v>591</v>
      </c>
      <c r="L3273" s="11" t="s">
        <v>914</v>
      </c>
      <c r="M3273" s="97">
        <v>1</v>
      </c>
      <c r="N3273" s="94">
        <f>10000*5</f>
        <v>50000</v>
      </c>
      <c r="O3273" s="94">
        <f>N3273</f>
        <v>50000</v>
      </c>
      <c r="P3273" s="40" t="s">
        <v>698</v>
      </c>
      <c r="Q3273" s="40" t="s">
        <v>766</v>
      </c>
      <c r="R3273" s="84">
        <v>315030100</v>
      </c>
      <c r="S3273" s="40">
        <v>0</v>
      </c>
    </row>
    <row r="3274" spans="1:19" s="92" customFormat="1" ht="51">
      <c r="A3274" s="5">
        <v>3259</v>
      </c>
      <c r="B3274" s="15" t="s">
        <v>710</v>
      </c>
      <c r="C3274" s="40" t="s">
        <v>597</v>
      </c>
      <c r="D3274" s="40" t="s">
        <v>2594</v>
      </c>
      <c r="E3274" s="31" t="s">
        <v>2618</v>
      </c>
      <c r="F3274" s="31" t="s">
        <v>2595</v>
      </c>
      <c r="G3274" s="31" t="s">
        <v>2618</v>
      </c>
      <c r="H3274" s="40" t="s">
        <v>2595</v>
      </c>
      <c r="I3274" s="40" t="s">
        <v>3201</v>
      </c>
      <c r="J3274" s="40" t="s">
        <v>3202</v>
      </c>
      <c r="K3274" s="40" t="s">
        <v>591</v>
      </c>
      <c r="L3274" s="11" t="s">
        <v>914</v>
      </c>
      <c r="M3274" s="93">
        <v>1</v>
      </c>
      <c r="N3274" s="94">
        <f>10500*3</f>
        <v>31500</v>
      </c>
      <c r="O3274" s="94">
        <f>N3274</f>
        <v>31500</v>
      </c>
      <c r="P3274" s="40" t="s">
        <v>3116</v>
      </c>
      <c r="Q3274" s="40" t="s">
        <v>766</v>
      </c>
      <c r="R3274" s="84">
        <v>315030100</v>
      </c>
      <c r="S3274" s="40">
        <v>30</v>
      </c>
    </row>
    <row r="3275" spans="1:19" s="92" customFormat="1" ht="89.25">
      <c r="A3275" s="5">
        <v>3260</v>
      </c>
      <c r="B3275" s="15" t="s">
        <v>710</v>
      </c>
      <c r="C3275" s="40" t="s">
        <v>711</v>
      </c>
      <c r="D3275" s="40" t="s">
        <v>976</v>
      </c>
      <c r="E3275" s="31" t="s">
        <v>730</v>
      </c>
      <c r="F3275" s="31" t="s">
        <v>731</v>
      </c>
      <c r="G3275" s="31" t="s">
        <v>977</v>
      </c>
      <c r="H3275" s="40" t="s">
        <v>978</v>
      </c>
      <c r="I3275" s="40" t="s">
        <v>3203</v>
      </c>
      <c r="J3275" s="40" t="s">
        <v>3204</v>
      </c>
      <c r="K3275" s="40" t="s">
        <v>591</v>
      </c>
      <c r="L3275" s="40" t="s">
        <v>644</v>
      </c>
      <c r="M3275" s="93">
        <v>2</v>
      </c>
      <c r="N3275" s="94">
        <v>26800</v>
      </c>
      <c r="O3275" s="94">
        <f>N3275*M3275</f>
        <v>53600</v>
      </c>
      <c r="P3275" s="40" t="s">
        <v>3116</v>
      </c>
      <c r="Q3275" s="40" t="s">
        <v>1051</v>
      </c>
      <c r="R3275" s="84">
        <v>315030100</v>
      </c>
      <c r="S3275" s="40">
        <v>100</v>
      </c>
    </row>
    <row r="3276" spans="1:19" s="92" customFormat="1" ht="63.75">
      <c r="A3276" s="5">
        <v>3261</v>
      </c>
      <c r="B3276" s="15" t="s">
        <v>710</v>
      </c>
      <c r="C3276" s="40" t="s">
        <v>711</v>
      </c>
      <c r="D3276" s="40" t="s">
        <v>744</v>
      </c>
      <c r="E3276" s="31" t="s">
        <v>745</v>
      </c>
      <c r="F3276" s="31" t="s">
        <v>109</v>
      </c>
      <c r="G3276" s="31" t="s">
        <v>746</v>
      </c>
      <c r="H3276" s="40" t="s">
        <v>3205</v>
      </c>
      <c r="I3276" s="40" t="s">
        <v>3206</v>
      </c>
      <c r="J3276" s="40" t="s">
        <v>3207</v>
      </c>
      <c r="K3276" s="40" t="s">
        <v>591</v>
      </c>
      <c r="L3276" s="40" t="s">
        <v>644</v>
      </c>
      <c r="M3276" s="93">
        <v>6</v>
      </c>
      <c r="N3276" s="94">
        <v>4000</v>
      </c>
      <c r="O3276" s="94">
        <f>M3276*N3276</f>
        <v>24000</v>
      </c>
      <c r="P3276" s="40" t="s">
        <v>3116</v>
      </c>
      <c r="Q3276" s="40" t="s">
        <v>1051</v>
      </c>
      <c r="R3276" s="84">
        <v>315030100</v>
      </c>
      <c r="S3276" s="40">
        <v>100</v>
      </c>
    </row>
    <row r="3277" spans="1:19" s="92" customFormat="1" ht="51">
      <c r="A3277" s="5">
        <v>3262</v>
      </c>
      <c r="B3277" s="15" t="s">
        <v>710</v>
      </c>
      <c r="C3277" s="40" t="s">
        <v>711</v>
      </c>
      <c r="D3277" s="98" t="s">
        <v>422</v>
      </c>
      <c r="E3277" s="76" t="s">
        <v>423</v>
      </c>
      <c r="F3277" s="76" t="s">
        <v>427</v>
      </c>
      <c r="G3277" s="76" t="s">
        <v>837</v>
      </c>
      <c r="H3277" s="76" t="s">
        <v>425</v>
      </c>
      <c r="I3277" s="76" t="s">
        <v>3208</v>
      </c>
      <c r="J3277" s="76" t="s">
        <v>3209</v>
      </c>
      <c r="K3277" s="76" t="s">
        <v>591</v>
      </c>
      <c r="L3277" s="11" t="s">
        <v>909</v>
      </c>
      <c r="M3277" s="53">
        <v>18</v>
      </c>
      <c r="N3277" s="94">
        <v>640</v>
      </c>
      <c r="O3277" s="94">
        <f>N3277*M3277</f>
        <v>11520</v>
      </c>
      <c r="P3277" s="40" t="s">
        <v>3116</v>
      </c>
      <c r="Q3277" s="40" t="s">
        <v>766</v>
      </c>
      <c r="R3277" s="84">
        <v>315030100</v>
      </c>
      <c r="S3277" s="40">
        <v>100</v>
      </c>
    </row>
    <row r="3278" spans="1:19" s="92" customFormat="1" ht="76.5">
      <c r="A3278" s="5">
        <v>3263</v>
      </c>
      <c r="B3278" s="15" t="s">
        <v>710</v>
      </c>
      <c r="C3278" s="40" t="s">
        <v>711</v>
      </c>
      <c r="D3278" s="40" t="s">
        <v>723</v>
      </c>
      <c r="E3278" s="31" t="s">
        <v>874</v>
      </c>
      <c r="F3278" s="31" t="s">
        <v>874</v>
      </c>
      <c r="G3278" s="31" t="s">
        <v>875</v>
      </c>
      <c r="H3278" s="40" t="s">
        <v>876</v>
      </c>
      <c r="I3278" s="40" t="s">
        <v>3210</v>
      </c>
      <c r="J3278" s="40" t="s">
        <v>3211</v>
      </c>
      <c r="K3278" s="40" t="s">
        <v>591</v>
      </c>
      <c r="L3278" s="40" t="s">
        <v>644</v>
      </c>
      <c r="M3278" s="93">
        <v>1</v>
      </c>
      <c r="N3278" s="94">
        <v>30000</v>
      </c>
      <c r="O3278" s="94">
        <f>N3278*M3278</f>
        <v>30000</v>
      </c>
      <c r="P3278" s="40" t="s">
        <v>3116</v>
      </c>
      <c r="Q3278" s="40" t="s">
        <v>1051</v>
      </c>
      <c r="R3278" s="84">
        <v>315030100</v>
      </c>
      <c r="S3278" s="40">
        <v>100</v>
      </c>
    </row>
    <row r="3279" spans="1:19" s="92" customFormat="1" ht="89.25">
      <c r="A3279" s="5">
        <v>3264</v>
      </c>
      <c r="B3279" s="15" t="s">
        <v>710</v>
      </c>
      <c r="C3279" s="40" t="s">
        <v>597</v>
      </c>
      <c r="D3279" s="40" t="s">
        <v>598</v>
      </c>
      <c r="E3279" s="31" t="s">
        <v>599</v>
      </c>
      <c r="F3279" s="31" t="s">
        <v>782</v>
      </c>
      <c r="G3279" s="31" t="s">
        <v>3195</v>
      </c>
      <c r="H3279" s="40" t="s">
        <v>602</v>
      </c>
      <c r="I3279" s="40" t="s">
        <v>3196</v>
      </c>
      <c r="J3279" s="40" t="s">
        <v>3197</v>
      </c>
      <c r="K3279" s="40" t="s">
        <v>591</v>
      </c>
      <c r="L3279" s="11" t="s">
        <v>914</v>
      </c>
      <c r="M3279" s="93">
        <v>1</v>
      </c>
      <c r="N3279" s="94">
        <v>624400</v>
      </c>
      <c r="O3279" s="94">
        <v>624400</v>
      </c>
      <c r="P3279" s="40" t="s">
        <v>502</v>
      </c>
      <c r="Q3279" s="40" t="s">
        <v>766</v>
      </c>
      <c r="R3279" s="84">
        <v>316630100</v>
      </c>
      <c r="S3279" s="40">
        <v>0</v>
      </c>
    </row>
    <row r="3280" spans="1:19" s="92" customFormat="1" ht="89.25">
      <c r="A3280" s="5">
        <v>3265</v>
      </c>
      <c r="B3280" s="15" t="s">
        <v>710</v>
      </c>
      <c r="C3280" s="40" t="s">
        <v>597</v>
      </c>
      <c r="D3280" s="40" t="s">
        <v>598</v>
      </c>
      <c r="E3280" s="31" t="s">
        <v>599</v>
      </c>
      <c r="F3280" s="31" t="s">
        <v>782</v>
      </c>
      <c r="G3280" s="31" t="s">
        <v>3195</v>
      </c>
      <c r="H3280" s="40" t="s">
        <v>602</v>
      </c>
      <c r="I3280" s="40" t="s">
        <v>3196</v>
      </c>
      <c r="J3280" s="40" t="s">
        <v>3197</v>
      </c>
      <c r="K3280" s="40" t="s">
        <v>591</v>
      </c>
      <c r="L3280" s="11" t="s">
        <v>914</v>
      </c>
      <c r="M3280" s="93">
        <v>1</v>
      </c>
      <c r="N3280" s="94">
        <v>624400</v>
      </c>
      <c r="O3280" s="94">
        <v>624400</v>
      </c>
      <c r="P3280" s="40" t="s">
        <v>502</v>
      </c>
      <c r="Q3280" s="40" t="s">
        <v>766</v>
      </c>
      <c r="R3280" s="84">
        <v>316630100</v>
      </c>
      <c r="S3280" s="40">
        <v>0</v>
      </c>
    </row>
    <row r="3281" spans="1:19" s="92" customFormat="1" ht="51">
      <c r="A3281" s="5">
        <v>3266</v>
      </c>
      <c r="B3281" s="15" t="s">
        <v>710</v>
      </c>
      <c r="C3281" s="40" t="s">
        <v>597</v>
      </c>
      <c r="D3281" s="11" t="s">
        <v>850</v>
      </c>
      <c r="E3281" s="76" t="s">
        <v>1736</v>
      </c>
      <c r="F3281" s="76" t="s">
        <v>851</v>
      </c>
      <c r="G3281" s="76" t="s">
        <v>1737</v>
      </c>
      <c r="H3281" s="76" t="s">
        <v>852</v>
      </c>
      <c r="I3281" s="76" t="s">
        <v>3199</v>
      </c>
      <c r="J3281" s="76" t="s">
        <v>3200</v>
      </c>
      <c r="K3281" s="40" t="s">
        <v>591</v>
      </c>
      <c r="L3281" s="11" t="s">
        <v>914</v>
      </c>
      <c r="M3281" s="97">
        <v>1</v>
      </c>
      <c r="N3281" s="94">
        <f>10000*5</f>
        <v>50000</v>
      </c>
      <c r="O3281" s="94">
        <f>N3281</f>
        <v>50000</v>
      </c>
      <c r="P3281" s="40" t="s">
        <v>698</v>
      </c>
      <c r="Q3281" s="40" t="s">
        <v>766</v>
      </c>
      <c r="R3281" s="84">
        <v>316630100</v>
      </c>
      <c r="S3281" s="40">
        <v>0</v>
      </c>
    </row>
    <row r="3282" spans="1:19" s="92" customFormat="1" ht="51">
      <c r="A3282" s="5">
        <v>3267</v>
      </c>
      <c r="B3282" s="15" t="s">
        <v>710</v>
      </c>
      <c r="C3282" s="40" t="s">
        <v>597</v>
      </c>
      <c r="D3282" s="40" t="s">
        <v>2594</v>
      </c>
      <c r="E3282" s="31" t="s">
        <v>2618</v>
      </c>
      <c r="F3282" s="31" t="s">
        <v>2595</v>
      </c>
      <c r="G3282" s="31" t="s">
        <v>2618</v>
      </c>
      <c r="H3282" s="40" t="s">
        <v>2595</v>
      </c>
      <c r="I3282" s="40" t="s">
        <v>3201</v>
      </c>
      <c r="J3282" s="40" t="s">
        <v>3202</v>
      </c>
      <c r="K3282" s="40" t="s">
        <v>591</v>
      </c>
      <c r="L3282" s="11" t="s">
        <v>914</v>
      </c>
      <c r="M3282" s="93">
        <v>1</v>
      </c>
      <c r="N3282" s="94">
        <f>10500*3</f>
        <v>31500</v>
      </c>
      <c r="O3282" s="94">
        <f>N3282</f>
        <v>31500</v>
      </c>
      <c r="P3282" s="40" t="s">
        <v>3116</v>
      </c>
      <c r="Q3282" s="40" t="s">
        <v>766</v>
      </c>
      <c r="R3282" s="84">
        <v>316630100</v>
      </c>
      <c r="S3282" s="40">
        <v>30</v>
      </c>
    </row>
    <row r="3283" spans="1:19" s="92" customFormat="1" ht="89.25">
      <c r="A3283" s="5">
        <v>3268</v>
      </c>
      <c r="B3283" s="15" t="s">
        <v>710</v>
      </c>
      <c r="C3283" s="40" t="s">
        <v>711</v>
      </c>
      <c r="D3283" s="40" t="s">
        <v>976</v>
      </c>
      <c r="E3283" s="31" t="s">
        <v>730</v>
      </c>
      <c r="F3283" s="31" t="s">
        <v>731</v>
      </c>
      <c r="G3283" s="31" t="s">
        <v>977</v>
      </c>
      <c r="H3283" s="40" t="s">
        <v>978</v>
      </c>
      <c r="I3283" s="40" t="s">
        <v>3203</v>
      </c>
      <c r="J3283" s="40" t="s">
        <v>3204</v>
      </c>
      <c r="K3283" s="40" t="s">
        <v>591</v>
      </c>
      <c r="L3283" s="40" t="s">
        <v>644</v>
      </c>
      <c r="M3283" s="93">
        <v>2</v>
      </c>
      <c r="N3283" s="94">
        <v>26800</v>
      </c>
      <c r="O3283" s="94">
        <f>N3283*M3283</f>
        <v>53600</v>
      </c>
      <c r="P3283" s="40" t="s">
        <v>3116</v>
      </c>
      <c r="Q3283" s="40" t="s">
        <v>1051</v>
      </c>
      <c r="R3283" s="84">
        <v>316630100</v>
      </c>
      <c r="S3283" s="40">
        <v>100</v>
      </c>
    </row>
    <row r="3284" spans="1:19" s="92" customFormat="1" ht="63.75">
      <c r="A3284" s="5">
        <v>3269</v>
      </c>
      <c r="B3284" s="15" t="s">
        <v>710</v>
      </c>
      <c r="C3284" s="40" t="s">
        <v>711</v>
      </c>
      <c r="D3284" s="40" t="s">
        <v>744</v>
      </c>
      <c r="E3284" s="31" t="s">
        <v>745</v>
      </c>
      <c r="F3284" s="31" t="s">
        <v>109</v>
      </c>
      <c r="G3284" s="31" t="s">
        <v>746</v>
      </c>
      <c r="H3284" s="40" t="s">
        <v>3205</v>
      </c>
      <c r="I3284" s="40" t="s">
        <v>3206</v>
      </c>
      <c r="J3284" s="40" t="s">
        <v>3207</v>
      </c>
      <c r="K3284" s="40" t="s">
        <v>591</v>
      </c>
      <c r="L3284" s="40" t="s">
        <v>644</v>
      </c>
      <c r="M3284" s="93">
        <v>6</v>
      </c>
      <c r="N3284" s="94">
        <v>4000</v>
      </c>
      <c r="O3284" s="94">
        <f>M3284*N3284</f>
        <v>24000</v>
      </c>
      <c r="P3284" s="40" t="s">
        <v>3116</v>
      </c>
      <c r="Q3284" s="40" t="s">
        <v>1051</v>
      </c>
      <c r="R3284" s="84">
        <v>316630100</v>
      </c>
      <c r="S3284" s="40">
        <v>100</v>
      </c>
    </row>
    <row r="3285" spans="1:19" s="92" customFormat="1" ht="51">
      <c r="A3285" s="5">
        <v>3270</v>
      </c>
      <c r="B3285" s="15" t="s">
        <v>710</v>
      </c>
      <c r="C3285" s="40" t="s">
        <v>711</v>
      </c>
      <c r="D3285" s="98" t="s">
        <v>422</v>
      </c>
      <c r="E3285" s="76" t="s">
        <v>423</v>
      </c>
      <c r="F3285" s="76" t="s">
        <v>427</v>
      </c>
      <c r="G3285" s="76" t="s">
        <v>837</v>
      </c>
      <c r="H3285" s="76" t="s">
        <v>425</v>
      </c>
      <c r="I3285" s="76" t="s">
        <v>3208</v>
      </c>
      <c r="J3285" s="76" t="s">
        <v>3209</v>
      </c>
      <c r="K3285" s="76" t="s">
        <v>591</v>
      </c>
      <c r="L3285" s="11" t="s">
        <v>909</v>
      </c>
      <c r="M3285" s="53">
        <v>18</v>
      </c>
      <c r="N3285" s="94">
        <v>640</v>
      </c>
      <c r="O3285" s="94">
        <f>N3285*M3285</f>
        <v>11520</v>
      </c>
      <c r="P3285" s="40" t="s">
        <v>3116</v>
      </c>
      <c r="Q3285" s="40" t="s">
        <v>766</v>
      </c>
      <c r="R3285" s="84">
        <v>316630100</v>
      </c>
      <c r="S3285" s="40">
        <v>100</v>
      </c>
    </row>
    <row r="3286" spans="1:19" s="92" customFormat="1" ht="76.5">
      <c r="A3286" s="5">
        <v>3271</v>
      </c>
      <c r="B3286" s="15" t="s">
        <v>710</v>
      </c>
      <c r="C3286" s="40" t="s">
        <v>711</v>
      </c>
      <c r="D3286" s="40" t="s">
        <v>723</v>
      </c>
      <c r="E3286" s="31" t="s">
        <v>874</v>
      </c>
      <c r="F3286" s="31" t="s">
        <v>874</v>
      </c>
      <c r="G3286" s="31" t="s">
        <v>875</v>
      </c>
      <c r="H3286" s="40" t="s">
        <v>876</v>
      </c>
      <c r="I3286" s="40" t="s">
        <v>3210</v>
      </c>
      <c r="J3286" s="40" t="s">
        <v>3211</v>
      </c>
      <c r="K3286" s="40" t="s">
        <v>591</v>
      </c>
      <c r="L3286" s="40" t="s">
        <v>644</v>
      </c>
      <c r="M3286" s="93">
        <v>1</v>
      </c>
      <c r="N3286" s="94">
        <v>30000</v>
      </c>
      <c r="O3286" s="94">
        <f>N3286*M3286</f>
        <v>30000</v>
      </c>
      <c r="P3286" s="40" t="s">
        <v>3116</v>
      </c>
      <c r="Q3286" s="40" t="s">
        <v>1051</v>
      </c>
      <c r="R3286" s="84">
        <v>316630100</v>
      </c>
      <c r="S3286" s="40">
        <v>100</v>
      </c>
    </row>
    <row r="3287" spans="1:19" s="92" customFormat="1" ht="89.25">
      <c r="A3287" s="5">
        <v>3272</v>
      </c>
      <c r="B3287" s="15" t="s">
        <v>710</v>
      </c>
      <c r="C3287" s="40" t="s">
        <v>597</v>
      </c>
      <c r="D3287" s="40" t="s">
        <v>598</v>
      </c>
      <c r="E3287" s="31" t="s">
        <v>599</v>
      </c>
      <c r="F3287" s="31" t="s">
        <v>782</v>
      </c>
      <c r="G3287" s="31" t="s">
        <v>3195</v>
      </c>
      <c r="H3287" s="40" t="s">
        <v>602</v>
      </c>
      <c r="I3287" s="40" t="s">
        <v>3196</v>
      </c>
      <c r="J3287" s="40" t="s">
        <v>3197</v>
      </c>
      <c r="K3287" s="40" t="s">
        <v>591</v>
      </c>
      <c r="L3287" s="11" t="s">
        <v>914</v>
      </c>
      <c r="M3287" s="93">
        <v>1</v>
      </c>
      <c r="N3287" s="94">
        <v>624400</v>
      </c>
      <c r="O3287" s="94">
        <v>624400</v>
      </c>
      <c r="P3287" s="40" t="s">
        <v>502</v>
      </c>
      <c r="Q3287" s="40" t="s">
        <v>766</v>
      </c>
      <c r="R3287" s="84">
        <v>316621100</v>
      </c>
      <c r="S3287" s="40">
        <v>0</v>
      </c>
    </row>
    <row r="3288" spans="1:19" s="92" customFormat="1" ht="89.25">
      <c r="A3288" s="5">
        <v>3273</v>
      </c>
      <c r="B3288" s="15" t="s">
        <v>710</v>
      </c>
      <c r="C3288" s="40" t="s">
        <v>597</v>
      </c>
      <c r="D3288" s="40" t="s">
        <v>598</v>
      </c>
      <c r="E3288" s="31" t="s">
        <v>599</v>
      </c>
      <c r="F3288" s="31" t="s">
        <v>782</v>
      </c>
      <c r="G3288" s="31" t="s">
        <v>3195</v>
      </c>
      <c r="H3288" s="40" t="s">
        <v>602</v>
      </c>
      <c r="I3288" s="40" t="s">
        <v>3196</v>
      </c>
      <c r="J3288" s="40" t="s">
        <v>3197</v>
      </c>
      <c r="K3288" s="40" t="s">
        <v>591</v>
      </c>
      <c r="L3288" s="11" t="s">
        <v>914</v>
      </c>
      <c r="M3288" s="93">
        <v>1</v>
      </c>
      <c r="N3288" s="94">
        <v>624400</v>
      </c>
      <c r="O3288" s="94">
        <v>624400</v>
      </c>
      <c r="P3288" s="40" t="s">
        <v>502</v>
      </c>
      <c r="Q3288" s="40" t="s">
        <v>766</v>
      </c>
      <c r="R3288" s="84">
        <v>316621100</v>
      </c>
      <c r="S3288" s="40">
        <v>0</v>
      </c>
    </row>
    <row r="3289" spans="1:19" s="92" customFormat="1" ht="51">
      <c r="A3289" s="5">
        <v>3274</v>
      </c>
      <c r="B3289" s="15" t="s">
        <v>710</v>
      </c>
      <c r="C3289" s="40" t="s">
        <v>597</v>
      </c>
      <c r="D3289" s="11" t="s">
        <v>850</v>
      </c>
      <c r="E3289" s="76" t="s">
        <v>1736</v>
      </c>
      <c r="F3289" s="76" t="s">
        <v>851</v>
      </c>
      <c r="G3289" s="76" t="s">
        <v>1737</v>
      </c>
      <c r="H3289" s="76" t="s">
        <v>852</v>
      </c>
      <c r="I3289" s="76" t="s">
        <v>3199</v>
      </c>
      <c r="J3289" s="76" t="s">
        <v>3200</v>
      </c>
      <c r="K3289" s="40" t="s">
        <v>591</v>
      </c>
      <c r="L3289" s="11" t="s">
        <v>914</v>
      </c>
      <c r="M3289" s="97">
        <v>1</v>
      </c>
      <c r="N3289" s="94">
        <f>10000*5</f>
        <v>50000</v>
      </c>
      <c r="O3289" s="94">
        <f>N3289</f>
        <v>50000</v>
      </c>
      <c r="P3289" s="40" t="s">
        <v>698</v>
      </c>
      <c r="Q3289" s="40" t="s">
        <v>766</v>
      </c>
      <c r="R3289" s="84">
        <v>316621100</v>
      </c>
      <c r="S3289" s="40">
        <v>0</v>
      </c>
    </row>
    <row r="3290" spans="1:19" s="92" customFormat="1" ht="51">
      <c r="A3290" s="5">
        <v>3275</v>
      </c>
      <c r="B3290" s="15" t="s">
        <v>710</v>
      </c>
      <c r="C3290" s="40" t="s">
        <v>597</v>
      </c>
      <c r="D3290" s="40" t="s">
        <v>2594</v>
      </c>
      <c r="E3290" s="31" t="s">
        <v>2618</v>
      </c>
      <c r="F3290" s="31" t="s">
        <v>2595</v>
      </c>
      <c r="G3290" s="31" t="s">
        <v>2618</v>
      </c>
      <c r="H3290" s="40" t="s">
        <v>2595</v>
      </c>
      <c r="I3290" s="40" t="s">
        <v>3201</v>
      </c>
      <c r="J3290" s="40" t="s">
        <v>3202</v>
      </c>
      <c r="K3290" s="40" t="s">
        <v>591</v>
      </c>
      <c r="L3290" s="11" t="s">
        <v>914</v>
      </c>
      <c r="M3290" s="93">
        <v>1</v>
      </c>
      <c r="N3290" s="94">
        <f>10500*3</f>
        <v>31500</v>
      </c>
      <c r="O3290" s="94">
        <f>N3290</f>
        <v>31500</v>
      </c>
      <c r="P3290" s="40" t="s">
        <v>3116</v>
      </c>
      <c r="Q3290" s="40" t="s">
        <v>766</v>
      </c>
      <c r="R3290" s="84">
        <v>316621100</v>
      </c>
      <c r="S3290" s="40">
        <v>30</v>
      </c>
    </row>
    <row r="3291" spans="1:19" s="92" customFormat="1" ht="89.25">
      <c r="A3291" s="5">
        <v>3276</v>
      </c>
      <c r="B3291" s="15" t="s">
        <v>710</v>
      </c>
      <c r="C3291" s="40" t="s">
        <v>711</v>
      </c>
      <c r="D3291" s="40" t="s">
        <v>976</v>
      </c>
      <c r="E3291" s="31" t="s">
        <v>730</v>
      </c>
      <c r="F3291" s="31" t="s">
        <v>731</v>
      </c>
      <c r="G3291" s="31" t="s">
        <v>977</v>
      </c>
      <c r="H3291" s="40" t="s">
        <v>978</v>
      </c>
      <c r="I3291" s="40" t="s">
        <v>3203</v>
      </c>
      <c r="J3291" s="40" t="s">
        <v>3204</v>
      </c>
      <c r="K3291" s="40" t="s">
        <v>591</v>
      </c>
      <c r="L3291" s="40" t="s">
        <v>644</v>
      </c>
      <c r="M3291" s="93">
        <v>2</v>
      </c>
      <c r="N3291" s="94">
        <v>26800</v>
      </c>
      <c r="O3291" s="94">
        <f>N3291*M3291</f>
        <v>53600</v>
      </c>
      <c r="P3291" s="40" t="s">
        <v>3116</v>
      </c>
      <c r="Q3291" s="40" t="s">
        <v>1051</v>
      </c>
      <c r="R3291" s="84">
        <v>316621100</v>
      </c>
      <c r="S3291" s="40">
        <v>100</v>
      </c>
    </row>
    <row r="3292" spans="1:19" s="92" customFormat="1" ht="63.75">
      <c r="A3292" s="5">
        <v>3277</v>
      </c>
      <c r="B3292" s="15" t="s">
        <v>710</v>
      </c>
      <c r="C3292" s="40" t="s">
        <v>711</v>
      </c>
      <c r="D3292" s="40" t="s">
        <v>744</v>
      </c>
      <c r="E3292" s="31" t="s">
        <v>745</v>
      </c>
      <c r="F3292" s="31" t="s">
        <v>109</v>
      </c>
      <c r="G3292" s="31" t="s">
        <v>746</v>
      </c>
      <c r="H3292" s="40" t="s">
        <v>3205</v>
      </c>
      <c r="I3292" s="40" t="s">
        <v>3206</v>
      </c>
      <c r="J3292" s="40" t="s">
        <v>3207</v>
      </c>
      <c r="K3292" s="40" t="s">
        <v>591</v>
      </c>
      <c r="L3292" s="40" t="s">
        <v>644</v>
      </c>
      <c r="M3292" s="93">
        <v>6</v>
      </c>
      <c r="N3292" s="94">
        <v>4000</v>
      </c>
      <c r="O3292" s="94">
        <f>M3292*N3292</f>
        <v>24000</v>
      </c>
      <c r="P3292" s="40" t="s">
        <v>3116</v>
      </c>
      <c r="Q3292" s="40" t="s">
        <v>1051</v>
      </c>
      <c r="R3292" s="84">
        <v>316621100</v>
      </c>
      <c r="S3292" s="40">
        <v>100</v>
      </c>
    </row>
    <row r="3293" spans="1:19" s="92" customFormat="1" ht="51">
      <c r="A3293" s="5">
        <v>3278</v>
      </c>
      <c r="B3293" s="15" t="s">
        <v>710</v>
      </c>
      <c r="C3293" s="40" t="s">
        <v>711</v>
      </c>
      <c r="D3293" s="98" t="s">
        <v>422</v>
      </c>
      <c r="E3293" s="76" t="s">
        <v>423</v>
      </c>
      <c r="F3293" s="76" t="s">
        <v>427</v>
      </c>
      <c r="G3293" s="76" t="s">
        <v>837</v>
      </c>
      <c r="H3293" s="76" t="s">
        <v>425</v>
      </c>
      <c r="I3293" s="76" t="s">
        <v>3208</v>
      </c>
      <c r="J3293" s="76" t="s">
        <v>3209</v>
      </c>
      <c r="K3293" s="76" t="s">
        <v>591</v>
      </c>
      <c r="L3293" s="11" t="s">
        <v>909</v>
      </c>
      <c r="M3293" s="53">
        <v>18</v>
      </c>
      <c r="N3293" s="94">
        <v>640</v>
      </c>
      <c r="O3293" s="94">
        <f>N3293*M3293</f>
        <v>11520</v>
      </c>
      <c r="P3293" s="40" t="s">
        <v>3116</v>
      </c>
      <c r="Q3293" s="40" t="s">
        <v>766</v>
      </c>
      <c r="R3293" s="84">
        <v>316621100</v>
      </c>
      <c r="S3293" s="40">
        <v>100</v>
      </c>
    </row>
    <row r="3294" spans="1:19" s="92" customFormat="1" ht="76.5">
      <c r="A3294" s="5">
        <v>3279</v>
      </c>
      <c r="B3294" s="15" t="s">
        <v>710</v>
      </c>
      <c r="C3294" s="40" t="s">
        <v>711</v>
      </c>
      <c r="D3294" s="40" t="s">
        <v>723</v>
      </c>
      <c r="E3294" s="31" t="s">
        <v>874</v>
      </c>
      <c r="F3294" s="31" t="s">
        <v>874</v>
      </c>
      <c r="G3294" s="31" t="s">
        <v>875</v>
      </c>
      <c r="H3294" s="40" t="s">
        <v>876</v>
      </c>
      <c r="I3294" s="40" t="s">
        <v>3210</v>
      </c>
      <c r="J3294" s="40" t="s">
        <v>3211</v>
      </c>
      <c r="K3294" s="40" t="s">
        <v>591</v>
      </c>
      <c r="L3294" s="40" t="s">
        <v>644</v>
      </c>
      <c r="M3294" s="93">
        <v>1</v>
      </c>
      <c r="N3294" s="94">
        <v>30000</v>
      </c>
      <c r="O3294" s="94">
        <f>N3294*M3294</f>
        <v>30000</v>
      </c>
      <c r="P3294" s="40" t="s">
        <v>3116</v>
      </c>
      <c r="Q3294" s="40" t="s">
        <v>1051</v>
      </c>
      <c r="R3294" s="84">
        <v>316621100</v>
      </c>
      <c r="S3294" s="40">
        <v>100</v>
      </c>
    </row>
    <row r="3295" spans="1:19" s="92" customFormat="1" ht="51">
      <c r="A3295" s="5">
        <v>3280</v>
      </c>
      <c r="B3295" s="15" t="s">
        <v>710</v>
      </c>
      <c r="C3295" s="40" t="s">
        <v>597</v>
      </c>
      <c r="D3295" s="40" t="s">
        <v>3128</v>
      </c>
      <c r="E3295" s="31" t="s">
        <v>2620</v>
      </c>
      <c r="F3295" s="31" t="s">
        <v>1304</v>
      </c>
      <c r="G3295" s="31" t="s">
        <v>3129</v>
      </c>
      <c r="H3295" s="40" t="s">
        <v>3130</v>
      </c>
      <c r="I3295" s="40" t="s">
        <v>3131</v>
      </c>
      <c r="J3295" s="40" t="s">
        <v>3132</v>
      </c>
      <c r="K3295" s="40" t="s">
        <v>591</v>
      </c>
      <c r="L3295" s="11" t="s">
        <v>914</v>
      </c>
      <c r="M3295" s="93">
        <v>1</v>
      </c>
      <c r="N3295" s="94">
        <f>59000*15</f>
        <v>885000</v>
      </c>
      <c r="O3295" s="94">
        <f>N3295*M3295</f>
        <v>885000</v>
      </c>
      <c r="P3295" s="40" t="s">
        <v>3116</v>
      </c>
      <c r="Q3295" s="40" t="s">
        <v>766</v>
      </c>
      <c r="R3295" s="84">
        <v>391010000</v>
      </c>
      <c r="S3295" s="40">
        <v>50</v>
      </c>
    </row>
    <row r="3296" spans="1:19" s="92" customFormat="1" ht="76.5">
      <c r="A3296" s="5">
        <v>3281</v>
      </c>
      <c r="B3296" s="15" t="s">
        <v>710</v>
      </c>
      <c r="C3296" s="40" t="s">
        <v>3117</v>
      </c>
      <c r="D3296" s="40" t="s">
        <v>532</v>
      </c>
      <c r="E3296" s="31" t="s">
        <v>3133</v>
      </c>
      <c r="F3296" s="31" t="s">
        <v>534</v>
      </c>
      <c r="G3296" s="31" t="s">
        <v>3133</v>
      </c>
      <c r="H3296" s="31" t="s">
        <v>534</v>
      </c>
      <c r="I3296" s="40" t="s">
        <v>3134</v>
      </c>
      <c r="J3296" s="40" t="s">
        <v>3135</v>
      </c>
      <c r="K3296" s="40" t="s">
        <v>591</v>
      </c>
      <c r="L3296" s="11" t="s">
        <v>914</v>
      </c>
      <c r="M3296" s="93">
        <v>1</v>
      </c>
      <c r="N3296" s="94">
        <f>15*30000</f>
        <v>450000</v>
      </c>
      <c r="O3296" s="94">
        <f>N3296*M3296</f>
        <v>450000</v>
      </c>
      <c r="P3296" s="40" t="s">
        <v>3116</v>
      </c>
      <c r="Q3296" s="40" t="s">
        <v>1051</v>
      </c>
      <c r="R3296" s="84">
        <v>391010000</v>
      </c>
      <c r="S3296" s="40">
        <v>50</v>
      </c>
    </row>
    <row r="3297" spans="1:19" s="92" customFormat="1" ht="51">
      <c r="A3297" s="5">
        <v>3282</v>
      </c>
      <c r="B3297" s="15" t="s">
        <v>710</v>
      </c>
      <c r="C3297" s="40" t="s">
        <v>2433</v>
      </c>
      <c r="D3297" s="40" t="s">
        <v>3136</v>
      </c>
      <c r="E3297" s="40" t="s">
        <v>466</v>
      </c>
      <c r="F3297" s="40" t="s">
        <v>25</v>
      </c>
      <c r="G3297" s="40" t="s">
        <v>3212</v>
      </c>
      <c r="H3297" s="40" t="s">
        <v>467</v>
      </c>
      <c r="I3297" s="40" t="s">
        <v>3137</v>
      </c>
      <c r="J3297" s="40" t="s">
        <v>3138</v>
      </c>
      <c r="K3297" s="40" t="s">
        <v>591</v>
      </c>
      <c r="L3297" s="95" t="s">
        <v>644</v>
      </c>
      <c r="M3297" s="93">
        <f>30*5</f>
        <v>150</v>
      </c>
      <c r="N3297" s="94">
        <v>40</v>
      </c>
      <c r="O3297" s="94">
        <f>N3297*M3297</f>
        <v>6000</v>
      </c>
      <c r="P3297" s="40" t="s">
        <v>3139</v>
      </c>
      <c r="Q3297" s="40" t="s">
        <v>766</v>
      </c>
      <c r="R3297" s="84">
        <v>391010000</v>
      </c>
      <c r="S3297" s="40">
        <v>0</v>
      </c>
    </row>
    <row r="3298" spans="1:19" s="92" customFormat="1" ht="51">
      <c r="A3298" s="5">
        <v>3283</v>
      </c>
      <c r="B3298" s="15" t="s">
        <v>710</v>
      </c>
      <c r="C3298" s="40" t="s">
        <v>2433</v>
      </c>
      <c r="D3298" s="40" t="s">
        <v>3140</v>
      </c>
      <c r="E3298" s="40" t="s">
        <v>3141</v>
      </c>
      <c r="F3298" s="40" t="s">
        <v>3142</v>
      </c>
      <c r="G3298" s="40" t="s">
        <v>3213</v>
      </c>
      <c r="H3298" s="40" t="s">
        <v>3214</v>
      </c>
      <c r="I3298" s="40" t="s">
        <v>3143</v>
      </c>
      <c r="J3298" s="40" t="s">
        <v>3144</v>
      </c>
      <c r="K3298" s="40" t="s">
        <v>591</v>
      </c>
      <c r="L3298" s="95" t="s">
        <v>644</v>
      </c>
      <c r="M3298" s="93">
        <f>30*2</f>
        <v>60</v>
      </c>
      <c r="N3298" s="94">
        <v>170</v>
      </c>
      <c r="O3298" s="94">
        <f t="shared" ref="O3298:O3315" si="80">N3298*M3298</f>
        <v>10200</v>
      </c>
      <c r="P3298" s="40" t="s">
        <v>3139</v>
      </c>
      <c r="Q3298" s="40" t="s">
        <v>766</v>
      </c>
      <c r="R3298" s="84">
        <v>391010000</v>
      </c>
      <c r="S3298" s="40">
        <v>0</v>
      </c>
    </row>
    <row r="3299" spans="1:19" s="92" customFormat="1" ht="51">
      <c r="A3299" s="5">
        <v>3284</v>
      </c>
      <c r="B3299" s="15" t="s">
        <v>710</v>
      </c>
      <c r="C3299" s="40" t="s">
        <v>2433</v>
      </c>
      <c r="D3299" s="40" t="s">
        <v>452</v>
      </c>
      <c r="E3299" s="40" t="s">
        <v>453</v>
      </c>
      <c r="F3299" s="40" t="s">
        <v>454</v>
      </c>
      <c r="G3299" s="40" t="s">
        <v>455</v>
      </c>
      <c r="H3299" s="40" t="s">
        <v>456</v>
      </c>
      <c r="I3299" s="40" t="s">
        <v>3145</v>
      </c>
      <c r="J3299" s="40" t="s">
        <v>3146</v>
      </c>
      <c r="K3299" s="40" t="s">
        <v>591</v>
      </c>
      <c r="L3299" s="95" t="s">
        <v>480</v>
      </c>
      <c r="M3299" s="93">
        <f>30*5</f>
        <v>150</v>
      </c>
      <c r="N3299" s="94">
        <v>155</v>
      </c>
      <c r="O3299" s="94">
        <f t="shared" si="80"/>
        <v>23250</v>
      </c>
      <c r="P3299" s="40" t="s">
        <v>3139</v>
      </c>
      <c r="Q3299" s="40" t="s">
        <v>766</v>
      </c>
      <c r="R3299" s="84">
        <v>391010000</v>
      </c>
      <c r="S3299" s="40">
        <v>0</v>
      </c>
    </row>
    <row r="3300" spans="1:19" s="92" customFormat="1" ht="51">
      <c r="A3300" s="5">
        <v>3285</v>
      </c>
      <c r="B3300" s="15" t="s">
        <v>710</v>
      </c>
      <c r="C3300" s="40" t="s">
        <v>2433</v>
      </c>
      <c r="D3300" s="40" t="s">
        <v>452</v>
      </c>
      <c r="E3300" s="40" t="s">
        <v>453</v>
      </c>
      <c r="F3300" s="40" t="s">
        <v>454</v>
      </c>
      <c r="G3300" s="40" t="s">
        <v>455</v>
      </c>
      <c r="H3300" s="40" t="s">
        <v>456</v>
      </c>
      <c r="I3300" s="40" t="s">
        <v>3147</v>
      </c>
      <c r="J3300" s="40" t="s">
        <v>3148</v>
      </c>
      <c r="K3300" s="40" t="s">
        <v>591</v>
      </c>
      <c r="L3300" s="95" t="s">
        <v>480</v>
      </c>
      <c r="M3300" s="93">
        <f>30*5</f>
        <v>150</v>
      </c>
      <c r="N3300" s="94">
        <v>200</v>
      </c>
      <c r="O3300" s="94">
        <f t="shared" si="80"/>
        <v>30000</v>
      </c>
      <c r="P3300" s="40" t="s">
        <v>3139</v>
      </c>
      <c r="Q3300" s="40" t="s">
        <v>766</v>
      </c>
      <c r="R3300" s="84">
        <v>391010000</v>
      </c>
      <c r="S3300" s="40">
        <v>0</v>
      </c>
    </row>
    <row r="3301" spans="1:19" s="92" customFormat="1" ht="51">
      <c r="A3301" s="5">
        <v>3286</v>
      </c>
      <c r="B3301" s="15" t="s">
        <v>710</v>
      </c>
      <c r="C3301" s="40" t="s">
        <v>2433</v>
      </c>
      <c r="D3301" s="40" t="s">
        <v>432</v>
      </c>
      <c r="E3301" s="40" t="s">
        <v>433</v>
      </c>
      <c r="F3301" s="40" t="s">
        <v>434</v>
      </c>
      <c r="G3301" s="40" t="s">
        <v>435</v>
      </c>
      <c r="H3301" s="40" t="s">
        <v>436</v>
      </c>
      <c r="I3301" s="40" t="s">
        <v>3149</v>
      </c>
      <c r="J3301" s="40" t="s">
        <v>3150</v>
      </c>
      <c r="K3301" s="40" t="s">
        <v>591</v>
      </c>
      <c r="L3301" s="95" t="s">
        <v>644</v>
      </c>
      <c r="M3301" s="93">
        <f>30*5</f>
        <v>150</v>
      </c>
      <c r="N3301" s="94">
        <v>250</v>
      </c>
      <c r="O3301" s="94">
        <f t="shared" si="80"/>
        <v>37500</v>
      </c>
      <c r="P3301" s="40" t="s">
        <v>3139</v>
      </c>
      <c r="Q3301" s="40" t="s">
        <v>766</v>
      </c>
      <c r="R3301" s="84">
        <v>391010000</v>
      </c>
      <c r="S3301" s="40">
        <v>0</v>
      </c>
    </row>
    <row r="3302" spans="1:19" s="92" customFormat="1" ht="51">
      <c r="A3302" s="5">
        <v>3287</v>
      </c>
      <c r="B3302" s="15" t="s">
        <v>710</v>
      </c>
      <c r="C3302" s="40" t="s">
        <v>2433</v>
      </c>
      <c r="D3302" s="40" t="s">
        <v>447</v>
      </c>
      <c r="E3302" s="40" t="s">
        <v>24</v>
      </c>
      <c r="F3302" s="40" t="s">
        <v>24</v>
      </c>
      <c r="G3302" s="40" t="s">
        <v>3215</v>
      </c>
      <c r="H3302" s="40" t="s">
        <v>448</v>
      </c>
      <c r="I3302" s="40" t="s">
        <v>3151</v>
      </c>
      <c r="J3302" s="40" t="s">
        <v>3152</v>
      </c>
      <c r="K3302" s="40" t="s">
        <v>591</v>
      </c>
      <c r="L3302" s="95" t="s">
        <v>644</v>
      </c>
      <c r="M3302" s="93">
        <f>30*3</f>
        <v>90</v>
      </c>
      <c r="N3302" s="94">
        <v>250</v>
      </c>
      <c r="O3302" s="94">
        <f t="shared" si="80"/>
        <v>22500</v>
      </c>
      <c r="P3302" s="40" t="s">
        <v>3139</v>
      </c>
      <c r="Q3302" s="40" t="s">
        <v>766</v>
      </c>
      <c r="R3302" s="84">
        <v>391010000</v>
      </c>
      <c r="S3302" s="40">
        <v>0</v>
      </c>
    </row>
    <row r="3303" spans="1:19" s="92" customFormat="1" ht="51">
      <c r="A3303" s="5">
        <v>3288</v>
      </c>
      <c r="B3303" s="15" t="s">
        <v>710</v>
      </c>
      <c r="C3303" s="40" t="s">
        <v>2433</v>
      </c>
      <c r="D3303" s="40" t="s">
        <v>449</v>
      </c>
      <c r="E3303" s="40" t="s">
        <v>450</v>
      </c>
      <c r="F3303" s="40" t="s">
        <v>450</v>
      </c>
      <c r="G3303" s="40" t="s">
        <v>3216</v>
      </c>
      <c r="H3303" s="40" t="s">
        <v>451</v>
      </c>
      <c r="I3303" s="40" t="s">
        <v>3153</v>
      </c>
      <c r="J3303" s="40" t="s">
        <v>3154</v>
      </c>
      <c r="K3303" s="40" t="s">
        <v>591</v>
      </c>
      <c r="L3303" s="95" t="s">
        <v>480</v>
      </c>
      <c r="M3303" s="93">
        <f>30*3</f>
        <v>90</v>
      </c>
      <c r="N3303" s="94">
        <v>250</v>
      </c>
      <c r="O3303" s="94">
        <f t="shared" si="80"/>
        <v>22500</v>
      </c>
      <c r="P3303" s="40" t="s">
        <v>3139</v>
      </c>
      <c r="Q3303" s="40" t="s">
        <v>766</v>
      </c>
      <c r="R3303" s="84">
        <v>391010000</v>
      </c>
      <c r="S3303" s="40">
        <v>0</v>
      </c>
    </row>
    <row r="3304" spans="1:19" s="92" customFormat="1" ht="51">
      <c r="A3304" s="5">
        <v>3289</v>
      </c>
      <c r="B3304" s="15" t="s">
        <v>710</v>
      </c>
      <c r="C3304" s="40" t="s">
        <v>2433</v>
      </c>
      <c r="D3304" s="40" t="s">
        <v>3155</v>
      </c>
      <c r="E3304" s="40" t="s">
        <v>3156</v>
      </c>
      <c r="F3304" s="40" t="s">
        <v>3157</v>
      </c>
      <c r="G3304" s="40" t="s">
        <v>3217</v>
      </c>
      <c r="H3304" s="40" t="s">
        <v>3218</v>
      </c>
      <c r="I3304" s="40" t="s">
        <v>3158</v>
      </c>
      <c r="J3304" s="40" t="s">
        <v>3159</v>
      </c>
      <c r="K3304" s="40" t="s">
        <v>591</v>
      </c>
      <c r="L3304" s="95" t="s">
        <v>644</v>
      </c>
      <c r="M3304" s="93">
        <f>30*2</f>
        <v>60</v>
      </c>
      <c r="N3304" s="94">
        <v>150</v>
      </c>
      <c r="O3304" s="94">
        <f t="shared" si="80"/>
        <v>9000</v>
      </c>
      <c r="P3304" s="40" t="s">
        <v>3139</v>
      </c>
      <c r="Q3304" s="40" t="s">
        <v>766</v>
      </c>
      <c r="R3304" s="84">
        <v>391010000</v>
      </c>
      <c r="S3304" s="40">
        <v>0</v>
      </c>
    </row>
    <row r="3305" spans="1:19" s="92" customFormat="1" ht="51">
      <c r="A3305" s="5">
        <v>3290</v>
      </c>
      <c r="B3305" s="15" t="s">
        <v>710</v>
      </c>
      <c r="C3305" s="40" t="s">
        <v>2433</v>
      </c>
      <c r="D3305" s="40" t="s">
        <v>437</v>
      </c>
      <c r="E3305" s="40" t="s">
        <v>20</v>
      </c>
      <c r="F3305" s="40" t="s">
        <v>20</v>
      </c>
      <c r="G3305" s="40" t="s">
        <v>438</v>
      </c>
      <c r="H3305" s="40" t="s">
        <v>439</v>
      </c>
      <c r="I3305" s="40" t="s">
        <v>3160</v>
      </c>
      <c r="J3305" s="40" t="s">
        <v>3161</v>
      </c>
      <c r="K3305" s="40" t="s">
        <v>591</v>
      </c>
      <c r="L3305" s="95" t="s">
        <v>644</v>
      </c>
      <c r="M3305" s="93">
        <f>30*5</f>
        <v>150</v>
      </c>
      <c r="N3305" s="94">
        <v>100</v>
      </c>
      <c r="O3305" s="94">
        <f t="shared" si="80"/>
        <v>15000</v>
      </c>
      <c r="P3305" s="40" t="s">
        <v>3139</v>
      </c>
      <c r="Q3305" s="40" t="s">
        <v>766</v>
      </c>
      <c r="R3305" s="84">
        <v>391010000</v>
      </c>
      <c r="S3305" s="40">
        <v>0</v>
      </c>
    </row>
    <row r="3306" spans="1:19" s="92" customFormat="1" ht="51">
      <c r="A3306" s="5">
        <v>3291</v>
      </c>
      <c r="B3306" s="15" t="s">
        <v>710</v>
      </c>
      <c r="C3306" s="40" t="s">
        <v>2433</v>
      </c>
      <c r="D3306" s="40" t="s">
        <v>3162</v>
      </c>
      <c r="E3306" s="40" t="s">
        <v>3163</v>
      </c>
      <c r="F3306" s="40" t="s">
        <v>3164</v>
      </c>
      <c r="G3306" s="31" t="s">
        <v>3219</v>
      </c>
      <c r="H3306" s="40" t="s">
        <v>3220</v>
      </c>
      <c r="I3306" s="40" t="s">
        <v>3165</v>
      </c>
      <c r="J3306" s="40" t="s">
        <v>3166</v>
      </c>
      <c r="K3306" s="40" t="s">
        <v>591</v>
      </c>
      <c r="L3306" s="95" t="s">
        <v>480</v>
      </c>
      <c r="M3306" s="93">
        <f>30*5</f>
        <v>150</v>
      </c>
      <c r="N3306" s="94">
        <v>500</v>
      </c>
      <c r="O3306" s="94">
        <f t="shared" si="80"/>
        <v>75000</v>
      </c>
      <c r="P3306" s="40" t="s">
        <v>3139</v>
      </c>
      <c r="Q3306" s="40" t="s">
        <v>766</v>
      </c>
      <c r="R3306" s="84">
        <v>391010000</v>
      </c>
      <c r="S3306" s="40">
        <v>0</v>
      </c>
    </row>
    <row r="3307" spans="1:19" s="92" customFormat="1" ht="51">
      <c r="A3307" s="5">
        <v>3292</v>
      </c>
      <c r="B3307" s="15" t="s">
        <v>710</v>
      </c>
      <c r="C3307" s="40" t="s">
        <v>2433</v>
      </c>
      <c r="D3307" s="40" t="s">
        <v>440</v>
      </c>
      <c r="E3307" s="40" t="s">
        <v>21</v>
      </c>
      <c r="F3307" s="40" t="s">
        <v>21</v>
      </c>
      <c r="G3307" s="31" t="s">
        <v>441</v>
      </c>
      <c r="H3307" s="40" t="s">
        <v>442</v>
      </c>
      <c r="I3307" s="40" t="s">
        <v>3167</v>
      </c>
      <c r="J3307" s="40" t="s">
        <v>3168</v>
      </c>
      <c r="K3307" s="40" t="s">
        <v>591</v>
      </c>
      <c r="L3307" s="95" t="s">
        <v>644</v>
      </c>
      <c r="M3307" s="93">
        <f t="shared" ref="M3307:M3312" si="81">30*1</f>
        <v>30</v>
      </c>
      <c r="N3307" s="94">
        <v>1500</v>
      </c>
      <c r="O3307" s="94">
        <f t="shared" si="80"/>
        <v>45000</v>
      </c>
      <c r="P3307" s="40" t="s">
        <v>3139</v>
      </c>
      <c r="Q3307" s="40" t="s">
        <v>766</v>
      </c>
      <c r="R3307" s="84">
        <v>391010000</v>
      </c>
      <c r="S3307" s="40">
        <v>0</v>
      </c>
    </row>
    <row r="3308" spans="1:19" s="92" customFormat="1" ht="127.5">
      <c r="A3308" s="5">
        <v>3293</v>
      </c>
      <c r="B3308" s="15" t="s">
        <v>710</v>
      </c>
      <c r="C3308" s="40" t="s">
        <v>2433</v>
      </c>
      <c r="D3308" s="40" t="s">
        <v>470</v>
      </c>
      <c r="E3308" s="40" t="s">
        <v>27</v>
      </c>
      <c r="F3308" s="40" t="s">
        <v>27</v>
      </c>
      <c r="G3308" s="31" t="s">
        <v>471</v>
      </c>
      <c r="H3308" s="40" t="s">
        <v>472</v>
      </c>
      <c r="I3308" s="40" t="s">
        <v>3169</v>
      </c>
      <c r="J3308" s="40" t="s">
        <v>3170</v>
      </c>
      <c r="K3308" s="40" t="s">
        <v>591</v>
      </c>
      <c r="L3308" s="95" t="s">
        <v>644</v>
      </c>
      <c r="M3308" s="93">
        <f t="shared" si="81"/>
        <v>30</v>
      </c>
      <c r="N3308" s="94">
        <v>3500</v>
      </c>
      <c r="O3308" s="94">
        <f t="shared" si="80"/>
        <v>105000</v>
      </c>
      <c r="P3308" s="40" t="s">
        <v>3139</v>
      </c>
      <c r="Q3308" s="40" t="s">
        <v>766</v>
      </c>
      <c r="R3308" s="84">
        <v>391010000</v>
      </c>
      <c r="S3308" s="40">
        <v>0</v>
      </c>
    </row>
    <row r="3309" spans="1:19" s="92" customFormat="1" ht="76.5">
      <c r="A3309" s="5">
        <v>3294</v>
      </c>
      <c r="B3309" s="15" t="s">
        <v>710</v>
      </c>
      <c r="C3309" s="40" t="s">
        <v>2433</v>
      </c>
      <c r="D3309" s="40" t="s">
        <v>3171</v>
      </c>
      <c r="E3309" s="40" t="s">
        <v>3172</v>
      </c>
      <c r="F3309" s="40" t="s">
        <v>3172</v>
      </c>
      <c r="G3309" s="40" t="s">
        <v>3173</v>
      </c>
      <c r="H3309" s="40" t="s">
        <v>3174</v>
      </c>
      <c r="I3309" s="40" t="s">
        <v>3175</v>
      </c>
      <c r="J3309" s="40" t="s">
        <v>3176</v>
      </c>
      <c r="K3309" s="40" t="s">
        <v>591</v>
      </c>
      <c r="L3309" s="95" t="s">
        <v>644</v>
      </c>
      <c r="M3309" s="93">
        <f t="shared" si="81"/>
        <v>30</v>
      </c>
      <c r="N3309" s="94">
        <v>150</v>
      </c>
      <c r="O3309" s="94">
        <f t="shared" si="80"/>
        <v>4500</v>
      </c>
      <c r="P3309" s="40" t="s">
        <v>3139</v>
      </c>
      <c r="Q3309" s="40" t="s">
        <v>766</v>
      </c>
      <c r="R3309" s="84">
        <v>391010000</v>
      </c>
      <c r="S3309" s="40">
        <v>0</v>
      </c>
    </row>
    <row r="3310" spans="1:19" s="92" customFormat="1" ht="51">
      <c r="A3310" s="5">
        <v>3295</v>
      </c>
      <c r="B3310" s="15" t="s">
        <v>710</v>
      </c>
      <c r="C3310" s="40" t="s">
        <v>2433</v>
      </c>
      <c r="D3310" s="40" t="s">
        <v>457</v>
      </c>
      <c r="E3310" s="40" t="s">
        <v>17</v>
      </c>
      <c r="F3310" s="40" t="s">
        <v>17</v>
      </c>
      <c r="G3310" s="40" t="s">
        <v>3177</v>
      </c>
      <c r="H3310" s="40" t="s">
        <v>458</v>
      </c>
      <c r="I3310" s="40" t="s">
        <v>3178</v>
      </c>
      <c r="J3310" s="40" t="s">
        <v>3179</v>
      </c>
      <c r="K3310" s="40" t="s">
        <v>591</v>
      </c>
      <c r="L3310" s="95" t="s">
        <v>644</v>
      </c>
      <c r="M3310" s="93">
        <f t="shared" si="81"/>
        <v>30</v>
      </c>
      <c r="N3310" s="94">
        <v>600</v>
      </c>
      <c r="O3310" s="94">
        <f t="shared" si="80"/>
        <v>18000</v>
      </c>
      <c r="P3310" s="40" t="s">
        <v>3139</v>
      </c>
      <c r="Q3310" s="40" t="s">
        <v>766</v>
      </c>
      <c r="R3310" s="84">
        <v>391010000</v>
      </c>
      <c r="S3310" s="40">
        <v>0</v>
      </c>
    </row>
    <row r="3311" spans="1:19" s="92" customFormat="1" ht="51">
      <c r="A3311" s="5">
        <v>3296</v>
      </c>
      <c r="B3311" s="15" t="s">
        <v>710</v>
      </c>
      <c r="C3311" s="40" t="s">
        <v>2433</v>
      </c>
      <c r="D3311" s="40" t="s">
        <v>457</v>
      </c>
      <c r="E3311" s="40" t="s">
        <v>17</v>
      </c>
      <c r="F3311" s="40" t="s">
        <v>17</v>
      </c>
      <c r="G3311" s="40" t="s">
        <v>3177</v>
      </c>
      <c r="H3311" s="40" t="s">
        <v>458</v>
      </c>
      <c r="I3311" s="40" t="s">
        <v>3180</v>
      </c>
      <c r="J3311" s="40" t="s">
        <v>3181</v>
      </c>
      <c r="K3311" s="40" t="s">
        <v>591</v>
      </c>
      <c r="L3311" s="95" t="s">
        <v>644</v>
      </c>
      <c r="M3311" s="93">
        <f t="shared" si="81"/>
        <v>30</v>
      </c>
      <c r="N3311" s="94">
        <v>800</v>
      </c>
      <c r="O3311" s="94">
        <f t="shared" si="80"/>
        <v>24000</v>
      </c>
      <c r="P3311" s="40" t="s">
        <v>3139</v>
      </c>
      <c r="Q3311" s="40" t="s">
        <v>766</v>
      </c>
      <c r="R3311" s="84">
        <v>391010000</v>
      </c>
      <c r="S3311" s="40">
        <v>0</v>
      </c>
    </row>
    <row r="3312" spans="1:19" s="92" customFormat="1" ht="51">
      <c r="A3312" s="5">
        <v>3297</v>
      </c>
      <c r="B3312" s="15" t="s">
        <v>710</v>
      </c>
      <c r="C3312" s="40" t="s">
        <v>2433</v>
      </c>
      <c r="D3312" s="40" t="s">
        <v>476</v>
      </c>
      <c r="E3312" s="40" t="s">
        <v>477</v>
      </c>
      <c r="F3312" s="40" t="s">
        <v>28</v>
      </c>
      <c r="G3312" s="40" t="s">
        <v>478</v>
      </c>
      <c r="H3312" s="40" t="s">
        <v>479</v>
      </c>
      <c r="I3312" s="40" t="s">
        <v>3182</v>
      </c>
      <c r="J3312" s="40" t="s">
        <v>3183</v>
      </c>
      <c r="K3312" s="40" t="s">
        <v>591</v>
      </c>
      <c r="L3312" s="95" t="s">
        <v>644</v>
      </c>
      <c r="M3312" s="93">
        <f t="shared" si="81"/>
        <v>30</v>
      </c>
      <c r="N3312" s="94">
        <v>1500</v>
      </c>
      <c r="O3312" s="94">
        <f t="shared" si="80"/>
        <v>45000</v>
      </c>
      <c r="P3312" s="40" t="s">
        <v>3139</v>
      </c>
      <c r="Q3312" s="40" t="s">
        <v>766</v>
      </c>
      <c r="R3312" s="84">
        <v>391010000</v>
      </c>
      <c r="S3312" s="40">
        <v>0</v>
      </c>
    </row>
    <row r="3313" spans="1:19" s="92" customFormat="1" ht="51">
      <c r="A3313" s="5">
        <v>3298</v>
      </c>
      <c r="B3313" s="15" t="s">
        <v>710</v>
      </c>
      <c r="C3313" s="40" t="s">
        <v>2433</v>
      </c>
      <c r="D3313" s="40" t="s">
        <v>468</v>
      </c>
      <c r="E3313" s="40" t="s">
        <v>3184</v>
      </c>
      <c r="F3313" s="40" t="s">
        <v>26</v>
      </c>
      <c r="G3313" s="40" t="s">
        <v>3185</v>
      </c>
      <c r="H3313" s="40" t="s">
        <v>469</v>
      </c>
      <c r="I3313" s="40" t="s">
        <v>3186</v>
      </c>
      <c r="J3313" s="40" t="s">
        <v>3187</v>
      </c>
      <c r="K3313" s="40" t="s">
        <v>591</v>
      </c>
      <c r="L3313" s="95" t="s">
        <v>644</v>
      </c>
      <c r="M3313" s="93">
        <f>30*5</f>
        <v>150</v>
      </c>
      <c r="N3313" s="94">
        <v>250</v>
      </c>
      <c r="O3313" s="94">
        <f t="shared" si="80"/>
        <v>37500</v>
      </c>
      <c r="P3313" s="40" t="s">
        <v>3139</v>
      </c>
      <c r="Q3313" s="40" t="s">
        <v>766</v>
      </c>
      <c r="R3313" s="84">
        <v>391010000</v>
      </c>
      <c r="S3313" s="40">
        <v>0</v>
      </c>
    </row>
    <row r="3314" spans="1:19" s="92" customFormat="1" ht="51">
      <c r="A3314" s="5">
        <v>3299</v>
      </c>
      <c r="B3314" s="15" t="s">
        <v>710</v>
      </c>
      <c r="C3314" s="40" t="s">
        <v>2433</v>
      </c>
      <c r="D3314" s="40" t="s">
        <v>443</v>
      </c>
      <c r="E3314" s="40" t="s">
        <v>444</v>
      </c>
      <c r="F3314" s="40" t="s">
        <v>444</v>
      </c>
      <c r="G3314" s="40" t="s">
        <v>445</v>
      </c>
      <c r="H3314" s="40" t="s">
        <v>446</v>
      </c>
      <c r="I3314" s="40" t="s">
        <v>3188</v>
      </c>
      <c r="J3314" s="40" t="s">
        <v>3189</v>
      </c>
      <c r="K3314" s="40" t="s">
        <v>591</v>
      </c>
      <c r="L3314" s="95" t="s">
        <v>644</v>
      </c>
      <c r="M3314" s="93">
        <f>30*5</f>
        <v>150</v>
      </c>
      <c r="N3314" s="94">
        <v>500</v>
      </c>
      <c r="O3314" s="94">
        <f t="shared" si="80"/>
        <v>75000</v>
      </c>
      <c r="P3314" s="40" t="s">
        <v>3139</v>
      </c>
      <c r="Q3314" s="40" t="s">
        <v>766</v>
      </c>
      <c r="R3314" s="84">
        <v>391010000</v>
      </c>
      <c r="S3314" s="40">
        <v>0</v>
      </c>
    </row>
    <row r="3315" spans="1:19" s="92" customFormat="1" ht="51">
      <c r="A3315" s="5">
        <v>3300</v>
      </c>
      <c r="B3315" s="15" t="s">
        <v>710</v>
      </c>
      <c r="C3315" s="40" t="s">
        <v>711</v>
      </c>
      <c r="D3315" s="40" t="s">
        <v>3190</v>
      </c>
      <c r="E3315" s="31" t="s">
        <v>3191</v>
      </c>
      <c r="F3315" s="31" t="s">
        <v>3192</v>
      </c>
      <c r="G3315" s="40" t="s">
        <v>3264</v>
      </c>
      <c r="H3315" s="40" t="s">
        <v>3264</v>
      </c>
      <c r="I3315" s="31" t="s">
        <v>3193</v>
      </c>
      <c r="J3315" s="31" t="s">
        <v>3194</v>
      </c>
      <c r="K3315" s="40" t="s">
        <v>591</v>
      </c>
      <c r="L3315" s="95" t="s">
        <v>644</v>
      </c>
      <c r="M3315" s="93">
        <f>30*1</f>
        <v>30</v>
      </c>
      <c r="N3315" s="94">
        <v>1200</v>
      </c>
      <c r="O3315" s="94">
        <f t="shared" si="80"/>
        <v>36000</v>
      </c>
      <c r="P3315" s="40" t="s">
        <v>3139</v>
      </c>
      <c r="Q3315" s="40" t="s">
        <v>766</v>
      </c>
      <c r="R3315" s="84">
        <v>391010000</v>
      </c>
      <c r="S3315" s="40">
        <v>0</v>
      </c>
    </row>
    <row r="3316" spans="1:19" s="92" customFormat="1" ht="89.25">
      <c r="A3316" s="5">
        <v>3301</v>
      </c>
      <c r="B3316" s="15" t="s">
        <v>710</v>
      </c>
      <c r="C3316" s="40" t="s">
        <v>597</v>
      </c>
      <c r="D3316" s="40" t="s">
        <v>598</v>
      </c>
      <c r="E3316" s="31" t="s">
        <v>599</v>
      </c>
      <c r="F3316" s="31" t="s">
        <v>782</v>
      </c>
      <c r="G3316" s="31" t="s">
        <v>3195</v>
      </c>
      <c r="H3316" s="40" t="s">
        <v>602</v>
      </c>
      <c r="I3316" s="40" t="s">
        <v>3196</v>
      </c>
      <c r="J3316" s="40" t="s">
        <v>3197</v>
      </c>
      <c r="K3316" s="40" t="s">
        <v>591</v>
      </c>
      <c r="L3316" s="11" t="s">
        <v>914</v>
      </c>
      <c r="M3316" s="93">
        <v>1</v>
      </c>
      <c r="N3316" s="94">
        <v>624400</v>
      </c>
      <c r="O3316" s="94">
        <v>624400</v>
      </c>
      <c r="P3316" s="40" t="s">
        <v>502</v>
      </c>
      <c r="Q3316" s="40" t="s">
        <v>766</v>
      </c>
      <c r="R3316" s="84">
        <v>393257100</v>
      </c>
      <c r="S3316" s="40">
        <v>0</v>
      </c>
    </row>
    <row r="3317" spans="1:19" s="92" customFormat="1" ht="89.25">
      <c r="A3317" s="5">
        <v>3302</v>
      </c>
      <c r="B3317" s="15" t="s">
        <v>710</v>
      </c>
      <c r="C3317" s="40" t="s">
        <v>597</v>
      </c>
      <c r="D3317" s="40" t="s">
        <v>598</v>
      </c>
      <c r="E3317" s="31" t="s">
        <v>599</v>
      </c>
      <c r="F3317" s="31" t="s">
        <v>782</v>
      </c>
      <c r="G3317" s="31" t="s">
        <v>3195</v>
      </c>
      <c r="H3317" s="40" t="s">
        <v>602</v>
      </c>
      <c r="I3317" s="40" t="s">
        <v>3196</v>
      </c>
      <c r="J3317" s="40" t="s">
        <v>3197</v>
      </c>
      <c r="K3317" s="40" t="s">
        <v>591</v>
      </c>
      <c r="L3317" s="11" t="s">
        <v>914</v>
      </c>
      <c r="M3317" s="93">
        <v>1</v>
      </c>
      <c r="N3317" s="94">
        <v>624400</v>
      </c>
      <c r="O3317" s="94">
        <v>624400</v>
      </c>
      <c r="P3317" s="40" t="s">
        <v>502</v>
      </c>
      <c r="Q3317" s="40" t="s">
        <v>766</v>
      </c>
      <c r="R3317" s="84">
        <v>393257100</v>
      </c>
      <c r="S3317" s="40">
        <v>0</v>
      </c>
    </row>
    <row r="3318" spans="1:19" s="92" customFormat="1" ht="51">
      <c r="A3318" s="5">
        <v>3303</v>
      </c>
      <c r="B3318" s="15" t="s">
        <v>710</v>
      </c>
      <c r="C3318" s="40" t="s">
        <v>597</v>
      </c>
      <c r="D3318" s="11" t="s">
        <v>850</v>
      </c>
      <c r="E3318" s="76" t="s">
        <v>1736</v>
      </c>
      <c r="F3318" s="76" t="s">
        <v>851</v>
      </c>
      <c r="G3318" s="76" t="s">
        <v>1737</v>
      </c>
      <c r="H3318" s="76" t="s">
        <v>852</v>
      </c>
      <c r="I3318" s="76" t="s">
        <v>3199</v>
      </c>
      <c r="J3318" s="76" t="s">
        <v>3200</v>
      </c>
      <c r="K3318" s="40" t="s">
        <v>591</v>
      </c>
      <c r="L3318" s="11" t="s">
        <v>914</v>
      </c>
      <c r="M3318" s="97">
        <v>1</v>
      </c>
      <c r="N3318" s="94">
        <f>10000*5</f>
        <v>50000</v>
      </c>
      <c r="O3318" s="94">
        <f>N3318</f>
        <v>50000</v>
      </c>
      <c r="P3318" s="40" t="s">
        <v>698</v>
      </c>
      <c r="Q3318" s="40" t="s">
        <v>766</v>
      </c>
      <c r="R3318" s="84">
        <v>393257100</v>
      </c>
      <c r="S3318" s="40">
        <v>0</v>
      </c>
    </row>
    <row r="3319" spans="1:19" s="92" customFormat="1" ht="51">
      <c r="A3319" s="5">
        <v>3304</v>
      </c>
      <c r="B3319" s="15" t="s">
        <v>710</v>
      </c>
      <c r="C3319" s="40" t="s">
        <v>597</v>
      </c>
      <c r="D3319" s="40" t="s">
        <v>2594</v>
      </c>
      <c r="E3319" s="31" t="s">
        <v>2618</v>
      </c>
      <c r="F3319" s="31" t="s">
        <v>2595</v>
      </c>
      <c r="G3319" s="31" t="s">
        <v>2618</v>
      </c>
      <c r="H3319" s="40" t="s">
        <v>2595</v>
      </c>
      <c r="I3319" s="40" t="s">
        <v>3201</v>
      </c>
      <c r="J3319" s="40" t="s">
        <v>3202</v>
      </c>
      <c r="K3319" s="40" t="s">
        <v>591</v>
      </c>
      <c r="L3319" s="11" t="s">
        <v>914</v>
      </c>
      <c r="M3319" s="93">
        <v>1</v>
      </c>
      <c r="N3319" s="94">
        <f>10500*3</f>
        <v>31500</v>
      </c>
      <c r="O3319" s="94">
        <f>N3319</f>
        <v>31500</v>
      </c>
      <c r="P3319" s="40" t="s">
        <v>3116</v>
      </c>
      <c r="Q3319" s="40" t="s">
        <v>766</v>
      </c>
      <c r="R3319" s="84">
        <v>393257100</v>
      </c>
      <c r="S3319" s="40">
        <v>30</v>
      </c>
    </row>
    <row r="3320" spans="1:19" s="92" customFormat="1" ht="89.25">
      <c r="A3320" s="5">
        <v>3305</v>
      </c>
      <c r="B3320" s="15" t="s">
        <v>710</v>
      </c>
      <c r="C3320" s="40" t="s">
        <v>711</v>
      </c>
      <c r="D3320" s="40" t="s">
        <v>976</v>
      </c>
      <c r="E3320" s="31" t="s">
        <v>730</v>
      </c>
      <c r="F3320" s="31" t="s">
        <v>731</v>
      </c>
      <c r="G3320" s="31" t="s">
        <v>977</v>
      </c>
      <c r="H3320" s="40" t="s">
        <v>978</v>
      </c>
      <c r="I3320" s="40" t="s">
        <v>3203</v>
      </c>
      <c r="J3320" s="40" t="s">
        <v>3204</v>
      </c>
      <c r="K3320" s="40" t="s">
        <v>591</v>
      </c>
      <c r="L3320" s="40" t="s">
        <v>644</v>
      </c>
      <c r="M3320" s="93">
        <v>2</v>
      </c>
      <c r="N3320" s="94">
        <v>26800</v>
      </c>
      <c r="O3320" s="94">
        <f>N3320*M3320</f>
        <v>53600</v>
      </c>
      <c r="P3320" s="40" t="s">
        <v>3116</v>
      </c>
      <c r="Q3320" s="40" t="s">
        <v>1051</v>
      </c>
      <c r="R3320" s="84">
        <v>393257100</v>
      </c>
      <c r="S3320" s="40">
        <v>100</v>
      </c>
    </row>
    <row r="3321" spans="1:19" s="92" customFormat="1" ht="63.75">
      <c r="A3321" s="5">
        <v>3306</v>
      </c>
      <c r="B3321" s="15" t="s">
        <v>710</v>
      </c>
      <c r="C3321" s="40" t="s">
        <v>711</v>
      </c>
      <c r="D3321" s="40" t="s">
        <v>744</v>
      </c>
      <c r="E3321" s="31" t="s">
        <v>745</v>
      </c>
      <c r="F3321" s="31" t="s">
        <v>109</v>
      </c>
      <c r="G3321" s="31" t="s">
        <v>746</v>
      </c>
      <c r="H3321" s="40" t="s">
        <v>3205</v>
      </c>
      <c r="I3321" s="40" t="s">
        <v>3206</v>
      </c>
      <c r="J3321" s="40" t="s">
        <v>3207</v>
      </c>
      <c r="K3321" s="40" t="s">
        <v>591</v>
      </c>
      <c r="L3321" s="40" t="s">
        <v>644</v>
      </c>
      <c r="M3321" s="93">
        <v>6</v>
      </c>
      <c r="N3321" s="94">
        <v>4608</v>
      </c>
      <c r="O3321" s="94">
        <f>M3321*N3321</f>
        <v>27648</v>
      </c>
      <c r="P3321" s="40" t="s">
        <v>3116</v>
      </c>
      <c r="Q3321" s="40" t="s">
        <v>1051</v>
      </c>
      <c r="R3321" s="84">
        <v>393257100</v>
      </c>
      <c r="S3321" s="40">
        <v>100</v>
      </c>
    </row>
    <row r="3322" spans="1:19" s="92" customFormat="1" ht="51">
      <c r="A3322" s="5">
        <v>3307</v>
      </c>
      <c r="B3322" s="15" t="s">
        <v>710</v>
      </c>
      <c r="C3322" s="40" t="s">
        <v>711</v>
      </c>
      <c r="D3322" s="98" t="s">
        <v>422</v>
      </c>
      <c r="E3322" s="76" t="s">
        <v>423</v>
      </c>
      <c r="F3322" s="76" t="s">
        <v>427</v>
      </c>
      <c r="G3322" s="76" t="s">
        <v>837</v>
      </c>
      <c r="H3322" s="76" t="s">
        <v>425</v>
      </c>
      <c r="I3322" s="76" t="s">
        <v>3208</v>
      </c>
      <c r="J3322" s="76" t="s">
        <v>3209</v>
      </c>
      <c r="K3322" s="76" t="s">
        <v>591</v>
      </c>
      <c r="L3322" s="11" t="s">
        <v>909</v>
      </c>
      <c r="M3322" s="53">
        <v>18</v>
      </c>
      <c r="N3322" s="94">
        <v>640</v>
      </c>
      <c r="O3322" s="94">
        <f>N3322*M3322</f>
        <v>11520</v>
      </c>
      <c r="P3322" s="40" t="s">
        <v>3116</v>
      </c>
      <c r="Q3322" s="40" t="s">
        <v>766</v>
      </c>
      <c r="R3322" s="84">
        <v>393257100</v>
      </c>
      <c r="S3322" s="40">
        <v>100</v>
      </c>
    </row>
    <row r="3323" spans="1:19" s="92" customFormat="1" ht="76.5">
      <c r="A3323" s="5">
        <v>3308</v>
      </c>
      <c r="B3323" s="15" t="s">
        <v>710</v>
      </c>
      <c r="C3323" s="40" t="s">
        <v>711</v>
      </c>
      <c r="D3323" s="40" t="s">
        <v>723</v>
      </c>
      <c r="E3323" s="31" t="s">
        <v>874</v>
      </c>
      <c r="F3323" s="31" t="s">
        <v>874</v>
      </c>
      <c r="G3323" s="31" t="s">
        <v>875</v>
      </c>
      <c r="H3323" s="40" t="s">
        <v>876</v>
      </c>
      <c r="I3323" s="40" t="s">
        <v>3210</v>
      </c>
      <c r="J3323" s="40" t="s">
        <v>3211</v>
      </c>
      <c r="K3323" s="40" t="s">
        <v>591</v>
      </c>
      <c r="L3323" s="40" t="s">
        <v>644</v>
      </c>
      <c r="M3323" s="93">
        <v>1</v>
      </c>
      <c r="N3323" s="94">
        <v>30000</v>
      </c>
      <c r="O3323" s="94">
        <f>N3323*M3323</f>
        <v>30000</v>
      </c>
      <c r="P3323" s="40" t="s">
        <v>3116</v>
      </c>
      <c r="Q3323" s="40" t="s">
        <v>1051</v>
      </c>
      <c r="R3323" s="84">
        <v>393257100</v>
      </c>
      <c r="S3323" s="40">
        <v>100</v>
      </c>
    </row>
    <row r="3324" spans="1:19" s="92" customFormat="1" ht="89.25">
      <c r="A3324" s="5">
        <v>3309</v>
      </c>
      <c r="B3324" s="15" t="s">
        <v>710</v>
      </c>
      <c r="C3324" s="40" t="s">
        <v>597</v>
      </c>
      <c r="D3324" s="40" t="s">
        <v>598</v>
      </c>
      <c r="E3324" s="31" t="s">
        <v>599</v>
      </c>
      <c r="F3324" s="31" t="s">
        <v>782</v>
      </c>
      <c r="G3324" s="31" t="s">
        <v>3195</v>
      </c>
      <c r="H3324" s="40" t="s">
        <v>602</v>
      </c>
      <c r="I3324" s="40" t="s">
        <v>3196</v>
      </c>
      <c r="J3324" s="40" t="s">
        <v>3197</v>
      </c>
      <c r="K3324" s="40" t="s">
        <v>591</v>
      </c>
      <c r="L3324" s="11" t="s">
        <v>914</v>
      </c>
      <c r="M3324" s="93">
        <v>1</v>
      </c>
      <c r="N3324" s="94">
        <v>624400</v>
      </c>
      <c r="O3324" s="94">
        <v>624400</v>
      </c>
      <c r="P3324" s="40" t="s">
        <v>502</v>
      </c>
      <c r="Q3324" s="40" t="s">
        <v>766</v>
      </c>
      <c r="R3324" s="84">
        <v>393430100</v>
      </c>
      <c r="S3324" s="40">
        <v>0</v>
      </c>
    </row>
    <row r="3325" spans="1:19" s="92" customFormat="1" ht="89.25">
      <c r="A3325" s="5">
        <v>3310</v>
      </c>
      <c r="B3325" s="15" t="s">
        <v>710</v>
      </c>
      <c r="C3325" s="40" t="s">
        <v>597</v>
      </c>
      <c r="D3325" s="40" t="s">
        <v>598</v>
      </c>
      <c r="E3325" s="31" t="s">
        <v>599</v>
      </c>
      <c r="F3325" s="31" t="s">
        <v>782</v>
      </c>
      <c r="G3325" s="31" t="s">
        <v>3195</v>
      </c>
      <c r="H3325" s="40" t="s">
        <v>602</v>
      </c>
      <c r="I3325" s="40" t="s">
        <v>3196</v>
      </c>
      <c r="J3325" s="40" t="s">
        <v>3197</v>
      </c>
      <c r="K3325" s="40" t="s">
        <v>591</v>
      </c>
      <c r="L3325" s="11" t="s">
        <v>914</v>
      </c>
      <c r="M3325" s="93">
        <v>1</v>
      </c>
      <c r="N3325" s="94">
        <v>624400</v>
      </c>
      <c r="O3325" s="94">
        <v>624400</v>
      </c>
      <c r="P3325" s="40" t="s">
        <v>502</v>
      </c>
      <c r="Q3325" s="40" t="s">
        <v>766</v>
      </c>
      <c r="R3325" s="84">
        <v>393430100</v>
      </c>
      <c r="S3325" s="40">
        <v>0</v>
      </c>
    </row>
    <row r="3326" spans="1:19" s="92" customFormat="1" ht="51">
      <c r="A3326" s="5">
        <v>3311</v>
      </c>
      <c r="B3326" s="15" t="s">
        <v>710</v>
      </c>
      <c r="C3326" s="40" t="s">
        <v>597</v>
      </c>
      <c r="D3326" s="11" t="s">
        <v>850</v>
      </c>
      <c r="E3326" s="76" t="s">
        <v>1736</v>
      </c>
      <c r="F3326" s="76" t="s">
        <v>851</v>
      </c>
      <c r="G3326" s="76" t="s">
        <v>1737</v>
      </c>
      <c r="H3326" s="76" t="s">
        <v>852</v>
      </c>
      <c r="I3326" s="76" t="s">
        <v>3199</v>
      </c>
      <c r="J3326" s="76" t="s">
        <v>3200</v>
      </c>
      <c r="K3326" s="40" t="s">
        <v>591</v>
      </c>
      <c r="L3326" s="11" t="s">
        <v>914</v>
      </c>
      <c r="M3326" s="97">
        <v>1</v>
      </c>
      <c r="N3326" s="94">
        <f>10000*5</f>
        <v>50000</v>
      </c>
      <c r="O3326" s="94">
        <f>N3326</f>
        <v>50000</v>
      </c>
      <c r="P3326" s="40" t="s">
        <v>698</v>
      </c>
      <c r="Q3326" s="40" t="s">
        <v>766</v>
      </c>
      <c r="R3326" s="84">
        <v>393430102</v>
      </c>
      <c r="S3326" s="40">
        <v>0</v>
      </c>
    </row>
    <row r="3327" spans="1:19" s="92" customFormat="1" ht="51">
      <c r="A3327" s="5">
        <v>3312</v>
      </c>
      <c r="B3327" s="15" t="s">
        <v>710</v>
      </c>
      <c r="C3327" s="40" t="s">
        <v>597</v>
      </c>
      <c r="D3327" s="40" t="s">
        <v>2594</v>
      </c>
      <c r="E3327" s="31" t="s">
        <v>2618</v>
      </c>
      <c r="F3327" s="31" t="s">
        <v>2595</v>
      </c>
      <c r="G3327" s="31" t="s">
        <v>2618</v>
      </c>
      <c r="H3327" s="40" t="s">
        <v>2595</v>
      </c>
      <c r="I3327" s="40" t="s">
        <v>3201</v>
      </c>
      <c r="J3327" s="40" t="s">
        <v>3202</v>
      </c>
      <c r="K3327" s="40" t="s">
        <v>591</v>
      </c>
      <c r="L3327" s="11" t="s">
        <v>914</v>
      </c>
      <c r="M3327" s="93">
        <v>1</v>
      </c>
      <c r="N3327" s="94">
        <f>10500*3</f>
        <v>31500</v>
      </c>
      <c r="O3327" s="94">
        <f>N3327</f>
        <v>31500</v>
      </c>
      <c r="P3327" s="40" t="s">
        <v>3116</v>
      </c>
      <c r="Q3327" s="40" t="s">
        <v>766</v>
      </c>
      <c r="R3327" s="84">
        <v>393430100</v>
      </c>
      <c r="S3327" s="40">
        <v>30</v>
      </c>
    </row>
    <row r="3328" spans="1:19" s="92" customFormat="1" ht="89.25">
      <c r="A3328" s="5">
        <v>3313</v>
      </c>
      <c r="B3328" s="15" t="s">
        <v>710</v>
      </c>
      <c r="C3328" s="40" t="s">
        <v>711</v>
      </c>
      <c r="D3328" s="40" t="s">
        <v>976</v>
      </c>
      <c r="E3328" s="31" t="s">
        <v>730</v>
      </c>
      <c r="F3328" s="31" t="s">
        <v>731</v>
      </c>
      <c r="G3328" s="31" t="s">
        <v>977</v>
      </c>
      <c r="H3328" s="40" t="s">
        <v>978</v>
      </c>
      <c r="I3328" s="40" t="s">
        <v>3203</v>
      </c>
      <c r="J3328" s="40" t="s">
        <v>3204</v>
      </c>
      <c r="K3328" s="40" t="s">
        <v>591</v>
      </c>
      <c r="L3328" s="40" t="s">
        <v>644</v>
      </c>
      <c r="M3328" s="93">
        <v>2</v>
      </c>
      <c r="N3328" s="94">
        <v>26800</v>
      </c>
      <c r="O3328" s="94">
        <f>N3328*M3328</f>
        <v>53600</v>
      </c>
      <c r="P3328" s="40" t="s">
        <v>3116</v>
      </c>
      <c r="Q3328" s="40" t="s">
        <v>1051</v>
      </c>
      <c r="R3328" s="84">
        <v>393430100</v>
      </c>
      <c r="S3328" s="40">
        <v>100</v>
      </c>
    </row>
    <row r="3329" spans="1:19" s="92" customFormat="1" ht="63.75">
      <c r="A3329" s="5">
        <v>3314</v>
      </c>
      <c r="B3329" s="15" t="s">
        <v>710</v>
      </c>
      <c r="C3329" s="40" t="s">
        <v>711</v>
      </c>
      <c r="D3329" s="40" t="s">
        <v>744</v>
      </c>
      <c r="E3329" s="31" t="s">
        <v>745</v>
      </c>
      <c r="F3329" s="31" t="s">
        <v>109</v>
      </c>
      <c r="G3329" s="31" t="s">
        <v>746</v>
      </c>
      <c r="H3329" s="40" t="s">
        <v>3205</v>
      </c>
      <c r="I3329" s="40" t="s">
        <v>3206</v>
      </c>
      <c r="J3329" s="40" t="s">
        <v>3207</v>
      </c>
      <c r="K3329" s="40" t="s">
        <v>591</v>
      </c>
      <c r="L3329" s="40" t="s">
        <v>644</v>
      </c>
      <c r="M3329" s="93">
        <v>6</v>
      </c>
      <c r="N3329" s="94">
        <v>4608</v>
      </c>
      <c r="O3329" s="94">
        <f>M3329*N3329</f>
        <v>27648</v>
      </c>
      <c r="P3329" s="40" t="s">
        <v>3116</v>
      </c>
      <c r="Q3329" s="40" t="s">
        <v>1051</v>
      </c>
      <c r="R3329" s="84">
        <v>393430100</v>
      </c>
      <c r="S3329" s="40">
        <v>100</v>
      </c>
    </row>
    <row r="3330" spans="1:19" s="92" customFormat="1" ht="51">
      <c r="A3330" s="5">
        <v>3315</v>
      </c>
      <c r="B3330" s="15" t="s">
        <v>710</v>
      </c>
      <c r="C3330" s="40" t="s">
        <v>711</v>
      </c>
      <c r="D3330" s="98" t="s">
        <v>422</v>
      </c>
      <c r="E3330" s="76" t="s">
        <v>423</v>
      </c>
      <c r="F3330" s="76" t="s">
        <v>427</v>
      </c>
      <c r="G3330" s="76" t="s">
        <v>837</v>
      </c>
      <c r="H3330" s="76" t="s">
        <v>425</v>
      </c>
      <c r="I3330" s="76" t="s">
        <v>3208</v>
      </c>
      <c r="J3330" s="76" t="s">
        <v>3209</v>
      </c>
      <c r="K3330" s="76" t="s">
        <v>591</v>
      </c>
      <c r="L3330" s="11" t="s">
        <v>909</v>
      </c>
      <c r="M3330" s="53">
        <v>18</v>
      </c>
      <c r="N3330" s="94">
        <v>640</v>
      </c>
      <c r="O3330" s="94">
        <f>N3330*M3330</f>
        <v>11520</v>
      </c>
      <c r="P3330" s="40" t="s">
        <v>3116</v>
      </c>
      <c r="Q3330" s="40" t="s">
        <v>766</v>
      </c>
      <c r="R3330" s="84">
        <v>393430100</v>
      </c>
      <c r="S3330" s="40">
        <v>100</v>
      </c>
    </row>
    <row r="3331" spans="1:19" s="92" customFormat="1" ht="76.5">
      <c r="A3331" s="5">
        <v>3316</v>
      </c>
      <c r="B3331" s="15" t="s">
        <v>710</v>
      </c>
      <c r="C3331" s="40" t="s">
        <v>711</v>
      </c>
      <c r="D3331" s="40" t="s">
        <v>723</v>
      </c>
      <c r="E3331" s="31" t="s">
        <v>874</v>
      </c>
      <c r="F3331" s="31" t="s">
        <v>874</v>
      </c>
      <c r="G3331" s="31" t="s">
        <v>875</v>
      </c>
      <c r="H3331" s="40" t="s">
        <v>876</v>
      </c>
      <c r="I3331" s="40" t="s">
        <v>3210</v>
      </c>
      <c r="J3331" s="40" t="s">
        <v>3211</v>
      </c>
      <c r="K3331" s="40" t="s">
        <v>591</v>
      </c>
      <c r="L3331" s="40" t="s">
        <v>644</v>
      </c>
      <c r="M3331" s="93">
        <v>1</v>
      </c>
      <c r="N3331" s="94">
        <v>30000</v>
      </c>
      <c r="O3331" s="94">
        <f>N3331*M3331</f>
        <v>30000</v>
      </c>
      <c r="P3331" s="40" t="s">
        <v>3116</v>
      </c>
      <c r="Q3331" s="40" t="s">
        <v>1051</v>
      </c>
      <c r="R3331" s="84">
        <v>393430100</v>
      </c>
      <c r="S3331" s="40">
        <v>100</v>
      </c>
    </row>
    <row r="3332" spans="1:19" s="92" customFormat="1" ht="89.25">
      <c r="A3332" s="5">
        <v>3317</v>
      </c>
      <c r="B3332" s="15" t="s">
        <v>710</v>
      </c>
      <c r="C3332" s="40" t="s">
        <v>597</v>
      </c>
      <c r="D3332" s="40" t="s">
        <v>598</v>
      </c>
      <c r="E3332" s="31" t="s">
        <v>599</v>
      </c>
      <c r="F3332" s="31" t="s">
        <v>782</v>
      </c>
      <c r="G3332" s="31" t="s">
        <v>3195</v>
      </c>
      <c r="H3332" s="40" t="s">
        <v>602</v>
      </c>
      <c r="I3332" s="40" t="s">
        <v>3196</v>
      </c>
      <c r="J3332" s="40" t="s">
        <v>3197</v>
      </c>
      <c r="K3332" s="40" t="s">
        <v>591</v>
      </c>
      <c r="L3332" s="11" t="s">
        <v>914</v>
      </c>
      <c r="M3332" s="93">
        <v>1</v>
      </c>
      <c r="N3332" s="94">
        <v>624400</v>
      </c>
      <c r="O3332" s="94">
        <v>624400</v>
      </c>
      <c r="P3332" s="40" t="s">
        <v>502</v>
      </c>
      <c r="Q3332" s="40" t="s">
        <v>766</v>
      </c>
      <c r="R3332" s="84">
        <v>394230100</v>
      </c>
      <c r="S3332" s="40">
        <v>0</v>
      </c>
    </row>
    <row r="3333" spans="1:19" s="92" customFormat="1" ht="89.25">
      <c r="A3333" s="5">
        <v>3318</v>
      </c>
      <c r="B3333" s="15" t="s">
        <v>710</v>
      </c>
      <c r="C3333" s="40" t="s">
        <v>597</v>
      </c>
      <c r="D3333" s="40" t="s">
        <v>598</v>
      </c>
      <c r="E3333" s="31" t="s">
        <v>599</v>
      </c>
      <c r="F3333" s="31" t="s">
        <v>782</v>
      </c>
      <c r="G3333" s="31" t="s">
        <v>3195</v>
      </c>
      <c r="H3333" s="40" t="s">
        <v>602</v>
      </c>
      <c r="I3333" s="40" t="s">
        <v>3196</v>
      </c>
      <c r="J3333" s="40" t="s">
        <v>3197</v>
      </c>
      <c r="K3333" s="40" t="s">
        <v>591</v>
      </c>
      <c r="L3333" s="11" t="s">
        <v>914</v>
      </c>
      <c r="M3333" s="93">
        <v>1</v>
      </c>
      <c r="N3333" s="94">
        <v>624400</v>
      </c>
      <c r="O3333" s="94">
        <v>624400</v>
      </c>
      <c r="P3333" s="40" t="s">
        <v>502</v>
      </c>
      <c r="Q3333" s="40" t="s">
        <v>766</v>
      </c>
      <c r="R3333" s="84">
        <v>394230100</v>
      </c>
      <c r="S3333" s="40">
        <v>0</v>
      </c>
    </row>
    <row r="3334" spans="1:19" s="92" customFormat="1" ht="51">
      <c r="A3334" s="5">
        <v>3319</v>
      </c>
      <c r="B3334" s="15" t="s">
        <v>710</v>
      </c>
      <c r="C3334" s="40" t="s">
        <v>597</v>
      </c>
      <c r="D3334" s="11" t="s">
        <v>850</v>
      </c>
      <c r="E3334" s="76" t="s">
        <v>1736</v>
      </c>
      <c r="F3334" s="76" t="s">
        <v>851</v>
      </c>
      <c r="G3334" s="76" t="s">
        <v>1737</v>
      </c>
      <c r="H3334" s="76" t="s">
        <v>852</v>
      </c>
      <c r="I3334" s="76" t="s">
        <v>3199</v>
      </c>
      <c r="J3334" s="76" t="s">
        <v>3200</v>
      </c>
      <c r="K3334" s="40" t="s">
        <v>591</v>
      </c>
      <c r="L3334" s="11" t="s">
        <v>914</v>
      </c>
      <c r="M3334" s="97">
        <v>1</v>
      </c>
      <c r="N3334" s="94">
        <f>10000*5</f>
        <v>50000</v>
      </c>
      <c r="O3334" s="94">
        <f>N3334</f>
        <v>50000</v>
      </c>
      <c r="P3334" s="40" t="s">
        <v>698</v>
      </c>
      <c r="Q3334" s="40" t="s">
        <v>766</v>
      </c>
      <c r="R3334" s="84">
        <v>394230100</v>
      </c>
      <c r="S3334" s="40">
        <v>0</v>
      </c>
    </row>
    <row r="3335" spans="1:19" s="92" customFormat="1" ht="51">
      <c r="A3335" s="5">
        <v>3320</v>
      </c>
      <c r="B3335" s="15" t="s">
        <v>710</v>
      </c>
      <c r="C3335" s="40" t="s">
        <v>597</v>
      </c>
      <c r="D3335" s="40" t="s">
        <v>2594</v>
      </c>
      <c r="E3335" s="31" t="s">
        <v>2618</v>
      </c>
      <c r="F3335" s="31" t="s">
        <v>2595</v>
      </c>
      <c r="G3335" s="31" t="s">
        <v>2618</v>
      </c>
      <c r="H3335" s="40" t="s">
        <v>2595</v>
      </c>
      <c r="I3335" s="40" t="s">
        <v>3201</v>
      </c>
      <c r="J3335" s="40" t="s">
        <v>3202</v>
      </c>
      <c r="K3335" s="40" t="s">
        <v>591</v>
      </c>
      <c r="L3335" s="11" t="s">
        <v>914</v>
      </c>
      <c r="M3335" s="93">
        <v>1</v>
      </c>
      <c r="N3335" s="94">
        <f>10500*3</f>
        <v>31500</v>
      </c>
      <c r="O3335" s="94">
        <f>N3335</f>
        <v>31500</v>
      </c>
      <c r="P3335" s="40" t="s">
        <v>3116</v>
      </c>
      <c r="Q3335" s="40" t="s">
        <v>766</v>
      </c>
      <c r="R3335" s="84">
        <v>394230100</v>
      </c>
      <c r="S3335" s="40">
        <v>30</v>
      </c>
    </row>
    <row r="3336" spans="1:19" s="92" customFormat="1" ht="89.25">
      <c r="A3336" s="5">
        <v>3321</v>
      </c>
      <c r="B3336" s="15" t="s">
        <v>710</v>
      </c>
      <c r="C3336" s="40" t="s">
        <v>711</v>
      </c>
      <c r="D3336" s="40" t="s">
        <v>976</v>
      </c>
      <c r="E3336" s="31" t="s">
        <v>730</v>
      </c>
      <c r="F3336" s="31" t="s">
        <v>731</v>
      </c>
      <c r="G3336" s="31" t="s">
        <v>977</v>
      </c>
      <c r="H3336" s="40" t="s">
        <v>978</v>
      </c>
      <c r="I3336" s="40" t="s">
        <v>3203</v>
      </c>
      <c r="J3336" s="40" t="s">
        <v>3204</v>
      </c>
      <c r="K3336" s="40" t="s">
        <v>591</v>
      </c>
      <c r="L3336" s="40" t="s">
        <v>644</v>
      </c>
      <c r="M3336" s="93">
        <v>2</v>
      </c>
      <c r="N3336" s="94">
        <v>26800</v>
      </c>
      <c r="O3336" s="94">
        <f>N3336*M3336</f>
        <v>53600</v>
      </c>
      <c r="P3336" s="40" t="s">
        <v>3116</v>
      </c>
      <c r="Q3336" s="40" t="s">
        <v>1051</v>
      </c>
      <c r="R3336" s="84">
        <v>394230100</v>
      </c>
      <c r="S3336" s="40">
        <v>100</v>
      </c>
    </row>
    <row r="3337" spans="1:19" s="92" customFormat="1" ht="63.75">
      <c r="A3337" s="5">
        <v>3322</v>
      </c>
      <c r="B3337" s="15" t="s">
        <v>710</v>
      </c>
      <c r="C3337" s="40" t="s">
        <v>711</v>
      </c>
      <c r="D3337" s="40" t="s">
        <v>744</v>
      </c>
      <c r="E3337" s="31" t="s">
        <v>745</v>
      </c>
      <c r="F3337" s="31" t="s">
        <v>109</v>
      </c>
      <c r="G3337" s="31" t="s">
        <v>746</v>
      </c>
      <c r="H3337" s="40" t="s">
        <v>3205</v>
      </c>
      <c r="I3337" s="40" t="s">
        <v>3206</v>
      </c>
      <c r="J3337" s="40" t="s">
        <v>3207</v>
      </c>
      <c r="K3337" s="40" t="s">
        <v>591</v>
      </c>
      <c r="L3337" s="40" t="s">
        <v>644</v>
      </c>
      <c r="M3337" s="93">
        <v>6</v>
      </c>
      <c r="N3337" s="94">
        <v>4608</v>
      </c>
      <c r="O3337" s="94">
        <f>M3337*N3337</f>
        <v>27648</v>
      </c>
      <c r="P3337" s="40" t="s">
        <v>3116</v>
      </c>
      <c r="Q3337" s="40" t="s">
        <v>1051</v>
      </c>
      <c r="R3337" s="84">
        <v>394230100</v>
      </c>
      <c r="S3337" s="40">
        <v>100</v>
      </c>
    </row>
    <row r="3338" spans="1:19" s="92" customFormat="1" ht="51">
      <c r="A3338" s="5">
        <v>3323</v>
      </c>
      <c r="B3338" s="15" t="s">
        <v>710</v>
      </c>
      <c r="C3338" s="40" t="s">
        <v>711</v>
      </c>
      <c r="D3338" s="98" t="s">
        <v>422</v>
      </c>
      <c r="E3338" s="76" t="s">
        <v>423</v>
      </c>
      <c r="F3338" s="76" t="s">
        <v>427</v>
      </c>
      <c r="G3338" s="76" t="s">
        <v>837</v>
      </c>
      <c r="H3338" s="76" t="s">
        <v>425</v>
      </c>
      <c r="I3338" s="76" t="s">
        <v>3208</v>
      </c>
      <c r="J3338" s="76" t="s">
        <v>3209</v>
      </c>
      <c r="K3338" s="76" t="s">
        <v>591</v>
      </c>
      <c r="L3338" s="11" t="s">
        <v>909</v>
      </c>
      <c r="M3338" s="53">
        <v>18</v>
      </c>
      <c r="N3338" s="94">
        <v>640</v>
      </c>
      <c r="O3338" s="94">
        <f>N3338*M3338</f>
        <v>11520</v>
      </c>
      <c r="P3338" s="40" t="s">
        <v>3116</v>
      </c>
      <c r="Q3338" s="40" t="s">
        <v>766</v>
      </c>
      <c r="R3338" s="84">
        <v>394230100</v>
      </c>
      <c r="S3338" s="40">
        <v>100</v>
      </c>
    </row>
    <row r="3339" spans="1:19" s="92" customFormat="1" ht="76.5">
      <c r="A3339" s="5">
        <v>3324</v>
      </c>
      <c r="B3339" s="15" t="s">
        <v>710</v>
      </c>
      <c r="C3339" s="40" t="s">
        <v>711</v>
      </c>
      <c r="D3339" s="40" t="s">
        <v>723</v>
      </c>
      <c r="E3339" s="31" t="s">
        <v>874</v>
      </c>
      <c r="F3339" s="31" t="s">
        <v>874</v>
      </c>
      <c r="G3339" s="31" t="s">
        <v>875</v>
      </c>
      <c r="H3339" s="40" t="s">
        <v>876</v>
      </c>
      <c r="I3339" s="40" t="s">
        <v>3210</v>
      </c>
      <c r="J3339" s="40" t="s">
        <v>3211</v>
      </c>
      <c r="K3339" s="40" t="s">
        <v>591</v>
      </c>
      <c r="L3339" s="40" t="s">
        <v>644</v>
      </c>
      <c r="M3339" s="93">
        <v>1</v>
      </c>
      <c r="N3339" s="94">
        <v>30000</v>
      </c>
      <c r="O3339" s="94">
        <f>N3339*M3339</f>
        <v>30000</v>
      </c>
      <c r="P3339" s="40" t="s">
        <v>3116</v>
      </c>
      <c r="Q3339" s="40" t="s">
        <v>1051</v>
      </c>
      <c r="R3339" s="84">
        <v>394230100</v>
      </c>
      <c r="S3339" s="40">
        <v>100</v>
      </c>
    </row>
    <row r="3340" spans="1:19" s="92" customFormat="1" ht="89.25">
      <c r="A3340" s="5">
        <v>3325</v>
      </c>
      <c r="B3340" s="15" t="s">
        <v>710</v>
      </c>
      <c r="C3340" s="40" t="s">
        <v>597</v>
      </c>
      <c r="D3340" s="40" t="s">
        <v>598</v>
      </c>
      <c r="E3340" s="31" t="s">
        <v>599</v>
      </c>
      <c r="F3340" s="31" t="s">
        <v>782</v>
      </c>
      <c r="G3340" s="31" t="s">
        <v>3195</v>
      </c>
      <c r="H3340" s="40" t="s">
        <v>602</v>
      </c>
      <c r="I3340" s="40" t="s">
        <v>3196</v>
      </c>
      <c r="J3340" s="40" t="s">
        <v>3197</v>
      </c>
      <c r="K3340" s="40" t="s">
        <v>591</v>
      </c>
      <c r="L3340" s="11" t="s">
        <v>914</v>
      </c>
      <c r="M3340" s="93">
        <v>1</v>
      </c>
      <c r="N3340" s="94">
        <f>O3340/M3340</f>
        <v>424762</v>
      </c>
      <c r="O3340" s="94">
        <f>624400-199638</f>
        <v>424762</v>
      </c>
      <c r="P3340" s="40" t="s">
        <v>588</v>
      </c>
      <c r="Q3340" s="40" t="s">
        <v>766</v>
      </c>
      <c r="R3340" s="84">
        <v>394830100</v>
      </c>
      <c r="S3340" s="40">
        <v>0</v>
      </c>
    </row>
    <row r="3341" spans="1:19" s="92" customFormat="1" ht="89.25">
      <c r="A3341" s="5">
        <v>3326</v>
      </c>
      <c r="B3341" s="15" t="s">
        <v>710</v>
      </c>
      <c r="C3341" s="40" t="s">
        <v>597</v>
      </c>
      <c r="D3341" s="40" t="s">
        <v>598</v>
      </c>
      <c r="E3341" s="31" t="s">
        <v>599</v>
      </c>
      <c r="F3341" s="31" t="s">
        <v>782</v>
      </c>
      <c r="G3341" s="31" t="s">
        <v>3195</v>
      </c>
      <c r="H3341" s="40" t="s">
        <v>602</v>
      </c>
      <c r="I3341" s="40" t="s">
        <v>3196</v>
      </c>
      <c r="J3341" s="40" t="s">
        <v>3197</v>
      </c>
      <c r="K3341" s="40" t="s">
        <v>591</v>
      </c>
      <c r="L3341" s="11" t="s">
        <v>914</v>
      </c>
      <c r="M3341" s="93">
        <v>1</v>
      </c>
      <c r="N3341" s="94">
        <v>624400</v>
      </c>
      <c r="O3341" s="94">
        <v>624400</v>
      </c>
      <c r="P3341" s="40" t="s">
        <v>502</v>
      </c>
      <c r="Q3341" s="40" t="s">
        <v>766</v>
      </c>
      <c r="R3341" s="84">
        <v>394830100</v>
      </c>
      <c r="S3341" s="40">
        <v>0</v>
      </c>
    </row>
    <row r="3342" spans="1:19" s="92" customFormat="1" ht="51">
      <c r="A3342" s="5">
        <v>3327</v>
      </c>
      <c r="B3342" s="15" t="s">
        <v>710</v>
      </c>
      <c r="C3342" s="40" t="s">
        <v>597</v>
      </c>
      <c r="D3342" s="11" t="s">
        <v>850</v>
      </c>
      <c r="E3342" s="76" t="s">
        <v>1736</v>
      </c>
      <c r="F3342" s="76" t="s">
        <v>851</v>
      </c>
      <c r="G3342" s="76" t="s">
        <v>1737</v>
      </c>
      <c r="H3342" s="76" t="s">
        <v>852</v>
      </c>
      <c r="I3342" s="76" t="s">
        <v>3199</v>
      </c>
      <c r="J3342" s="76" t="s">
        <v>3200</v>
      </c>
      <c r="K3342" s="40" t="s">
        <v>591</v>
      </c>
      <c r="L3342" s="11" t="s">
        <v>914</v>
      </c>
      <c r="M3342" s="97">
        <v>1</v>
      </c>
      <c r="N3342" s="94">
        <f>10000*5</f>
        <v>50000</v>
      </c>
      <c r="O3342" s="94">
        <f>N3342</f>
        <v>50000</v>
      </c>
      <c r="P3342" s="40" t="s">
        <v>698</v>
      </c>
      <c r="Q3342" s="40" t="s">
        <v>766</v>
      </c>
      <c r="R3342" s="84">
        <v>394830100</v>
      </c>
      <c r="S3342" s="40">
        <v>0</v>
      </c>
    </row>
    <row r="3343" spans="1:19" s="92" customFormat="1" ht="51">
      <c r="A3343" s="5">
        <v>3328</v>
      </c>
      <c r="B3343" s="15" t="s">
        <v>710</v>
      </c>
      <c r="C3343" s="40" t="s">
        <v>597</v>
      </c>
      <c r="D3343" s="40" t="s">
        <v>2594</v>
      </c>
      <c r="E3343" s="31" t="s">
        <v>2618</v>
      </c>
      <c r="F3343" s="31" t="s">
        <v>2595</v>
      </c>
      <c r="G3343" s="31" t="s">
        <v>2618</v>
      </c>
      <c r="H3343" s="40" t="s">
        <v>2595</v>
      </c>
      <c r="I3343" s="40" t="s">
        <v>3201</v>
      </c>
      <c r="J3343" s="40" t="s">
        <v>3202</v>
      </c>
      <c r="K3343" s="40" t="s">
        <v>591</v>
      </c>
      <c r="L3343" s="11" t="s">
        <v>914</v>
      </c>
      <c r="M3343" s="93">
        <v>1</v>
      </c>
      <c r="N3343" s="94">
        <f>10500*3</f>
        <v>31500</v>
      </c>
      <c r="O3343" s="94">
        <f>N3343</f>
        <v>31500</v>
      </c>
      <c r="P3343" s="40" t="s">
        <v>3116</v>
      </c>
      <c r="Q3343" s="40" t="s">
        <v>766</v>
      </c>
      <c r="R3343" s="84">
        <v>394830100</v>
      </c>
      <c r="S3343" s="40">
        <v>30</v>
      </c>
    </row>
    <row r="3344" spans="1:19" s="92" customFormat="1" ht="89.25">
      <c r="A3344" s="5">
        <v>3329</v>
      </c>
      <c r="B3344" s="15" t="s">
        <v>710</v>
      </c>
      <c r="C3344" s="40" t="s">
        <v>711</v>
      </c>
      <c r="D3344" s="40" t="s">
        <v>976</v>
      </c>
      <c r="E3344" s="31" t="s">
        <v>730</v>
      </c>
      <c r="F3344" s="31" t="s">
        <v>731</v>
      </c>
      <c r="G3344" s="31" t="s">
        <v>977</v>
      </c>
      <c r="H3344" s="40" t="s">
        <v>978</v>
      </c>
      <c r="I3344" s="40" t="s">
        <v>3203</v>
      </c>
      <c r="J3344" s="40" t="s">
        <v>3204</v>
      </c>
      <c r="K3344" s="40" t="s">
        <v>591</v>
      </c>
      <c r="L3344" s="40" t="s">
        <v>644</v>
      </c>
      <c r="M3344" s="93">
        <v>2</v>
      </c>
      <c r="N3344" s="94">
        <v>26800</v>
      </c>
      <c r="O3344" s="94">
        <f>N3344*M3344</f>
        <v>53600</v>
      </c>
      <c r="P3344" s="40" t="s">
        <v>3116</v>
      </c>
      <c r="Q3344" s="40" t="s">
        <v>1051</v>
      </c>
      <c r="R3344" s="84">
        <v>394830100</v>
      </c>
      <c r="S3344" s="40">
        <v>100</v>
      </c>
    </row>
    <row r="3345" spans="1:19" s="92" customFormat="1" ht="63.75">
      <c r="A3345" s="5">
        <v>3330</v>
      </c>
      <c r="B3345" s="15" t="s">
        <v>710</v>
      </c>
      <c r="C3345" s="40" t="s">
        <v>711</v>
      </c>
      <c r="D3345" s="40" t="s">
        <v>744</v>
      </c>
      <c r="E3345" s="31" t="s">
        <v>745</v>
      </c>
      <c r="F3345" s="31" t="s">
        <v>109</v>
      </c>
      <c r="G3345" s="31" t="s">
        <v>746</v>
      </c>
      <c r="H3345" s="40" t="s">
        <v>3205</v>
      </c>
      <c r="I3345" s="40" t="s">
        <v>3206</v>
      </c>
      <c r="J3345" s="40" t="s">
        <v>3207</v>
      </c>
      <c r="K3345" s="40" t="s">
        <v>591</v>
      </c>
      <c r="L3345" s="40" t="s">
        <v>644</v>
      </c>
      <c r="M3345" s="93">
        <v>6</v>
      </c>
      <c r="N3345" s="94">
        <v>4608</v>
      </c>
      <c r="O3345" s="94">
        <f>M3345*N3345</f>
        <v>27648</v>
      </c>
      <c r="P3345" s="40" t="s">
        <v>3116</v>
      </c>
      <c r="Q3345" s="40" t="s">
        <v>1051</v>
      </c>
      <c r="R3345" s="84">
        <v>394830100</v>
      </c>
      <c r="S3345" s="40">
        <v>100</v>
      </c>
    </row>
    <row r="3346" spans="1:19" s="92" customFormat="1" ht="51">
      <c r="A3346" s="5">
        <v>3331</v>
      </c>
      <c r="B3346" s="15" t="s">
        <v>710</v>
      </c>
      <c r="C3346" s="40" t="s">
        <v>711</v>
      </c>
      <c r="D3346" s="98" t="s">
        <v>422</v>
      </c>
      <c r="E3346" s="76" t="s">
        <v>423</v>
      </c>
      <c r="F3346" s="76" t="s">
        <v>427</v>
      </c>
      <c r="G3346" s="76" t="s">
        <v>837</v>
      </c>
      <c r="H3346" s="76" t="s">
        <v>425</v>
      </c>
      <c r="I3346" s="76" t="s">
        <v>3208</v>
      </c>
      <c r="J3346" s="76" t="s">
        <v>3209</v>
      </c>
      <c r="K3346" s="76" t="s">
        <v>591</v>
      </c>
      <c r="L3346" s="11" t="s">
        <v>909</v>
      </c>
      <c r="M3346" s="53">
        <v>18</v>
      </c>
      <c r="N3346" s="94">
        <v>640</v>
      </c>
      <c r="O3346" s="94">
        <f>N3346*M3346</f>
        <v>11520</v>
      </c>
      <c r="P3346" s="40" t="s">
        <v>3116</v>
      </c>
      <c r="Q3346" s="40" t="s">
        <v>766</v>
      </c>
      <c r="R3346" s="84">
        <v>394830100</v>
      </c>
      <c r="S3346" s="40">
        <v>100</v>
      </c>
    </row>
    <row r="3347" spans="1:19" s="92" customFormat="1" ht="76.5">
      <c r="A3347" s="5">
        <v>3332</v>
      </c>
      <c r="B3347" s="15" t="s">
        <v>710</v>
      </c>
      <c r="C3347" s="40" t="s">
        <v>711</v>
      </c>
      <c r="D3347" s="40" t="s">
        <v>723</v>
      </c>
      <c r="E3347" s="31" t="s">
        <v>874</v>
      </c>
      <c r="F3347" s="31" t="s">
        <v>874</v>
      </c>
      <c r="G3347" s="31" t="s">
        <v>875</v>
      </c>
      <c r="H3347" s="40" t="s">
        <v>876</v>
      </c>
      <c r="I3347" s="40" t="s">
        <v>3210</v>
      </c>
      <c r="J3347" s="40" t="s">
        <v>3211</v>
      </c>
      <c r="K3347" s="40" t="s">
        <v>591</v>
      </c>
      <c r="L3347" s="40" t="s">
        <v>644</v>
      </c>
      <c r="M3347" s="93">
        <v>1</v>
      </c>
      <c r="N3347" s="94">
        <v>30000</v>
      </c>
      <c r="O3347" s="94">
        <f>N3347*M3347</f>
        <v>30000</v>
      </c>
      <c r="P3347" s="40" t="s">
        <v>3116</v>
      </c>
      <c r="Q3347" s="40" t="s">
        <v>1051</v>
      </c>
      <c r="R3347" s="84">
        <v>394830100</v>
      </c>
      <c r="S3347" s="40">
        <v>100</v>
      </c>
    </row>
    <row r="3348" spans="1:19" s="92" customFormat="1" ht="89.25">
      <c r="A3348" s="5">
        <v>3333</v>
      </c>
      <c r="B3348" s="15" t="s">
        <v>710</v>
      </c>
      <c r="C3348" s="40" t="s">
        <v>597</v>
      </c>
      <c r="D3348" s="40" t="s">
        <v>598</v>
      </c>
      <c r="E3348" s="31" t="s">
        <v>599</v>
      </c>
      <c r="F3348" s="31" t="s">
        <v>782</v>
      </c>
      <c r="G3348" s="31" t="s">
        <v>3195</v>
      </c>
      <c r="H3348" s="40" t="s">
        <v>602</v>
      </c>
      <c r="I3348" s="40" t="s">
        <v>3196</v>
      </c>
      <c r="J3348" s="40" t="s">
        <v>3197</v>
      </c>
      <c r="K3348" s="40" t="s">
        <v>591</v>
      </c>
      <c r="L3348" s="11" t="s">
        <v>914</v>
      </c>
      <c r="M3348" s="93">
        <v>1</v>
      </c>
      <c r="N3348" s="94">
        <v>624400</v>
      </c>
      <c r="O3348" s="94">
        <v>624400</v>
      </c>
      <c r="P3348" s="40" t="s">
        <v>502</v>
      </c>
      <c r="Q3348" s="40" t="s">
        <v>766</v>
      </c>
      <c r="R3348" s="84">
        <v>395030100</v>
      </c>
      <c r="S3348" s="40">
        <v>0</v>
      </c>
    </row>
    <row r="3349" spans="1:19" s="92" customFormat="1" ht="89.25">
      <c r="A3349" s="5">
        <v>3334</v>
      </c>
      <c r="B3349" s="15" t="s">
        <v>710</v>
      </c>
      <c r="C3349" s="40" t="s">
        <v>597</v>
      </c>
      <c r="D3349" s="40" t="s">
        <v>598</v>
      </c>
      <c r="E3349" s="31" t="s">
        <v>599</v>
      </c>
      <c r="F3349" s="31" t="s">
        <v>782</v>
      </c>
      <c r="G3349" s="31" t="s">
        <v>3195</v>
      </c>
      <c r="H3349" s="40" t="s">
        <v>602</v>
      </c>
      <c r="I3349" s="40" t="s">
        <v>3196</v>
      </c>
      <c r="J3349" s="40" t="s">
        <v>3197</v>
      </c>
      <c r="K3349" s="40" t="s">
        <v>591</v>
      </c>
      <c r="L3349" s="11" t="s">
        <v>914</v>
      </c>
      <c r="M3349" s="93">
        <v>1</v>
      </c>
      <c r="N3349" s="94">
        <v>624400</v>
      </c>
      <c r="O3349" s="94">
        <v>624400</v>
      </c>
      <c r="P3349" s="40" t="s">
        <v>502</v>
      </c>
      <c r="Q3349" s="40" t="s">
        <v>766</v>
      </c>
      <c r="R3349" s="84">
        <v>395030100</v>
      </c>
      <c r="S3349" s="40">
        <v>0</v>
      </c>
    </row>
    <row r="3350" spans="1:19" s="92" customFormat="1" ht="51">
      <c r="A3350" s="5">
        <v>3335</v>
      </c>
      <c r="B3350" s="15" t="s">
        <v>710</v>
      </c>
      <c r="C3350" s="40" t="s">
        <v>597</v>
      </c>
      <c r="D3350" s="11" t="s">
        <v>850</v>
      </c>
      <c r="E3350" s="76" t="s">
        <v>1736</v>
      </c>
      <c r="F3350" s="76" t="s">
        <v>851</v>
      </c>
      <c r="G3350" s="76" t="s">
        <v>1737</v>
      </c>
      <c r="H3350" s="76" t="s">
        <v>852</v>
      </c>
      <c r="I3350" s="76" t="s">
        <v>3199</v>
      </c>
      <c r="J3350" s="76" t="s">
        <v>3200</v>
      </c>
      <c r="K3350" s="40" t="s">
        <v>591</v>
      </c>
      <c r="L3350" s="11" t="s">
        <v>914</v>
      </c>
      <c r="M3350" s="97">
        <v>1</v>
      </c>
      <c r="N3350" s="94">
        <f>10000*5</f>
        <v>50000</v>
      </c>
      <c r="O3350" s="94">
        <f>N3350</f>
        <v>50000</v>
      </c>
      <c r="P3350" s="40" t="s">
        <v>698</v>
      </c>
      <c r="Q3350" s="40" t="s">
        <v>766</v>
      </c>
      <c r="R3350" s="84">
        <v>395030100</v>
      </c>
      <c r="S3350" s="40">
        <v>0</v>
      </c>
    </row>
    <row r="3351" spans="1:19" s="92" customFormat="1" ht="51">
      <c r="A3351" s="5">
        <v>3336</v>
      </c>
      <c r="B3351" s="15" t="s">
        <v>710</v>
      </c>
      <c r="C3351" s="40" t="s">
        <v>597</v>
      </c>
      <c r="D3351" s="40" t="s">
        <v>2594</v>
      </c>
      <c r="E3351" s="31" t="s">
        <v>2618</v>
      </c>
      <c r="F3351" s="31" t="s">
        <v>2595</v>
      </c>
      <c r="G3351" s="31" t="s">
        <v>2618</v>
      </c>
      <c r="H3351" s="40" t="s">
        <v>2595</v>
      </c>
      <c r="I3351" s="40" t="s">
        <v>3201</v>
      </c>
      <c r="J3351" s="40" t="s">
        <v>3202</v>
      </c>
      <c r="K3351" s="40" t="s">
        <v>591</v>
      </c>
      <c r="L3351" s="11" t="s">
        <v>914</v>
      </c>
      <c r="M3351" s="93">
        <v>1</v>
      </c>
      <c r="N3351" s="94">
        <f>10500*3</f>
        <v>31500</v>
      </c>
      <c r="O3351" s="94">
        <f>N3351</f>
        <v>31500</v>
      </c>
      <c r="P3351" s="40" t="s">
        <v>3116</v>
      </c>
      <c r="Q3351" s="40" t="s">
        <v>766</v>
      </c>
      <c r="R3351" s="84">
        <v>395030100</v>
      </c>
      <c r="S3351" s="40">
        <v>30</v>
      </c>
    </row>
    <row r="3352" spans="1:19" s="92" customFormat="1" ht="89.25">
      <c r="A3352" s="5">
        <v>3337</v>
      </c>
      <c r="B3352" s="15" t="s">
        <v>710</v>
      </c>
      <c r="C3352" s="40" t="s">
        <v>711</v>
      </c>
      <c r="D3352" s="40" t="s">
        <v>976</v>
      </c>
      <c r="E3352" s="31" t="s">
        <v>730</v>
      </c>
      <c r="F3352" s="31" t="s">
        <v>731</v>
      </c>
      <c r="G3352" s="31" t="s">
        <v>977</v>
      </c>
      <c r="H3352" s="40" t="s">
        <v>978</v>
      </c>
      <c r="I3352" s="40" t="s">
        <v>3203</v>
      </c>
      <c r="J3352" s="40" t="s">
        <v>3204</v>
      </c>
      <c r="K3352" s="40" t="s">
        <v>591</v>
      </c>
      <c r="L3352" s="40" t="s">
        <v>644</v>
      </c>
      <c r="M3352" s="93">
        <v>2</v>
      </c>
      <c r="N3352" s="94">
        <v>26800</v>
      </c>
      <c r="O3352" s="94">
        <f>N3352*M3352</f>
        <v>53600</v>
      </c>
      <c r="P3352" s="40" t="s">
        <v>3116</v>
      </c>
      <c r="Q3352" s="40" t="s">
        <v>1051</v>
      </c>
      <c r="R3352" s="84">
        <v>395030100</v>
      </c>
      <c r="S3352" s="40">
        <v>100</v>
      </c>
    </row>
    <row r="3353" spans="1:19" s="92" customFormat="1" ht="63.75">
      <c r="A3353" s="5">
        <v>3338</v>
      </c>
      <c r="B3353" s="15" t="s">
        <v>710</v>
      </c>
      <c r="C3353" s="40" t="s">
        <v>711</v>
      </c>
      <c r="D3353" s="40" t="s">
        <v>744</v>
      </c>
      <c r="E3353" s="31" t="s">
        <v>745</v>
      </c>
      <c r="F3353" s="31" t="s">
        <v>109</v>
      </c>
      <c r="G3353" s="31" t="s">
        <v>746</v>
      </c>
      <c r="H3353" s="40" t="s">
        <v>3205</v>
      </c>
      <c r="I3353" s="40" t="s">
        <v>3206</v>
      </c>
      <c r="J3353" s="40" t="s">
        <v>3207</v>
      </c>
      <c r="K3353" s="40" t="s">
        <v>591</v>
      </c>
      <c r="L3353" s="40" t="s">
        <v>644</v>
      </c>
      <c r="M3353" s="93">
        <v>6</v>
      </c>
      <c r="N3353" s="94">
        <v>4608</v>
      </c>
      <c r="O3353" s="94">
        <f>M3353*N3353</f>
        <v>27648</v>
      </c>
      <c r="P3353" s="40" t="s">
        <v>3116</v>
      </c>
      <c r="Q3353" s="40" t="s">
        <v>1051</v>
      </c>
      <c r="R3353" s="84">
        <v>395030100</v>
      </c>
      <c r="S3353" s="40">
        <v>100</v>
      </c>
    </row>
    <row r="3354" spans="1:19" s="92" customFormat="1" ht="51">
      <c r="A3354" s="5">
        <v>3339</v>
      </c>
      <c r="B3354" s="15" t="s">
        <v>710</v>
      </c>
      <c r="C3354" s="40" t="s">
        <v>711</v>
      </c>
      <c r="D3354" s="98" t="s">
        <v>422</v>
      </c>
      <c r="E3354" s="76" t="s">
        <v>423</v>
      </c>
      <c r="F3354" s="76" t="s">
        <v>427</v>
      </c>
      <c r="G3354" s="76" t="s">
        <v>837</v>
      </c>
      <c r="H3354" s="76" t="s">
        <v>425</v>
      </c>
      <c r="I3354" s="76" t="s">
        <v>3208</v>
      </c>
      <c r="J3354" s="76" t="s">
        <v>3209</v>
      </c>
      <c r="K3354" s="76" t="s">
        <v>591</v>
      </c>
      <c r="L3354" s="11" t="s">
        <v>909</v>
      </c>
      <c r="M3354" s="53">
        <v>18</v>
      </c>
      <c r="N3354" s="94">
        <v>640</v>
      </c>
      <c r="O3354" s="94">
        <f>N3354*M3354</f>
        <v>11520</v>
      </c>
      <c r="P3354" s="40" t="s">
        <v>3116</v>
      </c>
      <c r="Q3354" s="40" t="s">
        <v>766</v>
      </c>
      <c r="R3354" s="84">
        <v>395030100</v>
      </c>
      <c r="S3354" s="40">
        <v>100</v>
      </c>
    </row>
    <row r="3355" spans="1:19" s="92" customFormat="1" ht="76.5">
      <c r="A3355" s="5">
        <v>3340</v>
      </c>
      <c r="B3355" s="15" t="s">
        <v>710</v>
      </c>
      <c r="C3355" s="40" t="s">
        <v>711</v>
      </c>
      <c r="D3355" s="40" t="s">
        <v>723</v>
      </c>
      <c r="E3355" s="31" t="s">
        <v>874</v>
      </c>
      <c r="F3355" s="31" t="s">
        <v>874</v>
      </c>
      <c r="G3355" s="31" t="s">
        <v>875</v>
      </c>
      <c r="H3355" s="40" t="s">
        <v>876</v>
      </c>
      <c r="I3355" s="40" t="s">
        <v>3210</v>
      </c>
      <c r="J3355" s="40" t="s">
        <v>3211</v>
      </c>
      <c r="K3355" s="40" t="s">
        <v>591</v>
      </c>
      <c r="L3355" s="40" t="s">
        <v>644</v>
      </c>
      <c r="M3355" s="93">
        <v>1</v>
      </c>
      <c r="N3355" s="94">
        <v>30000</v>
      </c>
      <c r="O3355" s="94">
        <f>N3355*M3355</f>
        <v>30000</v>
      </c>
      <c r="P3355" s="40" t="s">
        <v>3116</v>
      </c>
      <c r="Q3355" s="40" t="s">
        <v>1051</v>
      </c>
      <c r="R3355" s="84">
        <v>395030100</v>
      </c>
      <c r="S3355" s="40">
        <v>100</v>
      </c>
    </row>
    <row r="3356" spans="1:19" s="92" customFormat="1" ht="89.25">
      <c r="A3356" s="5">
        <v>3341</v>
      </c>
      <c r="B3356" s="15" t="s">
        <v>710</v>
      </c>
      <c r="C3356" s="40" t="s">
        <v>597</v>
      </c>
      <c r="D3356" s="40" t="s">
        <v>598</v>
      </c>
      <c r="E3356" s="31" t="s">
        <v>599</v>
      </c>
      <c r="F3356" s="31" t="s">
        <v>782</v>
      </c>
      <c r="G3356" s="31" t="s">
        <v>3195</v>
      </c>
      <c r="H3356" s="40" t="s">
        <v>602</v>
      </c>
      <c r="I3356" s="40" t="s">
        <v>3196</v>
      </c>
      <c r="J3356" s="40" t="s">
        <v>3197</v>
      </c>
      <c r="K3356" s="40" t="s">
        <v>591</v>
      </c>
      <c r="L3356" s="11" t="s">
        <v>914</v>
      </c>
      <c r="M3356" s="93">
        <v>1</v>
      </c>
      <c r="N3356" s="94">
        <v>624400</v>
      </c>
      <c r="O3356" s="94">
        <v>624400</v>
      </c>
      <c r="P3356" s="40" t="s">
        <v>502</v>
      </c>
      <c r="Q3356" s="40" t="s">
        <v>766</v>
      </c>
      <c r="R3356" s="84">
        <v>396630100</v>
      </c>
      <c r="S3356" s="40">
        <v>0</v>
      </c>
    </row>
    <row r="3357" spans="1:19" s="92" customFormat="1" ht="89.25">
      <c r="A3357" s="5">
        <v>3342</v>
      </c>
      <c r="B3357" s="15" t="s">
        <v>710</v>
      </c>
      <c r="C3357" s="40" t="s">
        <v>597</v>
      </c>
      <c r="D3357" s="40" t="s">
        <v>598</v>
      </c>
      <c r="E3357" s="31" t="s">
        <v>599</v>
      </c>
      <c r="F3357" s="31" t="s">
        <v>782</v>
      </c>
      <c r="G3357" s="31" t="s">
        <v>3195</v>
      </c>
      <c r="H3357" s="40" t="s">
        <v>602</v>
      </c>
      <c r="I3357" s="40" t="s">
        <v>3196</v>
      </c>
      <c r="J3357" s="40" t="s">
        <v>3197</v>
      </c>
      <c r="K3357" s="40" t="s">
        <v>591</v>
      </c>
      <c r="L3357" s="11" t="s">
        <v>914</v>
      </c>
      <c r="M3357" s="93">
        <v>1</v>
      </c>
      <c r="N3357" s="94">
        <v>624400</v>
      </c>
      <c r="O3357" s="94">
        <v>624400</v>
      </c>
      <c r="P3357" s="40" t="s">
        <v>502</v>
      </c>
      <c r="Q3357" s="40" t="s">
        <v>766</v>
      </c>
      <c r="R3357" s="84">
        <v>396630100</v>
      </c>
      <c r="S3357" s="40">
        <v>0</v>
      </c>
    </row>
    <row r="3358" spans="1:19" s="92" customFormat="1" ht="51">
      <c r="A3358" s="5">
        <v>3343</v>
      </c>
      <c r="B3358" s="15" t="s">
        <v>710</v>
      </c>
      <c r="C3358" s="40" t="s">
        <v>597</v>
      </c>
      <c r="D3358" s="11" t="s">
        <v>850</v>
      </c>
      <c r="E3358" s="76" t="s">
        <v>1736</v>
      </c>
      <c r="F3358" s="76" t="s">
        <v>851</v>
      </c>
      <c r="G3358" s="76" t="s">
        <v>1737</v>
      </c>
      <c r="H3358" s="76" t="s">
        <v>852</v>
      </c>
      <c r="I3358" s="76" t="s">
        <v>3199</v>
      </c>
      <c r="J3358" s="76" t="s">
        <v>3200</v>
      </c>
      <c r="K3358" s="40" t="s">
        <v>591</v>
      </c>
      <c r="L3358" s="11" t="s">
        <v>914</v>
      </c>
      <c r="M3358" s="97">
        <v>1</v>
      </c>
      <c r="N3358" s="94">
        <f>10000*5</f>
        <v>50000</v>
      </c>
      <c r="O3358" s="94">
        <f>N3358</f>
        <v>50000</v>
      </c>
      <c r="P3358" s="40" t="s">
        <v>698</v>
      </c>
      <c r="Q3358" s="40" t="s">
        <v>766</v>
      </c>
      <c r="R3358" s="84">
        <v>396630100</v>
      </c>
      <c r="S3358" s="40">
        <v>0</v>
      </c>
    </row>
    <row r="3359" spans="1:19" s="92" customFormat="1" ht="51">
      <c r="A3359" s="5">
        <v>3344</v>
      </c>
      <c r="B3359" s="15" t="s">
        <v>710</v>
      </c>
      <c r="C3359" s="40" t="s">
        <v>597</v>
      </c>
      <c r="D3359" s="40" t="s">
        <v>2594</v>
      </c>
      <c r="E3359" s="31" t="s">
        <v>2618</v>
      </c>
      <c r="F3359" s="31" t="s">
        <v>2595</v>
      </c>
      <c r="G3359" s="31" t="s">
        <v>2618</v>
      </c>
      <c r="H3359" s="40" t="s">
        <v>2595</v>
      </c>
      <c r="I3359" s="40" t="s">
        <v>3201</v>
      </c>
      <c r="J3359" s="40" t="s">
        <v>3202</v>
      </c>
      <c r="K3359" s="40" t="s">
        <v>591</v>
      </c>
      <c r="L3359" s="11" t="s">
        <v>914</v>
      </c>
      <c r="M3359" s="93">
        <v>1</v>
      </c>
      <c r="N3359" s="94">
        <f>10500*3</f>
        <v>31500</v>
      </c>
      <c r="O3359" s="94">
        <f>N3359</f>
        <v>31500</v>
      </c>
      <c r="P3359" s="40" t="s">
        <v>3116</v>
      </c>
      <c r="Q3359" s="40" t="s">
        <v>766</v>
      </c>
      <c r="R3359" s="84">
        <v>396630100</v>
      </c>
      <c r="S3359" s="40">
        <v>30</v>
      </c>
    </row>
    <row r="3360" spans="1:19" s="92" customFormat="1" ht="89.25">
      <c r="A3360" s="5">
        <v>3345</v>
      </c>
      <c r="B3360" s="15" t="s">
        <v>710</v>
      </c>
      <c r="C3360" s="40" t="s">
        <v>711</v>
      </c>
      <c r="D3360" s="40" t="s">
        <v>976</v>
      </c>
      <c r="E3360" s="31" t="s">
        <v>730</v>
      </c>
      <c r="F3360" s="31" t="s">
        <v>731</v>
      </c>
      <c r="G3360" s="31" t="s">
        <v>977</v>
      </c>
      <c r="H3360" s="40" t="s">
        <v>978</v>
      </c>
      <c r="I3360" s="40" t="s">
        <v>3203</v>
      </c>
      <c r="J3360" s="40" t="s">
        <v>3204</v>
      </c>
      <c r="K3360" s="40" t="s">
        <v>591</v>
      </c>
      <c r="L3360" s="40" t="s">
        <v>644</v>
      </c>
      <c r="M3360" s="93">
        <v>2</v>
      </c>
      <c r="N3360" s="94">
        <v>26800</v>
      </c>
      <c r="O3360" s="94">
        <f>N3360*M3360</f>
        <v>53600</v>
      </c>
      <c r="P3360" s="40" t="s">
        <v>3116</v>
      </c>
      <c r="Q3360" s="40" t="s">
        <v>1051</v>
      </c>
      <c r="R3360" s="84">
        <v>396630100</v>
      </c>
      <c r="S3360" s="40">
        <v>100</v>
      </c>
    </row>
    <row r="3361" spans="1:19" s="92" customFormat="1" ht="63.75">
      <c r="A3361" s="5">
        <v>3346</v>
      </c>
      <c r="B3361" s="15" t="s">
        <v>710</v>
      </c>
      <c r="C3361" s="40" t="s">
        <v>711</v>
      </c>
      <c r="D3361" s="40" t="s">
        <v>744</v>
      </c>
      <c r="E3361" s="31" t="s">
        <v>745</v>
      </c>
      <c r="F3361" s="31" t="s">
        <v>109</v>
      </c>
      <c r="G3361" s="31" t="s">
        <v>746</v>
      </c>
      <c r="H3361" s="40" t="s">
        <v>3205</v>
      </c>
      <c r="I3361" s="40" t="s">
        <v>3206</v>
      </c>
      <c r="J3361" s="40" t="s">
        <v>3207</v>
      </c>
      <c r="K3361" s="40" t="s">
        <v>591</v>
      </c>
      <c r="L3361" s="40" t="s">
        <v>644</v>
      </c>
      <c r="M3361" s="93">
        <v>6</v>
      </c>
      <c r="N3361" s="94">
        <v>4608</v>
      </c>
      <c r="O3361" s="94">
        <f>M3361*N3361</f>
        <v>27648</v>
      </c>
      <c r="P3361" s="40" t="s">
        <v>3116</v>
      </c>
      <c r="Q3361" s="40" t="s">
        <v>1051</v>
      </c>
      <c r="R3361" s="84">
        <v>396630100</v>
      </c>
      <c r="S3361" s="40">
        <v>100</v>
      </c>
    </row>
    <row r="3362" spans="1:19" s="92" customFormat="1" ht="51">
      <c r="A3362" s="5">
        <v>3347</v>
      </c>
      <c r="B3362" s="15" t="s">
        <v>710</v>
      </c>
      <c r="C3362" s="40" t="s">
        <v>711</v>
      </c>
      <c r="D3362" s="98" t="s">
        <v>422</v>
      </c>
      <c r="E3362" s="76" t="s">
        <v>423</v>
      </c>
      <c r="F3362" s="76" t="s">
        <v>427</v>
      </c>
      <c r="G3362" s="76" t="s">
        <v>837</v>
      </c>
      <c r="H3362" s="76" t="s">
        <v>425</v>
      </c>
      <c r="I3362" s="76" t="s">
        <v>3208</v>
      </c>
      <c r="J3362" s="76" t="s">
        <v>3209</v>
      </c>
      <c r="K3362" s="76" t="s">
        <v>591</v>
      </c>
      <c r="L3362" s="11" t="s">
        <v>909</v>
      </c>
      <c r="M3362" s="53">
        <v>18</v>
      </c>
      <c r="N3362" s="94">
        <v>640</v>
      </c>
      <c r="O3362" s="94">
        <f>N3362*M3362</f>
        <v>11520</v>
      </c>
      <c r="P3362" s="40" t="s">
        <v>3116</v>
      </c>
      <c r="Q3362" s="40" t="s">
        <v>766</v>
      </c>
      <c r="R3362" s="84">
        <v>396630100</v>
      </c>
      <c r="S3362" s="40">
        <v>100</v>
      </c>
    </row>
    <row r="3363" spans="1:19" s="92" customFormat="1" ht="76.5">
      <c r="A3363" s="5">
        <v>3348</v>
      </c>
      <c r="B3363" s="15" t="s">
        <v>710</v>
      </c>
      <c r="C3363" s="40" t="s">
        <v>711</v>
      </c>
      <c r="D3363" s="40" t="s">
        <v>723</v>
      </c>
      <c r="E3363" s="31" t="s">
        <v>874</v>
      </c>
      <c r="F3363" s="31" t="s">
        <v>874</v>
      </c>
      <c r="G3363" s="31" t="s">
        <v>875</v>
      </c>
      <c r="H3363" s="40" t="s">
        <v>876</v>
      </c>
      <c r="I3363" s="40" t="s">
        <v>3210</v>
      </c>
      <c r="J3363" s="40" t="s">
        <v>3211</v>
      </c>
      <c r="K3363" s="40" t="s">
        <v>591</v>
      </c>
      <c r="L3363" s="40" t="s">
        <v>644</v>
      </c>
      <c r="M3363" s="93">
        <v>1</v>
      </c>
      <c r="N3363" s="94">
        <v>30000</v>
      </c>
      <c r="O3363" s="94">
        <f>N3363*M3363</f>
        <v>30000</v>
      </c>
      <c r="P3363" s="40" t="s">
        <v>3116</v>
      </c>
      <c r="Q3363" s="40" t="s">
        <v>1051</v>
      </c>
      <c r="R3363" s="84">
        <v>396630100</v>
      </c>
      <c r="S3363" s="40">
        <v>100</v>
      </c>
    </row>
    <row r="3364" spans="1:19" s="92" customFormat="1" ht="89.25">
      <c r="A3364" s="5">
        <v>3349</v>
      </c>
      <c r="B3364" s="15" t="s">
        <v>710</v>
      </c>
      <c r="C3364" s="40" t="s">
        <v>597</v>
      </c>
      <c r="D3364" s="40" t="s">
        <v>598</v>
      </c>
      <c r="E3364" s="31" t="s">
        <v>599</v>
      </c>
      <c r="F3364" s="31" t="s">
        <v>782</v>
      </c>
      <c r="G3364" s="31" t="s">
        <v>3195</v>
      </c>
      <c r="H3364" s="40" t="s">
        <v>602</v>
      </c>
      <c r="I3364" s="40" t="s">
        <v>3196</v>
      </c>
      <c r="J3364" s="40" t="s">
        <v>3197</v>
      </c>
      <c r="K3364" s="40" t="s">
        <v>591</v>
      </c>
      <c r="L3364" s="11" t="s">
        <v>914</v>
      </c>
      <c r="M3364" s="93">
        <v>1</v>
      </c>
      <c r="N3364" s="94">
        <v>624400</v>
      </c>
      <c r="O3364" s="94">
        <v>624400</v>
      </c>
      <c r="P3364" s="40" t="s">
        <v>502</v>
      </c>
      <c r="Q3364" s="40" t="s">
        <v>766</v>
      </c>
      <c r="R3364" s="84">
        <v>394030100</v>
      </c>
      <c r="S3364" s="40">
        <v>0</v>
      </c>
    </row>
    <row r="3365" spans="1:19" s="92" customFormat="1" ht="89.25">
      <c r="A3365" s="5">
        <v>3350</v>
      </c>
      <c r="B3365" s="15" t="s">
        <v>710</v>
      </c>
      <c r="C3365" s="40" t="s">
        <v>597</v>
      </c>
      <c r="D3365" s="40" t="s">
        <v>598</v>
      </c>
      <c r="E3365" s="31" t="s">
        <v>599</v>
      </c>
      <c r="F3365" s="31" t="s">
        <v>782</v>
      </c>
      <c r="G3365" s="31" t="s">
        <v>3195</v>
      </c>
      <c r="H3365" s="40" t="s">
        <v>602</v>
      </c>
      <c r="I3365" s="40" t="s">
        <v>3196</v>
      </c>
      <c r="J3365" s="40" t="s">
        <v>3197</v>
      </c>
      <c r="K3365" s="40" t="s">
        <v>591</v>
      </c>
      <c r="L3365" s="11" t="s">
        <v>914</v>
      </c>
      <c r="M3365" s="93">
        <v>1</v>
      </c>
      <c r="N3365" s="94">
        <v>624400</v>
      </c>
      <c r="O3365" s="94">
        <v>624400</v>
      </c>
      <c r="P3365" s="40" t="s">
        <v>502</v>
      </c>
      <c r="Q3365" s="40" t="s">
        <v>766</v>
      </c>
      <c r="R3365" s="84">
        <v>394030100</v>
      </c>
      <c r="S3365" s="40">
        <v>0</v>
      </c>
    </row>
    <row r="3366" spans="1:19" s="92" customFormat="1" ht="51">
      <c r="A3366" s="5">
        <v>3351</v>
      </c>
      <c r="B3366" s="15" t="s">
        <v>710</v>
      </c>
      <c r="C3366" s="40" t="s">
        <v>597</v>
      </c>
      <c r="D3366" s="11" t="s">
        <v>850</v>
      </c>
      <c r="E3366" s="76" t="s">
        <v>1736</v>
      </c>
      <c r="F3366" s="76" t="s">
        <v>851</v>
      </c>
      <c r="G3366" s="76" t="s">
        <v>1737</v>
      </c>
      <c r="H3366" s="76" t="s">
        <v>852</v>
      </c>
      <c r="I3366" s="76" t="s">
        <v>3199</v>
      </c>
      <c r="J3366" s="76" t="s">
        <v>3200</v>
      </c>
      <c r="K3366" s="40" t="s">
        <v>591</v>
      </c>
      <c r="L3366" s="11" t="s">
        <v>914</v>
      </c>
      <c r="M3366" s="97">
        <v>1</v>
      </c>
      <c r="N3366" s="94">
        <f>10000*5</f>
        <v>50000</v>
      </c>
      <c r="O3366" s="94">
        <f>N3366</f>
        <v>50000</v>
      </c>
      <c r="P3366" s="40" t="s">
        <v>698</v>
      </c>
      <c r="Q3366" s="40" t="s">
        <v>766</v>
      </c>
      <c r="R3366" s="84">
        <v>394030100</v>
      </c>
      <c r="S3366" s="40">
        <v>0</v>
      </c>
    </row>
    <row r="3367" spans="1:19" s="92" customFormat="1" ht="51">
      <c r="A3367" s="5">
        <v>3352</v>
      </c>
      <c r="B3367" s="15" t="s">
        <v>710</v>
      </c>
      <c r="C3367" s="40" t="s">
        <v>597</v>
      </c>
      <c r="D3367" s="40" t="s">
        <v>2594</v>
      </c>
      <c r="E3367" s="31" t="s">
        <v>2618</v>
      </c>
      <c r="F3367" s="31" t="s">
        <v>2595</v>
      </c>
      <c r="G3367" s="31" t="s">
        <v>2618</v>
      </c>
      <c r="H3367" s="40" t="s">
        <v>2595</v>
      </c>
      <c r="I3367" s="40" t="s">
        <v>3201</v>
      </c>
      <c r="J3367" s="40" t="s">
        <v>3202</v>
      </c>
      <c r="K3367" s="40" t="s">
        <v>591</v>
      </c>
      <c r="L3367" s="11" t="s">
        <v>914</v>
      </c>
      <c r="M3367" s="93">
        <v>1</v>
      </c>
      <c r="N3367" s="94">
        <f>10500*3</f>
        <v>31500</v>
      </c>
      <c r="O3367" s="94">
        <f>N3367</f>
        <v>31500</v>
      </c>
      <c r="P3367" s="40" t="s">
        <v>3116</v>
      </c>
      <c r="Q3367" s="40" t="s">
        <v>766</v>
      </c>
      <c r="R3367" s="84">
        <v>394030100</v>
      </c>
      <c r="S3367" s="40">
        <v>30</v>
      </c>
    </row>
    <row r="3368" spans="1:19" s="92" customFormat="1" ht="89.25">
      <c r="A3368" s="5">
        <v>3353</v>
      </c>
      <c r="B3368" s="15" t="s">
        <v>710</v>
      </c>
      <c r="C3368" s="40" t="s">
        <v>711</v>
      </c>
      <c r="D3368" s="40" t="s">
        <v>976</v>
      </c>
      <c r="E3368" s="31" t="s">
        <v>730</v>
      </c>
      <c r="F3368" s="31" t="s">
        <v>731</v>
      </c>
      <c r="G3368" s="31" t="s">
        <v>977</v>
      </c>
      <c r="H3368" s="40" t="s">
        <v>978</v>
      </c>
      <c r="I3368" s="40" t="s">
        <v>3203</v>
      </c>
      <c r="J3368" s="40" t="s">
        <v>3204</v>
      </c>
      <c r="K3368" s="40" t="s">
        <v>591</v>
      </c>
      <c r="L3368" s="40" t="s">
        <v>644</v>
      </c>
      <c r="M3368" s="93">
        <v>2</v>
      </c>
      <c r="N3368" s="94">
        <v>26800</v>
      </c>
      <c r="O3368" s="94">
        <f>N3368*M3368</f>
        <v>53600</v>
      </c>
      <c r="P3368" s="40" t="s">
        <v>3116</v>
      </c>
      <c r="Q3368" s="40" t="s">
        <v>1051</v>
      </c>
      <c r="R3368" s="84">
        <v>394030100</v>
      </c>
      <c r="S3368" s="40">
        <v>100</v>
      </c>
    </row>
    <row r="3369" spans="1:19" s="92" customFormat="1" ht="63.75">
      <c r="A3369" s="5">
        <v>3354</v>
      </c>
      <c r="B3369" s="15" t="s">
        <v>710</v>
      </c>
      <c r="C3369" s="40" t="s">
        <v>711</v>
      </c>
      <c r="D3369" s="40" t="s">
        <v>744</v>
      </c>
      <c r="E3369" s="31" t="s">
        <v>745</v>
      </c>
      <c r="F3369" s="31" t="s">
        <v>109</v>
      </c>
      <c r="G3369" s="31" t="s">
        <v>746</v>
      </c>
      <c r="H3369" s="40" t="s">
        <v>3205</v>
      </c>
      <c r="I3369" s="40" t="s">
        <v>3206</v>
      </c>
      <c r="J3369" s="40" t="s">
        <v>3207</v>
      </c>
      <c r="K3369" s="40" t="s">
        <v>591</v>
      </c>
      <c r="L3369" s="40" t="s">
        <v>644</v>
      </c>
      <c r="M3369" s="93">
        <v>6</v>
      </c>
      <c r="N3369" s="94">
        <v>4608</v>
      </c>
      <c r="O3369" s="94">
        <f>M3369*N3369</f>
        <v>27648</v>
      </c>
      <c r="P3369" s="40" t="s">
        <v>3116</v>
      </c>
      <c r="Q3369" s="40" t="s">
        <v>1051</v>
      </c>
      <c r="R3369" s="84">
        <v>394030100</v>
      </c>
      <c r="S3369" s="40">
        <v>100</v>
      </c>
    </row>
    <row r="3370" spans="1:19" s="92" customFormat="1" ht="51">
      <c r="A3370" s="5">
        <v>3355</v>
      </c>
      <c r="B3370" s="15" t="s">
        <v>710</v>
      </c>
      <c r="C3370" s="40" t="s">
        <v>711</v>
      </c>
      <c r="D3370" s="98" t="s">
        <v>422</v>
      </c>
      <c r="E3370" s="76" t="s">
        <v>423</v>
      </c>
      <c r="F3370" s="76" t="s">
        <v>427</v>
      </c>
      <c r="G3370" s="76" t="s">
        <v>837</v>
      </c>
      <c r="H3370" s="76" t="s">
        <v>425</v>
      </c>
      <c r="I3370" s="76" t="s">
        <v>3208</v>
      </c>
      <c r="J3370" s="76" t="s">
        <v>3209</v>
      </c>
      <c r="K3370" s="76" t="s">
        <v>591</v>
      </c>
      <c r="L3370" s="11" t="s">
        <v>909</v>
      </c>
      <c r="M3370" s="53">
        <v>18</v>
      </c>
      <c r="N3370" s="94">
        <v>640</v>
      </c>
      <c r="O3370" s="94">
        <f>N3370*M3370</f>
        <v>11520</v>
      </c>
      <c r="P3370" s="40" t="s">
        <v>3116</v>
      </c>
      <c r="Q3370" s="40" t="s">
        <v>766</v>
      </c>
      <c r="R3370" s="84">
        <v>394030100</v>
      </c>
      <c r="S3370" s="40">
        <v>100</v>
      </c>
    </row>
    <row r="3371" spans="1:19" s="92" customFormat="1" ht="76.5">
      <c r="A3371" s="5">
        <v>3356</v>
      </c>
      <c r="B3371" s="15" t="s">
        <v>710</v>
      </c>
      <c r="C3371" s="40" t="s">
        <v>711</v>
      </c>
      <c r="D3371" s="40" t="s">
        <v>723</v>
      </c>
      <c r="E3371" s="31" t="s">
        <v>874</v>
      </c>
      <c r="F3371" s="31" t="s">
        <v>874</v>
      </c>
      <c r="G3371" s="31" t="s">
        <v>875</v>
      </c>
      <c r="H3371" s="40" t="s">
        <v>876</v>
      </c>
      <c r="I3371" s="40" t="s">
        <v>3210</v>
      </c>
      <c r="J3371" s="40" t="s">
        <v>3211</v>
      </c>
      <c r="K3371" s="40" t="s">
        <v>591</v>
      </c>
      <c r="L3371" s="40" t="s">
        <v>644</v>
      </c>
      <c r="M3371" s="93">
        <v>1</v>
      </c>
      <c r="N3371" s="94">
        <v>30000</v>
      </c>
      <c r="O3371" s="94">
        <f>N3371*M3371</f>
        <v>30000</v>
      </c>
      <c r="P3371" s="40" t="s">
        <v>3116</v>
      </c>
      <c r="Q3371" s="40" t="s">
        <v>1051</v>
      </c>
      <c r="R3371" s="84">
        <v>394030100</v>
      </c>
      <c r="S3371" s="40">
        <v>100</v>
      </c>
    </row>
    <row r="3372" spans="1:19" s="92" customFormat="1" ht="89.25">
      <c r="A3372" s="5">
        <v>3357</v>
      </c>
      <c r="B3372" s="15" t="s">
        <v>710</v>
      </c>
      <c r="C3372" s="40" t="s">
        <v>597</v>
      </c>
      <c r="D3372" s="40" t="s">
        <v>598</v>
      </c>
      <c r="E3372" s="31" t="s">
        <v>599</v>
      </c>
      <c r="F3372" s="31" t="s">
        <v>782</v>
      </c>
      <c r="G3372" s="31" t="s">
        <v>3195</v>
      </c>
      <c r="H3372" s="40" t="s">
        <v>602</v>
      </c>
      <c r="I3372" s="40" t="s">
        <v>3196</v>
      </c>
      <c r="J3372" s="40" t="s">
        <v>3197</v>
      </c>
      <c r="K3372" s="40" t="s">
        <v>591</v>
      </c>
      <c r="L3372" s="11" t="s">
        <v>914</v>
      </c>
      <c r="M3372" s="93">
        <v>1</v>
      </c>
      <c r="N3372" s="94">
        <v>624400</v>
      </c>
      <c r="O3372" s="94">
        <v>624400</v>
      </c>
      <c r="P3372" s="40" t="s">
        <v>502</v>
      </c>
      <c r="Q3372" s="40" t="s">
        <v>766</v>
      </c>
      <c r="R3372" s="84">
        <v>395230100</v>
      </c>
      <c r="S3372" s="40">
        <v>0</v>
      </c>
    </row>
    <row r="3373" spans="1:19" s="92" customFormat="1" ht="89.25">
      <c r="A3373" s="5">
        <v>3358</v>
      </c>
      <c r="B3373" s="15" t="s">
        <v>710</v>
      </c>
      <c r="C3373" s="40" t="s">
        <v>597</v>
      </c>
      <c r="D3373" s="40" t="s">
        <v>598</v>
      </c>
      <c r="E3373" s="31" t="s">
        <v>599</v>
      </c>
      <c r="F3373" s="31" t="s">
        <v>782</v>
      </c>
      <c r="G3373" s="31" t="s">
        <v>3195</v>
      </c>
      <c r="H3373" s="40" t="s">
        <v>602</v>
      </c>
      <c r="I3373" s="40" t="s">
        <v>3196</v>
      </c>
      <c r="J3373" s="40" t="s">
        <v>3197</v>
      </c>
      <c r="K3373" s="40" t="s">
        <v>591</v>
      </c>
      <c r="L3373" s="11" t="s">
        <v>914</v>
      </c>
      <c r="M3373" s="93">
        <v>1</v>
      </c>
      <c r="N3373" s="94">
        <v>624400</v>
      </c>
      <c r="O3373" s="94">
        <v>624400</v>
      </c>
      <c r="P3373" s="40" t="s">
        <v>502</v>
      </c>
      <c r="Q3373" s="40" t="s">
        <v>766</v>
      </c>
      <c r="R3373" s="84">
        <v>395230100</v>
      </c>
      <c r="S3373" s="40">
        <v>0</v>
      </c>
    </row>
    <row r="3374" spans="1:19" s="92" customFormat="1" ht="51">
      <c r="A3374" s="5">
        <v>3359</v>
      </c>
      <c r="B3374" s="15" t="s">
        <v>710</v>
      </c>
      <c r="C3374" s="40" t="s">
        <v>597</v>
      </c>
      <c r="D3374" s="11" t="s">
        <v>850</v>
      </c>
      <c r="E3374" s="76" t="s">
        <v>1736</v>
      </c>
      <c r="F3374" s="76" t="s">
        <v>851</v>
      </c>
      <c r="G3374" s="76" t="s">
        <v>1737</v>
      </c>
      <c r="H3374" s="76" t="s">
        <v>852</v>
      </c>
      <c r="I3374" s="76" t="s">
        <v>3199</v>
      </c>
      <c r="J3374" s="76" t="s">
        <v>3200</v>
      </c>
      <c r="K3374" s="40" t="s">
        <v>591</v>
      </c>
      <c r="L3374" s="11" t="s">
        <v>914</v>
      </c>
      <c r="M3374" s="97">
        <v>1</v>
      </c>
      <c r="N3374" s="94">
        <f>10000*5</f>
        <v>50000</v>
      </c>
      <c r="O3374" s="94">
        <f>N3374</f>
        <v>50000</v>
      </c>
      <c r="P3374" s="40" t="s">
        <v>588</v>
      </c>
      <c r="Q3374" s="40" t="s">
        <v>766</v>
      </c>
      <c r="R3374" s="84">
        <v>395230100</v>
      </c>
      <c r="S3374" s="40">
        <v>0</v>
      </c>
    </row>
    <row r="3375" spans="1:19" s="92" customFormat="1" ht="51">
      <c r="A3375" s="5">
        <v>3360</v>
      </c>
      <c r="B3375" s="15" t="s">
        <v>710</v>
      </c>
      <c r="C3375" s="40" t="s">
        <v>597</v>
      </c>
      <c r="D3375" s="40" t="s">
        <v>2594</v>
      </c>
      <c r="E3375" s="31" t="s">
        <v>2618</v>
      </c>
      <c r="F3375" s="31" t="s">
        <v>2595</v>
      </c>
      <c r="G3375" s="31" t="s">
        <v>2618</v>
      </c>
      <c r="H3375" s="40" t="s">
        <v>2595</v>
      </c>
      <c r="I3375" s="40" t="s">
        <v>3201</v>
      </c>
      <c r="J3375" s="40" t="s">
        <v>3202</v>
      </c>
      <c r="K3375" s="40" t="s">
        <v>591</v>
      </c>
      <c r="L3375" s="11" t="s">
        <v>914</v>
      </c>
      <c r="M3375" s="93">
        <v>1</v>
      </c>
      <c r="N3375" s="94">
        <f>10500*3</f>
        <v>31500</v>
      </c>
      <c r="O3375" s="94">
        <f>N3375</f>
        <v>31500</v>
      </c>
      <c r="P3375" s="40" t="s">
        <v>3116</v>
      </c>
      <c r="Q3375" s="40" t="s">
        <v>766</v>
      </c>
      <c r="R3375" s="84">
        <v>395230100</v>
      </c>
      <c r="S3375" s="40">
        <v>30</v>
      </c>
    </row>
    <row r="3376" spans="1:19" s="92" customFormat="1" ht="89.25">
      <c r="A3376" s="5">
        <v>3361</v>
      </c>
      <c r="B3376" s="15" t="s">
        <v>710</v>
      </c>
      <c r="C3376" s="40" t="s">
        <v>711</v>
      </c>
      <c r="D3376" s="40" t="s">
        <v>976</v>
      </c>
      <c r="E3376" s="31" t="s">
        <v>730</v>
      </c>
      <c r="F3376" s="31" t="s">
        <v>731</v>
      </c>
      <c r="G3376" s="31" t="s">
        <v>977</v>
      </c>
      <c r="H3376" s="40" t="s">
        <v>978</v>
      </c>
      <c r="I3376" s="40" t="s">
        <v>3203</v>
      </c>
      <c r="J3376" s="40" t="s">
        <v>3204</v>
      </c>
      <c r="K3376" s="40" t="s">
        <v>591</v>
      </c>
      <c r="L3376" s="40" t="s">
        <v>644</v>
      </c>
      <c r="M3376" s="93">
        <v>2</v>
      </c>
      <c r="N3376" s="94">
        <v>26800</v>
      </c>
      <c r="O3376" s="94">
        <f>N3376*M3376</f>
        <v>53600</v>
      </c>
      <c r="P3376" s="40" t="s">
        <v>3116</v>
      </c>
      <c r="Q3376" s="40" t="s">
        <v>1051</v>
      </c>
      <c r="R3376" s="84">
        <v>395230100</v>
      </c>
      <c r="S3376" s="40">
        <v>100</v>
      </c>
    </row>
    <row r="3377" spans="1:19" s="92" customFormat="1" ht="63.75">
      <c r="A3377" s="5">
        <v>3362</v>
      </c>
      <c r="B3377" s="15" t="s">
        <v>710</v>
      </c>
      <c r="C3377" s="40" t="s">
        <v>711</v>
      </c>
      <c r="D3377" s="40" t="s">
        <v>744</v>
      </c>
      <c r="E3377" s="31" t="s">
        <v>745</v>
      </c>
      <c r="F3377" s="31" t="s">
        <v>109</v>
      </c>
      <c r="G3377" s="31" t="s">
        <v>746</v>
      </c>
      <c r="H3377" s="40" t="s">
        <v>3205</v>
      </c>
      <c r="I3377" s="40" t="s">
        <v>3206</v>
      </c>
      <c r="J3377" s="40" t="s">
        <v>3207</v>
      </c>
      <c r="K3377" s="40" t="s">
        <v>591</v>
      </c>
      <c r="L3377" s="40" t="s">
        <v>644</v>
      </c>
      <c r="M3377" s="93">
        <v>6</v>
      </c>
      <c r="N3377" s="94">
        <v>4608</v>
      </c>
      <c r="O3377" s="94">
        <f>M3377*N3377</f>
        <v>27648</v>
      </c>
      <c r="P3377" s="40" t="s">
        <v>3116</v>
      </c>
      <c r="Q3377" s="40" t="s">
        <v>1051</v>
      </c>
      <c r="R3377" s="84">
        <v>395230100</v>
      </c>
      <c r="S3377" s="40">
        <v>100</v>
      </c>
    </row>
    <row r="3378" spans="1:19" s="92" customFormat="1" ht="51">
      <c r="A3378" s="5">
        <v>3363</v>
      </c>
      <c r="B3378" s="15" t="s">
        <v>710</v>
      </c>
      <c r="C3378" s="40" t="s">
        <v>711</v>
      </c>
      <c r="D3378" s="98" t="s">
        <v>422</v>
      </c>
      <c r="E3378" s="76" t="s">
        <v>423</v>
      </c>
      <c r="F3378" s="76" t="s">
        <v>427</v>
      </c>
      <c r="G3378" s="76" t="s">
        <v>837</v>
      </c>
      <c r="H3378" s="76" t="s">
        <v>425</v>
      </c>
      <c r="I3378" s="76" t="s">
        <v>3208</v>
      </c>
      <c r="J3378" s="76" t="s">
        <v>3209</v>
      </c>
      <c r="K3378" s="76" t="s">
        <v>591</v>
      </c>
      <c r="L3378" s="11" t="s">
        <v>909</v>
      </c>
      <c r="M3378" s="53">
        <v>18</v>
      </c>
      <c r="N3378" s="94">
        <v>640</v>
      </c>
      <c r="O3378" s="94">
        <f>N3378*M3378</f>
        <v>11520</v>
      </c>
      <c r="P3378" s="40" t="s">
        <v>3116</v>
      </c>
      <c r="Q3378" s="40" t="s">
        <v>766</v>
      </c>
      <c r="R3378" s="84">
        <v>395230100</v>
      </c>
      <c r="S3378" s="40">
        <v>100</v>
      </c>
    </row>
    <row r="3379" spans="1:19" s="92" customFormat="1" ht="76.5">
      <c r="A3379" s="5">
        <v>3364</v>
      </c>
      <c r="B3379" s="15" t="s">
        <v>710</v>
      </c>
      <c r="C3379" s="40" t="s">
        <v>711</v>
      </c>
      <c r="D3379" s="40" t="s">
        <v>723</v>
      </c>
      <c r="E3379" s="31" t="s">
        <v>874</v>
      </c>
      <c r="F3379" s="31" t="s">
        <v>874</v>
      </c>
      <c r="G3379" s="31" t="s">
        <v>875</v>
      </c>
      <c r="H3379" s="40" t="s">
        <v>876</v>
      </c>
      <c r="I3379" s="40" t="s">
        <v>3210</v>
      </c>
      <c r="J3379" s="40" t="s">
        <v>3211</v>
      </c>
      <c r="K3379" s="40" t="s">
        <v>591</v>
      </c>
      <c r="L3379" s="40" t="s">
        <v>644</v>
      </c>
      <c r="M3379" s="93">
        <v>1</v>
      </c>
      <c r="N3379" s="94">
        <v>30000</v>
      </c>
      <c r="O3379" s="94">
        <f>N3379*M3379</f>
        <v>30000</v>
      </c>
      <c r="P3379" s="40" t="s">
        <v>3116</v>
      </c>
      <c r="Q3379" s="40" t="s">
        <v>1051</v>
      </c>
      <c r="R3379" s="84">
        <v>395230100</v>
      </c>
      <c r="S3379" s="40">
        <v>100</v>
      </c>
    </row>
    <row r="3380" spans="1:19" s="92" customFormat="1" ht="89.25">
      <c r="A3380" s="5">
        <v>3365</v>
      </c>
      <c r="B3380" s="15" t="s">
        <v>710</v>
      </c>
      <c r="C3380" s="40" t="s">
        <v>597</v>
      </c>
      <c r="D3380" s="40" t="s">
        <v>598</v>
      </c>
      <c r="E3380" s="31" t="s">
        <v>599</v>
      </c>
      <c r="F3380" s="31" t="s">
        <v>782</v>
      </c>
      <c r="G3380" s="31" t="s">
        <v>3195</v>
      </c>
      <c r="H3380" s="40" t="s">
        <v>602</v>
      </c>
      <c r="I3380" s="40" t="s">
        <v>3196</v>
      </c>
      <c r="J3380" s="40" t="s">
        <v>3197</v>
      </c>
      <c r="K3380" s="40" t="s">
        <v>591</v>
      </c>
      <c r="L3380" s="11" t="s">
        <v>914</v>
      </c>
      <c r="M3380" s="93">
        <v>1</v>
      </c>
      <c r="N3380" s="94">
        <v>624400</v>
      </c>
      <c r="O3380" s="94">
        <v>624400</v>
      </c>
      <c r="P3380" s="40" t="s">
        <v>502</v>
      </c>
      <c r="Q3380" s="40" t="s">
        <v>766</v>
      </c>
      <c r="R3380" s="84">
        <v>395430100</v>
      </c>
      <c r="S3380" s="40">
        <v>0</v>
      </c>
    </row>
    <row r="3381" spans="1:19" s="92" customFormat="1" ht="89.25">
      <c r="A3381" s="5">
        <v>3366</v>
      </c>
      <c r="B3381" s="15" t="s">
        <v>710</v>
      </c>
      <c r="C3381" s="40" t="s">
        <v>597</v>
      </c>
      <c r="D3381" s="40" t="s">
        <v>598</v>
      </c>
      <c r="E3381" s="31" t="s">
        <v>599</v>
      </c>
      <c r="F3381" s="31" t="s">
        <v>782</v>
      </c>
      <c r="G3381" s="31" t="s">
        <v>3195</v>
      </c>
      <c r="H3381" s="40" t="s">
        <v>602</v>
      </c>
      <c r="I3381" s="40" t="s">
        <v>3196</v>
      </c>
      <c r="J3381" s="40" t="s">
        <v>3197</v>
      </c>
      <c r="K3381" s="40" t="s">
        <v>591</v>
      </c>
      <c r="L3381" s="11" t="s">
        <v>914</v>
      </c>
      <c r="M3381" s="93">
        <v>1</v>
      </c>
      <c r="N3381" s="94">
        <v>624400</v>
      </c>
      <c r="O3381" s="94">
        <v>624400</v>
      </c>
      <c r="P3381" s="40" t="s">
        <v>502</v>
      </c>
      <c r="Q3381" s="40" t="s">
        <v>766</v>
      </c>
      <c r="R3381" s="84">
        <v>395430100</v>
      </c>
      <c r="S3381" s="40">
        <v>0</v>
      </c>
    </row>
    <row r="3382" spans="1:19" s="92" customFormat="1" ht="51">
      <c r="A3382" s="5">
        <v>3367</v>
      </c>
      <c r="B3382" s="15" t="s">
        <v>710</v>
      </c>
      <c r="C3382" s="40" t="s">
        <v>597</v>
      </c>
      <c r="D3382" s="11" t="s">
        <v>850</v>
      </c>
      <c r="E3382" s="76" t="s">
        <v>1736</v>
      </c>
      <c r="F3382" s="76" t="s">
        <v>851</v>
      </c>
      <c r="G3382" s="76" t="s">
        <v>1737</v>
      </c>
      <c r="H3382" s="76" t="s">
        <v>852</v>
      </c>
      <c r="I3382" s="76" t="s">
        <v>3199</v>
      </c>
      <c r="J3382" s="76" t="s">
        <v>3200</v>
      </c>
      <c r="K3382" s="40" t="s">
        <v>591</v>
      </c>
      <c r="L3382" s="11" t="s">
        <v>914</v>
      </c>
      <c r="M3382" s="97">
        <v>1</v>
      </c>
      <c r="N3382" s="94">
        <f>10000*5</f>
        <v>50000</v>
      </c>
      <c r="O3382" s="94">
        <f>N3382</f>
        <v>50000</v>
      </c>
      <c r="P3382" s="40" t="s">
        <v>698</v>
      </c>
      <c r="Q3382" s="40" t="s">
        <v>766</v>
      </c>
      <c r="R3382" s="84">
        <v>395430100</v>
      </c>
      <c r="S3382" s="40">
        <v>0</v>
      </c>
    </row>
    <row r="3383" spans="1:19" s="92" customFormat="1" ht="51">
      <c r="A3383" s="5">
        <v>3368</v>
      </c>
      <c r="B3383" s="15" t="s">
        <v>710</v>
      </c>
      <c r="C3383" s="40" t="s">
        <v>597</v>
      </c>
      <c r="D3383" s="40" t="s">
        <v>2594</v>
      </c>
      <c r="E3383" s="31" t="s">
        <v>2618</v>
      </c>
      <c r="F3383" s="31" t="s">
        <v>2595</v>
      </c>
      <c r="G3383" s="31" t="s">
        <v>2618</v>
      </c>
      <c r="H3383" s="40" t="s">
        <v>2595</v>
      </c>
      <c r="I3383" s="40" t="s">
        <v>3201</v>
      </c>
      <c r="J3383" s="40" t="s">
        <v>3202</v>
      </c>
      <c r="K3383" s="40" t="s">
        <v>591</v>
      </c>
      <c r="L3383" s="11" t="s">
        <v>914</v>
      </c>
      <c r="M3383" s="93">
        <v>1</v>
      </c>
      <c r="N3383" s="94">
        <f>10500*3</f>
        <v>31500</v>
      </c>
      <c r="O3383" s="94">
        <f>N3383</f>
        <v>31500</v>
      </c>
      <c r="P3383" s="40" t="s">
        <v>3116</v>
      </c>
      <c r="Q3383" s="40" t="s">
        <v>766</v>
      </c>
      <c r="R3383" s="84">
        <v>395430100</v>
      </c>
      <c r="S3383" s="40">
        <v>30</v>
      </c>
    </row>
    <row r="3384" spans="1:19" s="92" customFormat="1" ht="89.25">
      <c r="A3384" s="5">
        <v>3369</v>
      </c>
      <c r="B3384" s="15" t="s">
        <v>710</v>
      </c>
      <c r="C3384" s="40" t="s">
        <v>711</v>
      </c>
      <c r="D3384" s="40" t="s">
        <v>976</v>
      </c>
      <c r="E3384" s="31" t="s">
        <v>730</v>
      </c>
      <c r="F3384" s="31" t="s">
        <v>731</v>
      </c>
      <c r="G3384" s="31" t="s">
        <v>977</v>
      </c>
      <c r="H3384" s="40" t="s">
        <v>978</v>
      </c>
      <c r="I3384" s="40" t="s">
        <v>3203</v>
      </c>
      <c r="J3384" s="40" t="s">
        <v>3204</v>
      </c>
      <c r="K3384" s="40" t="s">
        <v>591</v>
      </c>
      <c r="L3384" s="40" t="s">
        <v>644</v>
      </c>
      <c r="M3384" s="93">
        <v>2</v>
      </c>
      <c r="N3384" s="94">
        <v>26800</v>
      </c>
      <c r="O3384" s="94">
        <f>N3384*M3384</f>
        <v>53600</v>
      </c>
      <c r="P3384" s="40" t="s">
        <v>3116</v>
      </c>
      <c r="Q3384" s="40" t="s">
        <v>1051</v>
      </c>
      <c r="R3384" s="84">
        <v>395430100</v>
      </c>
      <c r="S3384" s="40">
        <v>100</v>
      </c>
    </row>
    <row r="3385" spans="1:19" s="92" customFormat="1" ht="63.75">
      <c r="A3385" s="5">
        <v>3370</v>
      </c>
      <c r="B3385" s="15" t="s">
        <v>710</v>
      </c>
      <c r="C3385" s="40" t="s">
        <v>711</v>
      </c>
      <c r="D3385" s="40" t="s">
        <v>744</v>
      </c>
      <c r="E3385" s="31" t="s">
        <v>745</v>
      </c>
      <c r="F3385" s="31" t="s">
        <v>109</v>
      </c>
      <c r="G3385" s="31" t="s">
        <v>746</v>
      </c>
      <c r="H3385" s="40" t="s">
        <v>3205</v>
      </c>
      <c r="I3385" s="40" t="s">
        <v>3206</v>
      </c>
      <c r="J3385" s="40" t="s">
        <v>3207</v>
      </c>
      <c r="K3385" s="40" t="s">
        <v>591</v>
      </c>
      <c r="L3385" s="40" t="s">
        <v>644</v>
      </c>
      <c r="M3385" s="93">
        <v>6</v>
      </c>
      <c r="N3385" s="94">
        <v>4608</v>
      </c>
      <c r="O3385" s="94">
        <f>M3385*N3385</f>
        <v>27648</v>
      </c>
      <c r="P3385" s="40" t="s">
        <v>3116</v>
      </c>
      <c r="Q3385" s="40" t="s">
        <v>1051</v>
      </c>
      <c r="R3385" s="84">
        <v>395430100</v>
      </c>
      <c r="S3385" s="40">
        <v>100</v>
      </c>
    </row>
    <row r="3386" spans="1:19" s="92" customFormat="1" ht="51">
      <c r="A3386" s="5">
        <v>3371</v>
      </c>
      <c r="B3386" s="15" t="s">
        <v>710</v>
      </c>
      <c r="C3386" s="40" t="s">
        <v>711</v>
      </c>
      <c r="D3386" s="98" t="s">
        <v>422</v>
      </c>
      <c r="E3386" s="76" t="s">
        <v>423</v>
      </c>
      <c r="F3386" s="76" t="s">
        <v>427</v>
      </c>
      <c r="G3386" s="76" t="s">
        <v>837</v>
      </c>
      <c r="H3386" s="76" t="s">
        <v>425</v>
      </c>
      <c r="I3386" s="76" t="s">
        <v>3208</v>
      </c>
      <c r="J3386" s="76" t="s">
        <v>3209</v>
      </c>
      <c r="K3386" s="76" t="s">
        <v>591</v>
      </c>
      <c r="L3386" s="11" t="s">
        <v>909</v>
      </c>
      <c r="M3386" s="53">
        <v>18</v>
      </c>
      <c r="N3386" s="94">
        <v>640</v>
      </c>
      <c r="O3386" s="94">
        <f>N3386*M3386</f>
        <v>11520</v>
      </c>
      <c r="P3386" s="40" t="s">
        <v>3116</v>
      </c>
      <c r="Q3386" s="40" t="s">
        <v>766</v>
      </c>
      <c r="R3386" s="84">
        <v>395430100</v>
      </c>
      <c r="S3386" s="40">
        <v>100</v>
      </c>
    </row>
    <row r="3387" spans="1:19" s="92" customFormat="1" ht="76.5">
      <c r="A3387" s="5">
        <v>3372</v>
      </c>
      <c r="B3387" s="15" t="s">
        <v>710</v>
      </c>
      <c r="C3387" s="40" t="s">
        <v>711</v>
      </c>
      <c r="D3387" s="40" t="s">
        <v>723</v>
      </c>
      <c r="E3387" s="31" t="s">
        <v>874</v>
      </c>
      <c r="F3387" s="31" t="s">
        <v>874</v>
      </c>
      <c r="G3387" s="31" t="s">
        <v>875</v>
      </c>
      <c r="H3387" s="40" t="s">
        <v>876</v>
      </c>
      <c r="I3387" s="40" t="s">
        <v>3210</v>
      </c>
      <c r="J3387" s="40" t="s">
        <v>3211</v>
      </c>
      <c r="K3387" s="40" t="s">
        <v>591</v>
      </c>
      <c r="L3387" s="40" t="s">
        <v>644</v>
      </c>
      <c r="M3387" s="93">
        <v>1</v>
      </c>
      <c r="N3387" s="94">
        <v>30000</v>
      </c>
      <c r="O3387" s="94">
        <f>N3387*M3387</f>
        <v>30000</v>
      </c>
      <c r="P3387" s="40" t="s">
        <v>3116</v>
      </c>
      <c r="Q3387" s="40" t="s">
        <v>1051</v>
      </c>
      <c r="R3387" s="84">
        <v>395430100</v>
      </c>
      <c r="S3387" s="40">
        <v>100</v>
      </c>
    </row>
    <row r="3388" spans="1:19" s="92" customFormat="1" ht="89.25">
      <c r="A3388" s="5">
        <v>3373</v>
      </c>
      <c r="B3388" s="15" t="s">
        <v>710</v>
      </c>
      <c r="C3388" s="40" t="s">
        <v>597</v>
      </c>
      <c r="D3388" s="40" t="s">
        <v>598</v>
      </c>
      <c r="E3388" s="31" t="s">
        <v>599</v>
      </c>
      <c r="F3388" s="31" t="s">
        <v>782</v>
      </c>
      <c r="G3388" s="31" t="s">
        <v>3195</v>
      </c>
      <c r="H3388" s="40" t="s">
        <v>602</v>
      </c>
      <c r="I3388" s="40" t="s">
        <v>3196</v>
      </c>
      <c r="J3388" s="40" t="s">
        <v>3197</v>
      </c>
      <c r="K3388" s="40" t="s">
        <v>591</v>
      </c>
      <c r="L3388" s="11" t="s">
        <v>914</v>
      </c>
      <c r="M3388" s="93">
        <v>1</v>
      </c>
      <c r="N3388" s="94">
        <v>624400</v>
      </c>
      <c r="O3388" s="94">
        <v>624400</v>
      </c>
      <c r="P3388" s="40" t="s">
        <v>502</v>
      </c>
      <c r="Q3388" s="40" t="s">
        <v>766</v>
      </c>
      <c r="R3388" s="84">
        <v>395830100</v>
      </c>
      <c r="S3388" s="40">
        <v>0</v>
      </c>
    </row>
    <row r="3389" spans="1:19" s="92" customFormat="1" ht="89.25">
      <c r="A3389" s="5">
        <v>3374</v>
      </c>
      <c r="B3389" s="15" t="s">
        <v>710</v>
      </c>
      <c r="C3389" s="40" t="s">
        <v>597</v>
      </c>
      <c r="D3389" s="40" t="s">
        <v>598</v>
      </c>
      <c r="E3389" s="31" t="s">
        <v>599</v>
      </c>
      <c r="F3389" s="31" t="s">
        <v>782</v>
      </c>
      <c r="G3389" s="31" t="s">
        <v>3195</v>
      </c>
      <c r="H3389" s="40" t="s">
        <v>602</v>
      </c>
      <c r="I3389" s="40" t="s">
        <v>3196</v>
      </c>
      <c r="J3389" s="40" t="s">
        <v>3197</v>
      </c>
      <c r="K3389" s="40" t="s">
        <v>591</v>
      </c>
      <c r="L3389" s="11" t="s">
        <v>914</v>
      </c>
      <c r="M3389" s="93">
        <v>1</v>
      </c>
      <c r="N3389" s="94">
        <v>624400</v>
      </c>
      <c r="O3389" s="94">
        <v>624400</v>
      </c>
      <c r="P3389" s="40" t="s">
        <v>502</v>
      </c>
      <c r="Q3389" s="40" t="s">
        <v>766</v>
      </c>
      <c r="R3389" s="84">
        <v>395830100</v>
      </c>
      <c r="S3389" s="40">
        <v>0</v>
      </c>
    </row>
    <row r="3390" spans="1:19" s="92" customFormat="1" ht="51">
      <c r="A3390" s="5">
        <v>3375</v>
      </c>
      <c r="B3390" s="15" t="s">
        <v>710</v>
      </c>
      <c r="C3390" s="40" t="s">
        <v>597</v>
      </c>
      <c r="D3390" s="11" t="s">
        <v>850</v>
      </c>
      <c r="E3390" s="76" t="s">
        <v>1736</v>
      </c>
      <c r="F3390" s="76" t="s">
        <v>851</v>
      </c>
      <c r="G3390" s="76" t="s">
        <v>1737</v>
      </c>
      <c r="H3390" s="76" t="s">
        <v>852</v>
      </c>
      <c r="I3390" s="76" t="s">
        <v>3199</v>
      </c>
      <c r="J3390" s="76" t="s">
        <v>3200</v>
      </c>
      <c r="K3390" s="40" t="s">
        <v>591</v>
      </c>
      <c r="L3390" s="11" t="s">
        <v>914</v>
      </c>
      <c r="M3390" s="97">
        <v>1</v>
      </c>
      <c r="N3390" s="94">
        <f>10000*5</f>
        <v>50000</v>
      </c>
      <c r="O3390" s="94">
        <f>N3390</f>
        <v>50000</v>
      </c>
      <c r="P3390" s="40" t="s">
        <v>698</v>
      </c>
      <c r="Q3390" s="40" t="s">
        <v>766</v>
      </c>
      <c r="R3390" s="84">
        <v>395830100</v>
      </c>
      <c r="S3390" s="40">
        <v>0</v>
      </c>
    </row>
    <row r="3391" spans="1:19" s="92" customFormat="1" ht="51">
      <c r="A3391" s="5">
        <v>3376</v>
      </c>
      <c r="B3391" s="15" t="s">
        <v>710</v>
      </c>
      <c r="C3391" s="40" t="s">
        <v>597</v>
      </c>
      <c r="D3391" s="40" t="s">
        <v>2594</v>
      </c>
      <c r="E3391" s="31" t="s">
        <v>2618</v>
      </c>
      <c r="F3391" s="31" t="s">
        <v>2595</v>
      </c>
      <c r="G3391" s="31" t="s">
        <v>2618</v>
      </c>
      <c r="H3391" s="40" t="s">
        <v>2595</v>
      </c>
      <c r="I3391" s="40" t="s">
        <v>3201</v>
      </c>
      <c r="J3391" s="40" t="s">
        <v>3202</v>
      </c>
      <c r="K3391" s="40" t="s">
        <v>591</v>
      </c>
      <c r="L3391" s="11" t="s">
        <v>914</v>
      </c>
      <c r="M3391" s="93">
        <v>1</v>
      </c>
      <c r="N3391" s="94">
        <f>10500*3</f>
        <v>31500</v>
      </c>
      <c r="O3391" s="94">
        <f>N3391</f>
        <v>31500</v>
      </c>
      <c r="P3391" s="40" t="s">
        <v>3116</v>
      </c>
      <c r="Q3391" s="40" t="s">
        <v>766</v>
      </c>
      <c r="R3391" s="84">
        <v>395830100</v>
      </c>
      <c r="S3391" s="40">
        <v>30</v>
      </c>
    </row>
    <row r="3392" spans="1:19" s="92" customFormat="1" ht="89.25">
      <c r="A3392" s="5">
        <v>3377</v>
      </c>
      <c r="B3392" s="15" t="s">
        <v>710</v>
      </c>
      <c r="C3392" s="40" t="s">
        <v>711</v>
      </c>
      <c r="D3392" s="40" t="s">
        <v>976</v>
      </c>
      <c r="E3392" s="31" t="s">
        <v>730</v>
      </c>
      <c r="F3392" s="31" t="s">
        <v>731</v>
      </c>
      <c r="G3392" s="31" t="s">
        <v>977</v>
      </c>
      <c r="H3392" s="40" t="s">
        <v>978</v>
      </c>
      <c r="I3392" s="40" t="s">
        <v>3203</v>
      </c>
      <c r="J3392" s="40" t="s">
        <v>3204</v>
      </c>
      <c r="K3392" s="40" t="s">
        <v>591</v>
      </c>
      <c r="L3392" s="40" t="s">
        <v>644</v>
      </c>
      <c r="M3392" s="93">
        <v>2</v>
      </c>
      <c r="N3392" s="94">
        <v>26800</v>
      </c>
      <c r="O3392" s="94">
        <f>N3392*M3392</f>
        <v>53600</v>
      </c>
      <c r="P3392" s="40" t="s">
        <v>3116</v>
      </c>
      <c r="Q3392" s="40" t="s">
        <v>1051</v>
      </c>
      <c r="R3392" s="84">
        <v>395830100</v>
      </c>
      <c r="S3392" s="40">
        <v>100</v>
      </c>
    </row>
    <row r="3393" spans="1:19" s="92" customFormat="1" ht="63.75">
      <c r="A3393" s="5">
        <v>3378</v>
      </c>
      <c r="B3393" s="15" t="s">
        <v>710</v>
      </c>
      <c r="C3393" s="40" t="s">
        <v>711</v>
      </c>
      <c r="D3393" s="40" t="s">
        <v>744</v>
      </c>
      <c r="E3393" s="31" t="s">
        <v>745</v>
      </c>
      <c r="F3393" s="31" t="s">
        <v>109</v>
      </c>
      <c r="G3393" s="31" t="s">
        <v>746</v>
      </c>
      <c r="H3393" s="40" t="s">
        <v>3205</v>
      </c>
      <c r="I3393" s="40" t="s">
        <v>3206</v>
      </c>
      <c r="J3393" s="40" t="s">
        <v>3207</v>
      </c>
      <c r="K3393" s="40" t="s">
        <v>591</v>
      </c>
      <c r="L3393" s="40" t="s">
        <v>644</v>
      </c>
      <c r="M3393" s="93">
        <v>6</v>
      </c>
      <c r="N3393" s="94">
        <v>4608</v>
      </c>
      <c r="O3393" s="94">
        <f>M3393*N3393</f>
        <v>27648</v>
      </c>
      <c r="P3393" s="40" t="s">
        <v>3116</v>
      </c>
      <c r="Q3393" s="40" t="s">
        <v>1051</v>
      </c>
      <c r="R3393" s="84">
        <v>395830100</v>
      </c>
      <c r="S3393" s="40">
        <v>100</v>
      </c>
    </row>
    <row r="3394" spans="1:19" s="92" customFormat="1" ht="51">
      <c r="A3394" s="5">
        <v>3379</v>
      </c>
      <c r="B3394" s="15" t="s">
        <v>710</v>
      </c>
      <c r="C3394" s="40" t="s">
        <v>711</v>
      </c>
      <c r="D3394" s="98" t="s">
        <v>422</v>
      </c>
      <c r="E3394" s="76" t="s">
        <v>423</v>
      </c>
      <c r="F3394" s="76" t="s">
        <v>427</v>
      </c>
      <c r="G3394" s="76" t="s">
        <v>837</v>
      </c>
      <c r="H3394" s="76" t="s">
        <v>425</v>
      </c>
      <c r="I3394" s="76" t="s">
        <v>3208</v>
      </c>
      <c r="J3394" s="76" t="s">
        <v>3209</v>
      </c>
      <c r="K3394" s="76" t="s">
        <v>591</v>
      </c>
      <c r="L3394" s="11" t="s">
        <v>909</v>
      </c>
      <c r="M3394" s="53">
        <v>18</v>
      </c>
      <c r="N3394" s="94">
        <v>640</v>
      </c>
      <c r="O3394" s="94">
        <f>N3394*M3394</f>
        <v>11520</v>
      </c>
      <c r="P3394" s="40" t="s">
        <v>3116</v>
      </c>
      <c r="Q3394" s="40" t="s">
        <v>766</v>
      </c>
      <c r="R3394" s="84">
        <v>395830100</v>
      </c>
      <c r="S3394" s="40">
        <v>100</v>
      </c>
    </row>
    <row r="3395" spans="1:19" s="92" customFormat="1" ht="76.5">
      <c r="A3395" s="5">
        <v>3380</v>
      </c>
      <c r="B3395" s="15" t="s">
        <v>710</v>
      </c>
      <c r="C3395" s="40" t="s">
        <v>711</v>
      </c>
      <c r="D3395" s="40" t="s">
        <v>723</v>
      </c>
      <c r="E3395" s="31" t="s">
        <v>874</v>
      </c>
      <c r="F3395" s="31" t="s">
        <v>874</v>
      </c>
      <c r="G3395" s="31" t="s">
        <v>875</v>
      </c>
      <c r="H3395" s="40" t="s">
        <v>876</v>
      </c>
      <c r="I3395" s="40" t="s">
        <v>3210</v>
      </c>
      <c r="J3395" s="40" t="s">
        <v>3211</v>
      </c>
      <c r="K3395" s="40" t="s">
        <v>591</v>
      </c>
      <c r="L3395" s="40" t="s">
        <v>644</v>
      </c>
      <c r="M3395" s="93">
        <v>1</v>
      </c>
      <c r="N3395" s="94">
        <v>30000</v>
      </c>
      <c r="O3395" s="94">
        <f>N3395*M3395</f>
        <v>30000</v>
      </c>
      <c r="P3395" s="40" t="s">
        <v>3116</v>
      </c>
      <c r="Q3395" s="40" t="s">
        <v>1051</v>
      </c>
      <c r="R3395" s="84">
        <v>395830100</v>
      </c>
      <c r="S3395" s="40">
        <v>100</v>
      </c>
    </row>
    <row r="3396" spans="1:19" s="92" customFormat="1" ht="89.25">
      <c r="A3396" s="5">
        <v>3381</v>
      </c>
      <c r="B3396" s="15" t="s">
        <v>710</v>
      </c>
      <c r="C3396" s="40" t="s">
        <v>597</v>
      </c>
      <c r="D3396" s="40" t="s">
        <v>598</v>
      </c>
      <c r="E3396" s="31" t="s">
        <v>599</v>
      </c>
      <c r="F3396" s="31" t="s">
        <v>782</v>
      </c>
      <c r="G3396" s="31" t="s">
        <v>3195</v>
      </c>
      <c r="H3396" s="40" t="s">
        <v>602</v>
      </c>
      <c r="I3396" s="40" t="s">
        <v>3196</v>
      </c>
      <c r="J3396" s="40" t="s">
        <v>3197</v>
      </c>
      <c r="K3396" s="40" t="s">
        <v>591</v>
      </c>
      <c r="L3396" s="11" t="s">
        <v>914</v>
      </c>
      <c r="M3396" s="93">
        <v>1</v>
      </c>
      <c r="N3396" s="94">
        <f>O3396/M3396</f>
        <v>378038</v>
      </c>
      <c r="O3396" s="94">
        <f>624400-246362</f>
        <v>378038</v>
      </c>
      <c r="P3396" s="40" t="s">
        <v>588</v>
      </c>
      <c r="Q3396" s="40" t="s">
        <v>766</v>
      </c>
      <c r="R3396" s="84">
        <v>395630100</v>
      </c>
      <c r="S3396" s="40">
        <v>0</v>
      </c>
    </row>
    <row r="3397" spans="1:19" s="92" customFormat="1" ht="89.25">
      <c r="A3397" s="5">
        <v>3382</v>
      </c>
      <c r="B3397" s="15" t="s">
        <v>710</v>
      </c>
      <c r="C3397" s="40" t="s">
        <v>597</v>
      </c>
      <c r="D3397" s="40" t="s">
        <v>598</v>
      </c>
      <c r="E3397" s="31" t="s">
        <v>599</v>
      </c>
      <c r="F3397" s="31" t="s">
        <v>782</v>
      </c>
      <c r="G3397" s="31" t="s">
        <v>3195</v>
      </c>
      <c r="H3397" s="40" t="s">
        <v>602</v>
      </c>
      <c r="I3397" s="40" t="s">
        <v>3196</v>
      </c>
      <c r="J3397" s="40" t="s">
        <v>3197</v>
      </c>
      <c r="K3397" s="40" t="s">
        <v>591</v>
      </c>
      <c r="L3397" s="11" t="s">
        <v>914</v>
      </c>
      <c r="M3397" s="93">
        <v>1</v>
      </c>
      <c r="N3397" s="94">
        <f>O3397/M3397</f>
        <v>437505</v>
      </c>
      <c r="O3397" s="94">
        <f>624400-186895</f>
        <v>437505</v>
      </c>
      <c r="P3397" s="40" t="s">
        <v>588</v>
      </c>
      <c r="Q3397" s="40" t="s">
        <v>766</v>
      </c>
      <c r="R3397" s="84">
        <v>395630100</v>
      </c>
      <c r="S3397" s="40">
        <v>0</v>
      </c>
    </row>
    <row r="3398" spans="1:19" s="92" customFormat="1" ht="51">
      <c r="A3398" s="5">
        <v>3383</v>
      </c>
      <c r="B3398" s="15" t="s">
        <v>710</v>
      </c>
      <c r="C3398" s="40" t="s">
        <v>597</v>
      </c>
      <c r="D3398" s="11" t="s">
        <v>850</v>
      </c>
      <c r="E3398" s="76" t="s">
        <v>1736</v>
      </c>
      <c r="F3398" s="76" t="s">
        <v>851</v>
      </c>
      <c r="G3398" s="76" t="s">
        <v>1737</v>
      </c>
      <c r="H3398" s="76" t="s">
        <v>852</v>
      </c>
      <c r="I3398" s="76" t="s">
        <v>3199</v>
      </c>
      <c r="J3398" s="76" t="s">
        <v>3200</v>
      </c>
      <c r="K3398" s="40" t="s">
        <v>591</v>
      </c>
      <c r="L3398" s="11" t="s">
        <v>914</v>
      </c>
      <c r="M3398" s="97">
        <v>1</v>
      </c>
      <c r="N3398" s="94">
        <f>10000*5</f>
        <v>50000</v>
      </c>
      <c r="O3398" s="94">
        <f>N3398</f>
        <v>50000</v>
      </c>
      <c r="P3398" s="40" t="s">
        <v>698</v>
      </c>
      <c r="Q3398" s="40" t="s">
        <v>766</v>
      </c>
      <c r="R3398" s="84">
        <v>395630100</v>
      </c>
      <c r="S3398" s="40">
        <v>0</v>
      </c>
    </row>
    <row r="3399" spans="1:19" s="92" customFormat="1" ht="51">
      <c r="A3399" s="5">
        <v>3384</v>
      </c>
      <c r="B3399" s="15" t="s">
        <v>710</v>
      </c>
      <c r="C3399" s="40" t="s">
        <v>597</v>
      </c>
      <c r="D3399" s="40" t="s">
        <v>2594</v>
      </c>
      <c r="E3399" s="31" t="s">
        <v>2618</v>
      </c>
      <c r="F3399" s="31" t="s">
        <v>2595</v>
      </c>
      <c r="G3399" s="31" t="s">
        <v>2618</v>
      </c>
      <c r="H3399" s="40" t="s">
        <v>2595</v>
      </c>
      <c r="I3399" s="40" t="s">
        <v>3201</v>
      </c>
      <c r="J3399" s="40" t="s">
        <v>3202</v>
      </c>
      <c r="K3399" s="40" t="s">
        <v>591</v>
      </c>
      <c r="L3399" s="11" t="s">
        <v>914</v>
      </c>
      <c r="M3399" s="93">
        <v>1</v>
      </c>
      <c r="N3399" s="94">
        <f>10500*3</f>
        <v>31500</v>
      </c>
      <c r="O3399" s="94">
        <f>N3399</f>
        <v>31500</v>
      </c>
      <c r="P3399" s="40" t="s">
        <v>3116</v>
      </c>
      <c r="Q3399" s="40" t="s">
        <v>766</v>
      </c>
      <c r="R3399" s="84">
        <v>395630100</v>
      </c>
      <c r="S3399" s="40">
        <v>30</v>
      </c>
    </row>
    <row r="3400" spans="1:19" s="92" customFormat="1" ht="89.25">
      <c r="A3400" s="5">
        <v>3385</v>
      </c>
      <c r="B3400" s="15" t="s">
        <v>710</v>
      </c>
      <c r="C3400" s="40" t="s">
        <v>711</v>
      </c>
      <c r="D3400" s="40" t="s">
        <v>976</v>
      </c>
      <c r="E3400" s="31" t="s">
        <v>730</v>
      </c>
      <c r="F3400" s="31" t="s">
        <v>731</v>
      </c>
      <c r="G3400" s="31" t="s">
        <v>977</v>
      </c>
      <c r="H3400" s="40" t="s">
        <v>978</v>
      </c>
      <c r="I3400" s="40" t="s">
        <v>3203</v>
      </c>
      <c r="J3400" s="40" t="s">
        <v>3204</v>
      </c>
      <c r="K3400" s="40" t="s">
        <v>591</v>
      </c>
      <c r="L3400" s="40" t="s">
        <v>644</v>
      </c>
      <c r="M3400" s="93">
        <v>2</v>
      </c>
      <c r="N3400" s="94">
        <v>26800</v>
      </c>
      <c r="O3400" s="94">
        <f>N3400*M3400</f>
        <v>53600</v>
      </c>
      <c r="P3400" s="40" t="s">
        <v>3116</v>
      </c>
      <c r="Q3400" s="40" t="s">
        <v>1051</v>
      </c>
      <c r="R3400" s="84">
        <v>395630100</v>
      </c>
      <c r="S3400" s="40">
        <v>100</v>
      </c>
    </row>
    <row r="3401" spans="1:19" s="92" customFormat="1" ht="63.75">
      <c r="A3401" s="5">
        <v>3386</v>
      </c>
      <c r="B3401" s="15" t="s">
        <v>710</v>
      </c>
      <c r="C3401" s="40" t="s">
        <v>711</v>
      </c>
      <c r="D3401" s="40" t="s">
        <v>744</v>
      </c>
      <c r="E3401" s="31" t="s">
        <v>745</v>
      </c>
      <c r="F3401" s="31" t="s">
        <v>109</v>
      </c>
      <c r="G3401" s="31" t="s">
        <v>746</v>
      </c>
      <c r="H3401" s="40" t="s">
        <v>3205</v>
      </c>
      <c r="I3401" s="40" t="s">
        <v>3206</v>
      </c>
      <c r="J3401" s="40" t="s">
        <v>3207</v>
      </c>
      <c r="K3401" s="40" t="s">
        <v>591</v>
      </c>
      <c r="L3401" s="40" t="s">
        <v>644</v>
      </c>
      <c r="M3401" s="93">
        <v>6</v>
      </c>
      <c r="N3401" s="94">
        <v>4608</v>
      </c>
      <c r="O3401" s="94">
        <f>M3401*N3401</f>
        <v>27648</v>
      </c>
      <c r="P3401" s="40" t="s">
        <v>3116</v>
      </c>
      <c r="Q3401" s="40" t="s">
        <v>1051</v>
      </c>
      <c r="R3401" s="84">
        <v>395630100</v>
      </c>
      <c r="S3401" s="40">
        <v>100</v>
      </c>
    </row>
    <row r="3402" spans="1:19" s="92" customFormat="1" ht="51">
      <c r="A3402" s="5">
        <v>3387</v>
      </c>
      <c r="B3402" s="15" t="s">
        <v>710</v>
      </c>
      <c r="C3402" s="40" t="s">
        <v>711</v>
      </c>
      <c r="D3402" s="98" t="s">
        <v>422</v>
      </c>
      <c r="E3402" s="76" t="s">
        <v>423</v>
      </c>
      <c r="F3402" s="76" t="s">
        <v>427</v>
      </c>
      <c r="G3402" s="76" t="s">
        <v>837</v>
      </c>
      <c r="H3402" s="76" t="s">
        <v>425</v>
      </c>
      <c r="I3402" s="76" t="s">
        <v>3208</v>
      </c>
      <c r="J3402" s="76" t="s">
        <v>3209</v>
      </c>
      <c r="K3402" s="76" t="s">
        <v>591</v>
      </c>
      <c r="L3402" s="11" t="s">
        <v>909</v>
      </c>
      <c r="M3402" s="53">
        <v>18</v>
      </c>
      <c r="N3402" s="94">
        <v>640</v>
      </c>
      <c r="O3402" s="94">
        <f>N3402*M3402</f>
        <v>11520</v>
      </c>
      <c r="P3402" s="40" t="s">
        <v>3116</v>
      </c>
      <c r="Q3402" s="40" t="s">
        <v>766</v>
      </c>
      <c r="R3402" s="84">
        <v>395630100</v>
      </c>
      <c r="S3402" s="40">
        <v>100</v>
      </c>
    </row>
    <row r="3403" spans="1:19" s="92" customFormat="1" ht="76.5">
      <c r="A3403" s="5">
        <v>3388</v>
      </c>
      <c r="B3403" s="15" t="s">
        <v>710</v>
      </c>
      <c r="C3403" s="40" t="s">
        <v>711</v>
      </c>
      <c r="D3403" s="40" t="s">
        <v>723</v>
      </c>
      <c r="E3403" s="31" t="s">
        <v>874</v>
      </c>
      <c r="F3403" s="31" t="s">
        <v>874</v>
      </c>
      <c r="G3403" s="31" t="s">
        <v>875</v>
      </c>
      <c r="H3403" s="40" t="s">
        <v>876</v>
      </c>
      <c r="I3403" s="40" t="s">
        <v>3210</v>
      </c>
      <c r="J3403" s="40" t="s">
        <v>3211</v>
      </c>
      <c r="K3403" s="40" t="s">
        <v>591</v>
      </c>
      <c r="L3403" s="40" t="s">
        <v>644</v>
      </c>
      <c r="M3403" s="93">
        <v>1</v>
      </c>
      <c r="N3403" s="94">
        <v>30000</v>
      </c>
      <c r="O3403" s="94">
        <f>N3403*M3403</f>
        <v>30000</v>
      </c>
      <c r="P3403" s="40" t="s">
        <v>3116</v>
      </c>
      <c r="Q3403" s="40" t="s">
        <v>1051</v>
      </c>
      <c r="R3403" s="84">
        <v>395630100</v>
      </c>
      <c r="S3403" s="40">
        <v>100</v>
      </c>
    </row>
    <row r="3404" spans="1:19" s="92" customFormat="1" ht="89.25">
      <c r="A3404" s="5">
        <v>3389</v>
      </c>
      <c r="B3404" s="15" t="s">
        <v>710</v>
      </c>
      <c r="C3404" s="40" t="s">
        <v>597</v>
      </c>
      <c r="D3404" s="40" t="s">
        <v>598</v>
      </c>
      <c r="E3404" s="31" t="s">
        <v>599</v>
      </c>
      <c r="F3404" s="31" t="s">
        <v>782</v>
      </c>
      <c r="G3404" s="31" t="s">
        <v>3195</v>
      </c>
      <c r="H3404" s="40" t="s">
        <v>602</v>
      </c>
      <c r="I3404" s="40" t="s">
        <v>3196</v>
      </c>
      <c r="J3404" s="40" t="s">
        <v>3197</v>
      </c>
      <c r="K3404" s="40" t="s">
        <v>591</v>
      </c>
      <c r="L3404" s="11" t="s">
        <v>914</v>
      </c>
      <c r="M3404" s="93">
        <v>1</v>
      </c>
      <c r="N3404" s="94">
        <v>624400</v>
      </c>
      <c r="O3404" s="94">
        <v>624400</v>
      </c>
      <c r="P3404" s="40" t="s">
        <v>502</v>
      </c>
      <c r="Q3404" s="40" t="s">
        <v>766</v>
      </c>
      <c r="R3404" s="84">
        <v>396230100</v>
      </c>
      <c r="S3404" s="40">
        <v>0</v>
      </c>
    </row>
    <row r="3405" spans="1:19" s="92" customFormat="1" ht="89.25">
      <c r="A3405" s="5">
        <v>3390</v>
      </c>
      <c r="B3405" s="15" t="s">
        <v>710</v>
      </c>
      <c r="C3405" s="40" t="s">
        <v>597</v>
      </c>
      <c r="D3405" s="40" t="s">
        <v>598</v>
      </c>
      <c r="E3405" s="31" t="s">
        <v>599</v>
      </c>
      <c r="F3405" s="31" t="s">
        <v>782</v>
      </c>
      <c r="G3405" s="31" t="s">
        <v>3195</v>
      </c>
      <c r="H3405" s="40" t="s">
        <v>602</v>
      </c>
      <c r="I3405" s="40" t="s">
        <v>3196</v>
      </c>
      <c r="J3405" s="40" t="s">
        <v>3197</v>
      </c>
      <c r="K3405" s="40" t="s">
        <v>591</v>
      </c>
      <c r="L3405" s="11" t="s">
        <v>914</v>
      </c>
      <c r="M3405" s="93">
        <v>1</v>
      </c>
      <c r="N3405" s="94">
        <v>624400</v>
      </c>
      <c r="O3405" s="94">
        <v>624400</v>
      </c>
      <c r="P3405" s="40" t="s">
        <v>502</v>
      </c>
      <c r="Q3405" s="40" t="s">
        <v>766</v>
      </c>
      <c r="R3405" s="84">
        <v>396230100</v>
      </c>
      <c r="S3405" s="40">
        <v>0</v>
      </c>
    </row>
    <row r="3406" spans="1:19" s="92" customFormat="1" ht="51">
      <c r="A3406" s="5">
        <v>3391</v>
      </c>
      <c r="B3406" s="15" t="s">
        <v>710</v>
      </c>
      <c r="C3406" s="40" t="s">
        <v>597</v>
      </c>
      <c r="D3406" s="11" t="s">
        <v>850</v>
      </c>
      <c r="E3406" s="76" t="s">
        <v>1736</v>
      </c>
      <c r="F3406" s="76" t="s">
        <v>851</v>
      </c>
      <c r="G3406" s="76" t="s">
        <v>1737</v>
      </c>
      <c r="H3406" s="76" t="s">
        <v>852</v>
      </c>
      <c r="I3406" s="76" t="s">
        <v>3199</v>
      </c>
      <c r="J3406" s="76" t="s">
        <v>3200</v>
      </c>
      <c r="K3406" s="40" t="s">
        <v>591</v>
      </c>
      <c r="L3406" s="11" t="s">
        <v>914</v>
      </c>
      <c r="M3406" s="97">
        <v>1</v>
      </c>
      <c r="N3406" s="94">
        <f>10000*5</f>
        <v>50000</v>
      </c>
      <c r="O3406" s="94">
        <f>N3406</f>
        <v>50000</v>
      </c>
      <c r="P3406" s="40" t="s">
        <v>698</v>
      </c>
      <c r="Q3406" s="40" t="s">
        <v>766</v>
      </c>
      <c r="R3406" s="84">
        <v>396230100</v>
      </c>
      <c r="S3406" s="40">
        <v>0</v>
      </c>
    </row>
    <row r="3407" spans="1:19" s="92" customFormat="1" ht="51">
      <c r="A3407" s="5">
        <v>3392</v>
      </c>
      <c r="B3407" s="15" t="s">
        <v>710</v>
      </c>
      <c r="C3407" s="40" t="s">
        <v>597</v>
      </c>
      <c r="D3407" s="40" t="s">
        <v>2594</v>
      </c>
      <c r="E3407" s="31" t="s">
        <v>2618</v>
      </c>
      <c r="F3407" s="31" t="s">
        <v>2595</v>
      </c>
      <c r="G3407" s="31" t="s">
        <v>2618</v>
      </c>
      <c r="H3407" s="40" t="s">
        <v>2595</v>
      </c>
      <c r="I3407" s="40" t="s">
        <v>3201</v>
      </c>
      <c r="J3407" s="40" t="s">
        <v>3202</v>
      </c>
      <c r="K3407" s="40" t="s">
        <v>591</v>
      </c>
      <c r="L3407" s="11" t="s">
        <v>914</v>
      </c>
      <c r="M3407" s="93">
        <v>1</v>
      </c>
      <c r="N3407" s="94">
        <f>10500*3</f>
        <v>31500</v>
      </c>
      <c r="O3407" s="94">
        <f>N3407</f>
        <v>31500</v>
      </c>
      <c r="P3407" s="40" t="s">
        <v>3116</v>
      </c>
      <c r="Q3407" s="40" t="s">
        <v>766</v>
      </c>
      <c r="R3407" s="84">
        <v>396230100</v>
      </c>
      <c r="S3407" s="40">
        <v>30</v>
      </c>
    </row>
    <row r="3408" spans="1:19" s="92" customFormat="1" ht="89.25">
      <c r="A3408" s="5">
        <v>3393</v>
      </c>
      <c r="B3408" s="15" t="s">
        <v>710</v>
      </c>
      <c r="C3408" s="40" t="s">
        <v>711</v>
      </c>
      <c r="D3408" s="40" t="s">
        <v>976</v>
      </c>
      <c r="E3408" s="31" t="s">
        <v>730</v>
      </c>
      <c r="F3408" s="31" t="s">
        <v>731</v>
      </c>
      <c r="G3408" s="31" t="s">
        <v>977</v>
      </c>
      <c r="H3408" s="40" t="s">
        <v>978</v>
      </c>
      <c r="I3408" s="40" t="s">
        <v>3203</v>
      </c>
      <c r="J3408" s="40" t="s">
        <v>3204</v>
      </c>
      <c r="K3408" s="40" t="s">
        <v>591</v>
      </c>
      <c r="L3408" s="40" t="s">
        <v>644</v>
      </c>
      <c r="M3408" s="93">
        <v>2</v>
      </c>
      <c r="N3408" s="94">
        <v>26800</v>
      </c>
      <c r="O3408" s="94">
        <f>N3408*M3408</f>
        <v>53600</v>
      </c>
      <c r="P3408" s="40" t="s">
        <v>3116</v>
      </c>
      <c r="Q3408" s="40" t="s">
        <v>1051</v>
      </c>
      <c r="R3408" s="84">
        <v>396230100</v>
      </c>
      <c r="S3408" s="40">
        <v>100</v>
      </c>
    </row>
    <row r="3409" spans="1:19" s="92" customFormat="1" ht="63.75">
      <c r="A3409" s="5">
        <v>3394</v>
      </c>
      <c r="B3409" s="15" t="s">
        <v>710</v>
      </c>
      <c r="C3409" s="40" t="s">
        <v>711</v>
      </c>
      <c r="D3409" s="40" t="s">
        <v>744</v>
      </c>
      <c r="E3409" s="31" t="s">
        <v>745</v>
      </c>
      <c r="F3409" s="31" t="s">
        <v>109</v>
      </c>
      <c r="G3409" s="31" t="s">
        <v>746</v>
      </c>
      <c r="H3409" s="40" t="s">
        <v>3205</v>
      </c>
      <c r="I3409" s="40" t="s">
        <v>3206</v>
      </c>
      <c r="J3409" s="40" t="s">
        <v>3207</v>
      </c>
      <c r="K3409" s="40" t="s">
        <v>591</v>
      </c>
      <c r="L3409" s="40" t="s">
        <v>644</v>
      </c>
      <c r="M3409" s="93">
        <v>6</v>
      </c>
      <c r="N3409" s="94">
        <v>4608</v>
      </c>
      <c r="O3409" s="94">
        <f>M3409*N3409</f>
        <v>27648</v>
      </c>
      <c r="P3409" s="40" t="s">
        <v>3116</v>
      </c>
      <c r="Q3409" s="40" t="s">
        <v>1051</v>
      </c>
      <c r="R3409" s="84">
        <v>396230100</v>
      </c>
      <c r="S3409" s="40">
        <v>100</v>
      </c>
    </row>
    <row r="3410" spans="1:19" s="92" customFormat="1" ht="51">
      <c r="A3410" s="5">
        <v>3395</v>
      </c>
      <c r="B3410" s="15" t="s">
        <v>710</v>
      </c>
      <c r="C3410" s="40" t="s">
        <v>711</v>
      </c>
      <c r="D3410" s="98" t="s">
        <v>422</v>
      </c>
      <c r="E3410" s="76" t="s">
        <v>423</v>
      </c>
      <c r="F3410" s="76" t="s">
        <v>427</v>
      </c>
      <c r="G3410" s="76" t="s">
        <v>837</v>
      </c>
      <c r="H3410" s="76" t="s">
        <v>425</v>
      </c>
      <c r="I3410" s="76" t="s">
        <v>3208</v>
      </c>
      <c r="J3410" s="76" t="s">
        <v>3209</v>
      </c>
      <c r="K3410" s="76" t="s">
        <v>591</v>
      </c>
      <c r="L3410" s="11" t="s">
        <v>909</v>
      </c>
      <c r="M3410" s="53">
        <v>18</v>
      </c>
      <c r="N3410" s="94">
        <v>640</v>
      </c>
      <c r="O3410" s="94">
        <f>N3410*M3410</f>
        <v>11520</v>
      </c>
      <c r="P3410" s="40" t="s">
        <v>3116</v>
      </c>
      <c r="Q3410" s="40" t="s">
        <v>766</v>
      </c>
      <c r="R3410" s="84">
        <v>396230100</v>
      </c>
      <c r="S3410" s="40">
        <v>100</v>
      </c>
    </row>
    <row r="3411" spans="1:19" s="92" customFormat="1" ht="76.5">
      <c r="A3411" s="5">
        <v>3396</v>
      </c>
      <c r="B3411" s="15" t="s">
        <v>710</v>
      </c>
      <c r="C3411" s="40" t="s">
        <v>711</v>
      </c>
      <c r="D3411" s="40" t="s">
        <v>723</v>
      </c>
      <c r="E3411" s="31" t="s">
        <v>874</v>
      </c>
      <c r="F3411" s="31" t="s">
        <v>874</v>
      </c>
      <c r="G3411" s="31" t="s">
        <v>875</v>
      </c>
      <c r="H3411" s="40" t="s">
        <v>876</v>
      </c>
      <c r="I3411" s="40" t="s">
        <v>3210</v>
      </c>
      <c r="J3411" s="40" t="s">
        <v>3211</v>
      </c>
      <c r="K3411" s="40" t="s">
        <v>591</v>
      </c>
      <c r="L3411" s="40" t="s">
        <v>644</v>
      </c>
      <c r="M3411" s="93">
        <v>1</v>
      </c>
      <c r="N3411" s="94">
        <v>30000</v>
      </c>
      <c r="O3411" s="94">
        <f>N3411*M3411</f>
        <v>30000</v>
      </c>
      <c r="P3411" s="40" t="s">
        <v>3116</v>
      </c>
      <c r="Q3411" s="40" t="s">
        <v>1051</v>
      </c>
      <c r="R3411" s="84">
        <v>396230100</v>
      </c>
      <c r="S3411" s="40">
        <v>100</v>
      </c>
    </row>
    <row r="3412" spans="1:19" s="92" customFormat="1" ht="89.25">
      <c r="A3412" s="5">
        <v>3397</v>
      </c>
      <c r="B3412" s="15" t="s">
        <v>710</v>
      </c>
      <c r="C3412" s="40" t="s">
        <v>597</v>
      </c>
      <c r="D3412" s="40" t="s">
        <v>598</v>
      </c>
      <c r="E3412" s="31" t="s">
        <v>599</v>
      </c>
      <c r="F3412" s="31" t="s">
        <v>782</v>
      </c>
      <c r="G3412" s="31" t="s">
        <v>3195</v>
      </c>
      <c r="H3412" s="40" t="s">
        <v>602</v>
      </c>
      <c r="I3412" s="40" t="s">
        <v>3196</v>
      </c>
      <c r="J3412" s="40" t="s">
        <v>3197</v>
      </c>
      <c r="K3412" s="40" t="s">
        <v>591</v>
      </c>
      <c r="L3412" s="11" t="s">
        <v>914</v>
      </c>
      <c r="M3412" s="93">
        <v>1</v>
      </c>
      <c r="N3412" s="94">
        <v>624400</v>
      </c>
      <c r="O3412" s="94">
        <v>624400</v>
      </c>
      <c r="P3412" s="40" t="s">
        <v>502</v>
      </c>
      <c r="Q3412" s="40" t="s">
        <v>766</v>
      </c>
      <c r="R3412" s="84">
        <v>396430100</v>
      </c>
      <c r="S3412" s="40">
        <v>0</v>
      </c>
    </row>
    <row r="3413" spans="1:19" s="92" customFormat="1" ht="89.25">
      <c r="A3413" s="5">
        <v>3398</v>
      </c>
      <c r="B3413" s="15" t="s">
        <v>710</v>
      </c>
      <c r="C3413" s="40" t="s">
        <v>597</v>
      </c>
      <c r="D3413" s="40" t="s">
        <v>598</v>
      </c>
      <c r="E3413" s="31" t="s">
        <v>599</v>
      </c>
      <c r="F3413" s="31" t="s">
        <v>782</v>
      </c>
      <c r="G3413" s="31" t="s">
        <v>3195</v>
      </c>
      <c r="H3413" s="40" t="s">
        <v>602</v>
      </c>
      <c r="I3413" s="40" t="s">
        <v>3196</v>
      </c>
      <c r="J3413" s="40" t="s">
        <v>3197</v>
      </c>
      <c r="K3413" s="40" t="s">
        <v>591</v>
      </c>
      <c r="L3413" s="11" t="s">
        <v>914</v>
      </c>
      <c r="M3413" s="93">
        <v>1</v>
      </c>
      <c r="N3413" s="94">
        <v>624400</v>
      </c>
      <c r="O3413" s="94">
        <v>624400</v>
      </c>
      <c r="P3413" s="40" t="s">
        <v>502</v>
      </c>
      <c r="Q3413" s="40" t="s">
        <v>766</v>
      </c>
      <c r="R3413" s="84">
        <v>396430100</v>
      </c>
      <c r="S3413" s="40">
        <v>0</v>
      </c>
    </row>
    <row r="3414" spans="1:19" s="92" customFormat="1" ht="51">
      <c r="A3414" s="5">
        <v>3399</v>
      </c>
      <c r="B3414" s="15" t="s">
        <v>710</v>
      </c>
      <c r="C3414" s="40" t="s">
        <v>597</v>
      </c>
      <c r="D3414" s="11" t="s">
        <v>850</v>
      </c>
      <c r="E3414" s="76" t="s">
        <v>1736</v>
      </c>
      <c r="F3414" s="76" t="s">
        <v>851</v>
      </c>
      <c r="G3414" s="76" t="s">
        <v>1737</v>
      </c>
      <c r="H3414" s="76" t="s">
        <v>852</v>
      </c>
      <c r="I3414" s="76" t="s">
        <v>3199</v>
      </c>
      <c r="J3414" s="76" t="s">
        <v>3200</v>
      </c>
      <c r="K3414" s="40" t="s">
        <v>591</v>
      </c>
      <c r="L3414" s="11" t="s">
        <v>914</v>
      </c>
      <c r="M3414" s="97">
        <v>1</v>
      </c>
      <c r="N3414" s="94">
        <f>10000*5</f>
        <v>50000</v>
      </c>
      <c r="O3414" s="94">
        <f>N3414</f>
        <v>50000</v>
      </c>
      <c r="P3414" s="40" t="s">
        <v>698</v>
      </c>
      <c r="Q3414" s="40" t="s">
        <v>766</v>
      </c>
      <c r="R3414" s="84">
        <v>396430100</v>
      </c>
      <c r="S3414" s="40">
        <v>0</v>
      </c>
    </row>
    <row r="3415" spans="1:19" s="92" customFormat="1" ht="51">
      <c r="A3415" s="5">
        <v>3400</v>
      </c>
      <c r="B3415" s="15" t="s">
        <v>710</v>
      </c>
      <c r="C3415" s="40" t="s">
        <v>597</v>
      </c>
      <c r="D3415" s="40" t="s">
        <v>2594</v>
      </c>
      <c r="E3415" s="31" t="s">
        <v>2618</v>
      </c>
      <c r="F3415" s="31" t="s">
        <v>2595</v>
      </c>
      <c r="G3415" s="31" t="s">
        <v>2618</v>
      </c>
      <c r="H3415" s="40" t="s">
        <v>2595</v>
      </c>
      <c r="I3415" s="40" t="s">
        <v>3201</v>
      </c>
      <c r="J3415" s="40" t="s">
        <v>3202</v>
      </c>
      <c r="K3415" s="40" t="s">
        <v>591</v>
      </c>
      <c r="L3415" s="11" t="s">
        <v>914</v>
      </c>
      <c r="M3415" s="93">
        <v>1</v>
      </c>
      <c r="N3415" s="94">
        <f>10500*3</f>
        <v>31500</v>
      </c>
      <c r="O3415" s="94">
        <f>N3415</f>
        <v>31500</v>
      </c>
      <c r="P3415" s="40" t="s">
        <v>3116</v>
      </c>
      <c r="Q3415" s="40" t="s">
        <v>766</v>
      </c>
      <c r="R3415" s="84">
        <v>396430100</v>
      </c>
      <c r="S3415" s="40">
        <v>30</v>
      </c>
    </row>
    <row r="3416" spans="1:19" s="92" customFormat="1" ht="89.25">
      <c r="A3416" s="5">
        <v>3401</v>
      </c>
      <c r="B3416" s="15" t="s">
        <v>710</v>
      </c>
      <c r="C3416" s="40" t="s">
        <v>711</v>
      </c>
      <c r="D3416" s="40" t="s">
        <v>976</v>
      </c>
      <c r="E3416" s="31" t="s">
        <v>730</v>
      </c>
      <c r="F3416" s="31" t="s">
        <v>731</v>
      </c>
      <c r="G3416" s="31" t="s">
        <v>977</v>
      </c>
      <c r="H3416" s="40" t="s">
        <v>978</v>
      </c>
      <c r="I3416" s="40" t="s">
        <v>3203</v>
      </c>
      <c r="J3416" s="40" t="s">
        <v>3204</v>
      </c>
      <c r="K3416" s="40" t="s">
        <v>591</v>
      </c>
      <c r="L3416" s="40" t="s">
        <v>644</v>
      </c>
      <c r="M3416" s="93">
        <v>2</v>
      </c>
      <c r="N3416" s="94">
        <v>26800</v>
      </c>
      <c r="O3416" s="94">
        <f>N3416*M3416</f>
        <v>53600</v>
      </c>
      <c r="P3416" s="40" t="s">
        <v>3116</v>
      </c>
      <c r="Q3416" s="40" t="s">
        <v>1051</v>
      </c>
      <c r="R3416" s="84">
        <v>396430100</v>
      </c>
      <c r="S3416" s="40">
        <v>100</v>
      </c>
    </row>
    <row r="3417" spans="1:19" s="92" customFormat="1" ht="63.75">
      <c r="A3417" s="5">
        <v>3402</v>
      </c>
      <c r="B3417" s="15" t="s">
        <v>710</v>
      </c>
      <c r="C3417" s="40" t="s">
        <v>711</v>
      </c>
      <c r="D3417" s="40" t="s">
        <v>744</v>
      </c>
      <c r="E3417" s="31" t="s">
        <v>745</v>
      </c>
      <c r="F3417" s="31" t="s">
        <v>109</v>
      </c>
      <c r="G3417" s="31" t="s">
        <v>746</v>
      </c>
      <c r="H3417" s="40" t="s">
        <v>3205</v>
      </c>
      <c r="I3417" s="40" t="s">
        <v>3206</v>
      </c>
      <c r="J3417" s="40" t="s">
        <v>3207</v>
      </c>
      <c r="K3417" s="40" t="s">
        <v>591</v>
      </c>
      <c r="L3417" s="40" t="s">
        <v>644</v>
      </c>
      <c r="M3417" s="93">
        <v>6</v>
      </c>
      <c r="N3417" s="94">
        <v>4608</v>
      </c>
      <c r="O3417" s="94">
        <f>M3417*N3417</f>
        <v>27648</v>
      </c>
      <c r="P3417" s="40" t="s">
        <v>3116</v>
      </c>
      <c r="Q3417" s="40" t="s">
        <v>1051</v>
      </c>
      <c r="R3417" s="84">
        <v>396430100</v>
      </c>
      <c r="S3417" s="40">
        <v>100</v>
      </c>
    </row>
    <row r="3418" spans="1:19" s="92" customFormat="1" ht="51">
      <c r="A3418" s="5">
        <v>3403</v>
      </c>
      <c r="B3418" s="15" t="s">
        <v>710</v>
      </c>
      <c r="C3418" s="40" t="s">
        <v>711</v>
      </c>
      <c r="D3418" s="98" t="s">
        <v>422</v>
      </c>
      <c r="E3418" s="76" t="s">
        <v>423</v>
      </c>
      <c r="F3418" s="76" t="s">
        <v>427</v>
      </c>
      <c r="G3418" s="76" t="s">
        <v>837</v>
      </c>
      <c r="H3418" s="76" t="s">
        <v>425</v>
      </c>
      <c r="I3418" s="76" t="s">
        <v>3208</v>
      </c>
      <c r="J3418" s="76" t="s">
        <v>3209</v>
      </c>
      <c r="K3418" s="76" t="s">
        <v>591</v>
      </c>
      <c r="L3418" s="11" t="s">
        <v>909</v>
      </c>
      <c r="M3418" s="53">
        <v>18</v>
      </c>
      <c r="N3418" s="94">
        <v>640</v>
      </c>
      <c r="O3418" s="94">
        <f>N3418*M3418</f>
        <v>11520</v>
      </c>
      <c r="P3418" s="40" t="s">
        <v>3116</v>
      </c>
      <c r="Q3418" s="40" t="s">
        <v>766</v>
      </c>
      <c r="R3418" s="84">
        <v>396430100</v>
      </c>
      <c r="S3418" s="40">
        <v>100</v>
      </c>
    </row>
    <row r="3419" spans="1:19" s="92" customFormat="1" ht="76.5">
      <c r="A3419" s="5">
        <v>3404</v>
      </c>
      <c r="B3419" s="15" t="s">
        <v>710</v>
      </c>
      <c r="C3419" s="40" t="s">
        <v>711</v>
      </c>
      <c r="D3419" s="40" t="s">
        <v>723</v>
      </c>
      <c r="E3419" s="31" t="s">
        <v>874</v>
      </c>
      <c r="F3419" s="31" t="s">
        <v>874</v>
      </c>
      <c r="G3419" s="31" t="s">
        <v>875</v>
      </c>
      <c r="H3419" s="40" t="s">
        <v>876</v>
      </c>
      <c r="I3419" s="40" t="s">
        <v>3210</v>
      </c>
      <c r="J3419" s="40" t="s">
        <v>3211</v>
      </c>
      <c r="K3419" s="40" t="s">
        <v>591</v>
      </c>
      <c r="L3419" s="40" t="s">
        <v>644</v>
      </c>
      <c r="M3419" s="93">
        <v>1</v>
      </c>
      <c r="N3419" s="94">
        <v>30000</v>
      </c>
      <c r="O3419" s="94">
        <f>N3419*M3419</f>
        <v>30000</v>
      </c>
      <c r="P3419" s="40" t="s">
        <v>3116</v>
      </c>
      <c r="Q3419" s="40" t="s">
        <v>1051</v>
      </c>
      <c r="R3419" s="84">
        <v>396430100</v>
      </c>
      <c r="S3419" s="40">
        <v>100</v>
      </c>
    </row>
    <row r="3420" spans="1:19" s="92" customFormat="1" ht="89.25">
      <c r="A3420" s="5">
        <v>3405</v>
      </c>
      <c r="B3420" s="15" t="s">
        <v>710</v>
      </c>
      <c r="C3420" s="40" t="s">
        <v>597</v>
      </c>
      <c r="D3420" s="40" t="s">
        <v>598</v>
      </c>
      <c r="E3420" s="31" t="s">
        <v>599</v>
      </c>
      <c r="F3420" s="31" t="s">
        <v>782</v>
      </c>
      <c r="G3420" s="31" t="s">
        <v>3195</v>
      </c>
      <c r="H3420" s="40" t="s">
        <v>602</v>
      </c>
      <c r="I3420" s="40" t="s">
        <v>3196</v>
      </c>
      <c r="J3420" s="40" t="s">
        <v>3197</v>
      </c>
      <c r="K3420" s="40" t="s">
        <v>591</v>
      </c>
      <c r="L3420" s="11" t="s">
        <v>914</v>
      </c>
      <c r="M3420" s="93">
        <v>1</v>
      </c>
      <c r="N3420" s="94">
        <v>624400</v>
      </c>
      <c r="O3420" s="94">
        <v>624400</v>
      </c>
      <c r="P3420" s="40" t="s">
        <v>502</v>
      </c>
      <c r="Q3420" s="40" t="s">
        <v>766</v>
      </c>
      <c r="R3420" s="84">
        <v>396663100</v>
      </c>
      <c r="S3420" s="40">
        <v>0</v>
      </c>
    </row>
    <row r="3421" spans="1:19" s="92" customFormat="1" ht="89.25">
      <c r="A3421" s="5">
        <v>3406</v>
      </c>
      <c r="B3421" s="15" t="s">
        <v>710</v>
      </c>
      <c r="C3421" s="40" t="s">
        <v>597</v>
      </c>
      <c r="D3421" s="40" t="s">
        <v>598</v>
      </c>
      <c r="E3421" s="31" t="s">
        <v>599</v>
      </c>
      <c r="F3421" s="31" t="s">
        <v>782</v>
      </c>
      <c r="G3421" s="31" t="s">
        <v>3195</v>
      </c>
      <c r="H3421" s="40" t="s">
        <v>602</v>
      </c>
      <c r="I3421" s="40" t="s">
        <v>3196</v>
      </c>
      <c r="J3421" s="40" t="s">
        <v>3197</v>
      </c>
      <c r="K3421" s="40" t="s">
        <v>591</v>
      </c>
      <c r="L3421" s="11" t="s">
        <v>914</v>
      </c>
      <c r="M3421" s="93">
        <v>1</v>
      </c>
      <c r="N3421" s="94">
        <v>624400</v>
      </c>
      <c r="O3421" s="94">
        <v>624400</v>
      </c>
      <c r="P3421" s="40" t="s">
        <v>502</v>
      </c>
      <c r="Q3421" s="40" t="s">
        <v>766</v>
      </c>
      <c r="R3421" s="84">
        <v>396663100</v>
      </c>
      <c r="S3421" s="40">
        <v>0</v>
      </c>
    </row>
    <row r="3422" spans="1:19" s="92" customFormat="1" ht="51">
      <c r="A3422" s="5">
        <v>3407</v>
      </c>
      <c r="B3422" s="15" t="s">
        <v>710</v>
      </c>
      <c r="C3422" s="40" t="s">
        <v>597</v>
      </c>
      <c r="D3422" s="11" t="s">
        <v>850</v>
      </c>
      <c r="E3422" s="76" t="s">
        <v>1736</v>
      </c>
      <c r="F3422" s="76" t="s">
        <v>851</v>
      </c>
      <c r="G3422" s="76" t="s">
        <v>1737</v>
      </c>
      <c r="H3422" s="76" t="s">
        <v>852</v>
      </c>
      <c r="I3422" s="76" t="s">
        <v>3199</v>
      </c>
      <c r="J3422" s="76" t="s">
        <v>3200</v>
      </c>
      <c r="K3422" s="40" t="s">
        <v>591</v>
      </c>
      <c r="L3422" s="11" t="s">
        <v>914</v>
      </c>
      <c r="M3422" s="97">
        <v>1</v>
      </c>
      <c r="N3422" s="94">
        <f>10000*5</f>
        <v>50000</v>
      </c>
      <c r="O3422" s="94">
        <f>N3422</f>
        <v>50000</v>
      </c>
      <c r="P3422" s="40" t="s">
        <v>698</v>
      </c>
      <c r="Q3422" s="40" t="s">
        <v>766</v>
      </c>
      <c r="R3422" s="84">
        <v>396663100</v>
      </c>
      <c r="S3422" s="40">
        <v>0</v>
      </c>
    </row>
    <row r="3423" spans="1:19" s="92" customFormat="1" ht="51">
      <c r="A3423" s="5">
        <v>3408</v>
      </c>
      <c r="B3423" s="15" t="s">
        <v>710</v>
      </c>
      <c r="C3423" s="40" t="s">
        <v>597</v>
      </c>
      <c r="D3423" s="40" t="s">
        <v>2594</v>
      </c>
      <c r="E3423" s="31" t="s">
        <v>2618</v>
      </c>
      <c r="F3423" s="31" t="s">
        <v>2595</v>
      </c>
      <c r="G3423" s="31" t="s">
        <v>2618</v>
      </c>
      <c r="H3423" s="40" t="s">
        <v>2595</v>
      </c>
      <c r="I3423" s="40" t="s">
        <v>3201</v>
      </c>
      <c r="J3423" s="40" t="s">
        <v>3202</v>
      </c>
      <c r="K3423" s="40" t="s">
        <v>591</v>
      </c>
      <c r="L3423" s="11" t="s">
        <v>914</v>
      </c>
      <c r="M3423" s="93">
        <v>1</v>
      </c>
      <c r="N3423" s="94">
        <f>10500*3</f>
        <v>31500</v>
      </c>
      <c r="O3423" s="94">
        <f>N3423</f>
        <v>31500</v>
      </c>
      <c r="P3423" s="40" t="s">
        <v>3116</v>
      </c>
      <c r="Q3423" s="40" t="s">
        <v>766</v>
      </c>
      <c r="R3423" s="84">
        <v>396663100</v>
      </c>
      <c r="S3423" s="40">
        <v>30</v>
      </c>
    </row>
    <row r="3424" spans="1:19" s="92" customFormat="1" ht="89.25">
      <c r="A3424" s="5">
        <v>3409</v>
      </c>
      <c r="B3424" s="15" t="s">
        <v>710</v>
      </c>
      <c r="C3424" s="40" t="s">
        <v>711</v>
      </c>
      <c r="D3424" s="40" t="s">
        <v>976</v>
      </c>
      <c r="E3424" s="31" t="s">
        <v>730</v>
      </c>
      <c r="F3424" s="31" t="s">
        <v>731</v>
      </c>
      <c r="G3424" s="31" t="s">
        <v>977</v>
      </c>
      <c r="H3424" s="40" t="s">
        <v>978</v>
      </c>
      <c r="I3424" s="40" t="s">
        <v>3203</v>
      </c>
      <c r="J3424" s="40" t="s">
        <v>3204</v>
      </c>
      <c r="K3424" s="40" t="s">
        <v>591</v>
      </c>
      <c r="L3424" s="40" t="s">
        <v>644</v>
      </c>
      <c r="M3424" s="93">
        <v>2</v>
      </c>
      <c r="N3424" s="94">
        <v>26800</v>
      </c>
      <c r="O3424" s="94">
        <f>N3424*M3424</f>
        <v>53600</v>
      </c>
      <c r="P3424" s="40" t="s">
        <v>3116</v>
      </c>
      <c r="Q3424" s="40" t="s">
        <v>1051</v>
      </c>
      <c r="R3424" s="84">
        <v>396663100</v>
      </c>
      <c r="S3424" s="40">
        <v>100</v>
      </c>
    </row>
    <row r="3425" spans="1:19" s="92" customFormat="1" ht="63.75">
      <c r="A3425" s="5">
        <v>3410</v>
      </c>
      <c r="B3425" s="15" t="s">
        <v>710</v>
      </c>
      <c r="C3425" s="40" t="s">
        <v>711</v>
      </c>
      <c r="D3425" s="40" t="s">
        <v>744</v>
      </c>
      <c r="E3425" s="31" t="s">
        <v>745</v>
      </c>
      <c r="F3425" s="31" t="s">
        <v>109</v>
      </c>
      <c r="G3425" s="31" t="s">
        <v>746</v>
      </c>
      <c r="H3425" s="40" t="s">
        <v>3205</v>
      </c>
      <c r="I3425" s="40" t="s">
        <v>3206</v>
      </c>
      <c r="J3425" s="40" t="s">
        <v>3207</v>
      </c>
      <c r="K3425" s="40" t="s">
        <v>591</v>
      </c>
      <c r="L3425" s="40" t="s">
        <v>644</v>
      </c>
      <c r="M3425" s="93">
        <v>6</v>
      </c>
      <c r="N3425" s="94">
        <v>4608</v>
      </c>
      <c r="O3425" s="94">
        <f>M3425*N3425</f>
        <v>27648</v>
      </c>
      <c r="P3425" s="40" t="s">
        <v>3116</v>
      </c>
      <c r="Q3425" s="40" t="s">
        <v>1051</v>
      </c>
      <c r="R3425" s="84">
        <v>396663100</v>
      </c>
      <c r="S3425" s="40">
        <v>100</v>
      </c>
    </row>
    <row r="3426" spans="1:19" s="92" customFormat="1" ht="51">
      <c r="A3426" s="5">
        <v>3411</v>
      </c>
      <c r="B3426" s="15" t="s">
        <v>710</v>
      </c>
      <c r="C3426" s="40" t="s">
        <v>711</v>
      </c>
      <c r="D3426" s="98" t="s">
        <v>422</v>
      </c>
      <c r="E3426" s="76" t="s">
        <v>423</v>
      </c>
      <c r="F3426" s="76" t="s">
        <v>427</v>
      </c>
      <c r="G3426" s="76" t="s">
        <v>837</v>
      </c>
      <c r="H3426" s="76" t="s">
        <v>425</v>
      </c>
      <c r="I3426" s="76" t="s">
        <v>3208</v>
      </c>
      <c r="J3426" s="76" t="s">
        <v>3209</v>
      </c>
      <c r="K3426" s="76" t="s">
        <v>591</v>
      </c>
      <c r="L3426" s="11" t="s">
        <v>909</v>
      </c>
      <c r="M3426" s="53">
        <v>18</v>
      </c>
      <c r="N3426" s="94">
        <v>640</v>
      </c>
      <c r="O3426" s="94">
        <f>N3426*M3426</f>
        <v>11520</v>
      </c>
      <c r="P3426" s="40" t="s">
        <v>3116</v>
      </c>
      <c r="Q3426" s="40" t="s">
        <v>766</v>
      </c>
      <c r="R3426" s="84">
        <v>396663100</v>
      </c>
      <c r="S3426" s="40">
        <v>100</v>
      </c>
    </row>
    <row r="3427" spans="1:19" s="92" customFormat="1" ht="76.5">
      <c r="A3427" s="5">
        <v>3412</v>
      </c>
      <c r="B3427" s="15" t="s">
        <v>710</v>
      </c>
      <c r="C3427" s="40" t="s">
        <v>711</v>
      </c>
      <c r="D3427" s="40" t="s">
        <v>723</v>
      </c>
      <c r="E3427" s="31" t="s">
        <v>874</v>
      </c>
      <c r="F3427" s="31" t="s">
        <v>874</v>
      </c>
      <c r="G3427" s="31" t="s">
        <v>875</v>
      </c>
      <c r="H3427" s="40" t="s">
        <v>876</v>
      </c>
      <c r="I3427" s="40" t="s">
        <v>3210</v>
      </c>
      <c r="J3427" s="40" t="s">
        <v>3211</v>
      </c>
      <c r="K3427" s="40" t="s">
        <v>591</v>
      </c>
      <c r="L3427" s="40" t="s">
        <v>644</v>
      </c>
      <c r="M3427" s="93">
        <v>1</v>
      </c>
      <c r="N3427" s="94">
        <v>30000</v>
      </c>
      <c r="O3427" s="94">
        <f>N3427*M3427</f>
        <v>30000</v>
      </c>
      <c r="P3427" s="40" t="s">
        <v>3116</v>
      </c>
      <c r="Q3427" s="40" t="s">
        <v>1051</v>
      </c>
      <c r="R3427" s="84">
        <v>396663100</v>
      </c>
      <c r="S3427" s="40">
        <v>100</v>
      </c>
    </row>
    <row r="3428" spans="1:19" s="92" customFormat="1" ht="89.25">
      <c r="A3428" s="5">
        <v>3413</v>
      </c>
      <c r="B3428" s="15" t="s">
        <v>710</v>
      </c>
      <c r="C3428" s="40" t="s">
        <v>597</v>
      </c>
      <c r="D3428" s="40" t="s">
        <v>598</v>
      </c>
      <c r="E3428" s="31" t="s">
        <v>599</v>
      </c>
      <c r="F3428" s="31" t="s">
        <v>782</v>
      </c>
      <c r="G3428" s="31" t="s">
        <v>3195</v>
      </c>
      <c r="H3428" s="40" t="s">
        <v>602</v>
      </c>
      <c r="I3428" s="40" t="s">
        <v>3196</v>
      </c>
      <c r="J3428" s="40" t="s">
        <v>3197</v>
      </c>
      <c r="K3428" s="40" t="s">
        <v>591</v>
      </c>
      <c r="L3428" s="11" t="s">
        <v>914</v>
      </c>
      <c r="M3428" s="93">
        <v>1</v>
      </c>
      <c r="N3428" s="94">
        <v>624400</v>
      </c>
      <c r="O3428" s="94">
        <v>624400</v>
      </c>
      <c r="P3428" s="40" t="s">
        <v>502</v>
      </c>
      <c r="Q3428" s="40" t="s">
        <v>766</v>
      </c>
      <c r="R3428" s="84">
        <v>393630100</v>
      </c>
      <c r="S3428" s="40">
        <v>0</v>
      </c>
    </row>
    <row r="3429" spans="1:19" s="92" customFormat="1" ht="89.25">
      <c r="A3429" s="5">
        <v>3414</v>
      </c>
      <c r="B3429" s="15" t="s">
        <v>710</v>
      </c>
      <c r="C3429" s="40" t="s">
        <v>597</v>
      </c>
      <c r="D3429" s="40" t="s">
        <v>598</v>
      </c>
      <c r="E3429" s="31" t="s">
        <v>599</v>
      </c>
      <c r="F3429" s="31" t="s">
        <v>782</v>
      </c>
      <c r="G3429" s="31" t="s">
        <v>3195</v>
      </c>
      <c r="H3429" s="40" t="s">
        <v>602</v>
      </c>
      <c r="I3429" s="40" t="s">
        <v>3196</v>
      </c>
      <c r="J3429" s="40" t="s">
        <v>3197</v>
      </c>
      <c r="K3429" s="40" t="s">
        <v>591</v>
      </c>
      <c r="L3429" s="11" t="s">
        <v>914</v>
      </c>
      <c r="M3429" s="93">
        <v>1</v>
      </c>
      <c r="N3429" s="94">
        <v>624400</v>
      </c>
      <c r="O3429" s="94">
        <v>624400</v>
      </c>
      <c r="P3429" s="40" t="s">
        <v>502</v>
      </c>
      <c r="Q3429" s="40" t="s">
        <v>766</v>
      </c>
      <c r="R3429" s="84">
        <v>393630100</v>
      </c>
      <c r="S3429" s="40">
        <v>0</v>
      </c>
    </row>
    <row r="3430" spans="1:19" s="92" customFormat="1" ht="51">
      <c r="A3430" s="5">
        <v>3415</v>
      </c>
      <c r="B3430" s="15" t="s">
        <v>710</v>
      </c>
      <c r="C3430" s="40" t="s">
        <v>597</v>
      </c>
      <c r="D3430" s="11" t="s">
        <v>850</v>
      </c>
      <c r="E3430" s="76" t="s">
        <v>1736</v>
      </c>
      <c r="F3430" s="76" t="s">
        <v>851</v>
      </c>
      <c r="G3430" s="76" t="s">
        <v>1737</v>
      </c>
      <c r="H3430" s="76" t="s">
        <v>852</v>
      </c>
      <c r="I3430" s="76" t="s">
        <v>3199</v>
      </c>
      <c r="J3430" s="76" t="s">
        <v>3200</v>
      </c>
      <c r="K3430" s="40" t="s">
        <v>591</v>
      </c>
      <c r="L3430" s="11" t="s">
        <v>914</v>
      </c>
      <c r="M3430" s="97">
        <v>1</v>
      </c>
      <c r="N3430" s="94">
        <f>10000*5</f>
        <v>50000</v>
      </c>
      <c r="O3430" s="94">
        <f>N3430</f>
        <v>50000</v>
      </c>
      <c r="P3430" s="40" t="s">
        <v>698</v>
      </c>
      <c r="Q3430" s="40" t="s">
        <v>766</v>
      </c>
      <c r="R3430" s="84">
        <v>393630100</v>
      </c>
      <c r="S3430" s="40">
        <v>0</v>
      </c>
    </row>
    <row r="3431" spans="1:19" s="92" customFormat="1" ht="51">
      <c r="A3431" s="5">
        <v>3416</v>
      </c>
      <c r="B3431" s="15" t="s">
        <v>710</v>
      </c>
      <c r="C3431" s="40" t="s">
        <v>597</v>
      </c>
      <c r="D3431" s="40" t="s">
        <v>2594</v>
      </c>
      <c r="E3431" s="31" t="s">
        <v>2618</v>
      </c>
      <c r="F3431" s="31" t="s">
        <v>2595</v>
      </c>
      <c r="G3431" s="31" t="s">
        <v>2618</v>
      </c>
      <c r="H3431" s="40" t="s">
        <v>2595</v>
      </c>
      <c r="I3431" s="40" t="s">
        <v>3201</v>
      </c>
      <c r="J3431" s="40" t="s">
        <v>3202</v>
      </c>
      <c r="K3431" s="40" t="s">
        <v>591</v>
      </c>
      <c r="L3431" s="11" t="s">
        <v>914</v>
      </c>
      <c r="M3431" s="93">
        <v>1</v>
      </c>
      <c r="N3431" s="94">
        <f>10500*3</f>
        <v>31500</v>
      </c>
      <c r="O3431" s="94">
        <f>N3431</f>
        <v>31500</v>
      </c>
      <c r="P3431" s="40" t="s">
        <v>3116</v>
      </c>
      <c r="Q3431" s="40" t="s">
        <v>766</v>
      </c>
      <c r="R3431" s="84">
        <v>393630100</v>
      </c>
      <c r="S3431" s="40">
        <v>30</v>
      </c>
    </row>
    <row r="3432" spans="1:19" s="92" customFormat="1" ht="89.25">
      <c r="A3432" s="5">
        <v>3417</v>
      </c>
      <c r="B3432" s="15" t="s">
        <v>710</v>
      </c>
      <c r="C3432" s="40" t="s">
        <v>711</v>
      </c>
      <c r="D3432" s="40" t="s">
        <v>976</v>
      </c>
      <c r="E3432" s="31" t="s">
        <v>730</v>
      </c>
      <c r="F3432" s="31" t="s">
        <v>731</v>
      </c>
      <c r="G3432" s="31" t="s">
        <v>977</v>
      </c>
      <c r="H3432" s="40" t="s">
        <v>978</v>
      </c>
      <c r="I3432" s="40" t="s">
        <v>3203</v>
      </c>
      <c r="J3432" s="40" t="s">
        <v>3204</v>
      </c>
      <c r="K3432" s="40" t="s">
        <v>591</v>
      </c>
      <c r="L3432" s="40" t="s">
        <v>644</v>
      </c>
      <c r="M3432" s="93">
        <v>2</v>
      </c>
      <c r="N3432" s="94">
        <v>26800</v>
      </c>
      <c r="O3432" s="94">
        <f>N3432*M3432</f>
        <v>53600</v>
      </c>
      <c r="P3432" s="40" t="s">
        <v>3116</v>
      </c>
      <c r="Q3432" s="40" t="s">
        <v>1051</v>
      </c>
      <c r="R3432" s="84">
        <v>393630100</v>
      </c>
      <c r="S3432" s="40">
        <v>100</v>
      </c>
    </row>
    <row r="3433" spans="1:19" s="92" customFormat="1" ht="63.75">
      <c r="A3433" s="5">
        <v>3418</v>
      </c>
      <c r="B3433" s="15" t="s">
        <v>710</v>
      </c>
      <c r="C3433" s="40" t="s">
        <v>711</v>
      </c>
      <c r="D3433" s="40" t="s">
        <v>744</v>
      </c>
      <c r="E3433" s="31" t="s">
        <v>745</v>
      </c>
      <c r="F3433" s="31" t="s">
        <v>109</v>
      </c>
      <c r="G3433" s="31" t="s">
        <v>746</v>
      </c>
      <c r="H3433" s="40" t="s">
        <v>3205</v>
      </c>
      <c r="I3433" s="40" t="s">
        <v>3206</v>
      </c>
      <c r="J3433" s="40" t="s">
        <v>3207</v>
      </c>
      <c r="K3433" s="40" t="s">
        <v>591</v>
      </c>
      <c r="L3433" s="40" t="s">
        <v>644</v>
      </c>
      <c r="M3433" s="93">
        <v>6</v>
      </c>
      <c r="N3433" s="94">
        <v>4608</v>
      </c>
      <c r="O3433" s="94">
        <f>M3433*N3433</f>
        <v>27648</v>
      </c>
      <c r="P3433" s="40" t="s">
        <v>3116</v>
      </c>
      <c r="Q3433" s="40" t="s">
        <v>1051</v>
      </c>
      <c r="R3433" s="84">
        <v>393630100</v>
      </c>
      <c r="S3433" s="40">
        <v>100</v>
      </c>
    </row>
    <row r="3434" spans="1:19" s="92" customFormat="1" ht="51">
      <c r="A3434" s="5">
        <v>3419</v>
      </c>
      <c r="B3434" s="15" t="s">
        <v>710</v>
      </c>
      <c r="C3434" s="40" t="s">
        <v>711</v>
      </c>
      <c r="D3434" s="98" t="s">
        <v>422</v>
      </c>
      <c r="E3434" s="76" t="s">
        <v>423</v>
      </c>
      <c r="F3434" s="76" t="s">
        <v>427</v>
      </c>
      <c r="G3434" s="76" t="s">
        <v>837</v>
      </c>
      <c r="H3434" s="76" t="s">
        <v>425</v>
      </c>
      <c r="I3434" s="76" t="s">
        <v>3208</v>
      </c>
      <c r="J3434" s="76" t="s">
        <v>3209</v>
      </c>
      <c r="K3434" s="76" t="s">
        <v>591</v>
      </c>
      <c r="L3434" s="11" t="s">
        <v>909</v>
      </c>
      <c r="M3434" s="53">
        <v>18</v>
      </c>
      <c r="N3434" s="94">
        <v>640</v>
      </c>
      <c r="O3434" s="94">
        <f>N3434*M3434</f>
        <v>11520</v>
      </c>
      <c r="P3434" s="40" t="s">
        <v>3116</v>
      </c>
      <c r="Q3434" s="40" t="s">
        <v>766</v>
      </c>
      <c r="R3434" s="84">
        <v>393630100</v>
      </c>
      <c r="S3434" s="40">
        <v>100</v>
      </c>
    </row>
    <row r="3435" spans="1:19" s="92" customFormat="1" ht="76.5">
      <c r="A3435" s="5">
        <v>3420</v>
      </c>
      <c r="B3435" s="15" t="s">
        <v>710</v>
      </c>
      <c r="C3435" s="40" t="s">
        <v>711</v>
      </c>
      <c r="D3435" s="40" t="s">
        <v>723</v>
      </c>
      <c r="E3435" s="31" t="s">
        <v>874</v>
      </c>
      <c r="F3435" s="31" t="s">
        <v>874</v>
      </c>
      <c r="G3435" s="31" t="s">
        <v>875</v>
      </c>
      <c r="H3435" s="40" t="s">
        <v>876</v>
      </c>
      <c r="I3435" s="40" t="s">
        <v>3210</v>
      </c>
      <c r="J3435" s="40" t="s">
        <v>3211</v>
      </c>
      <c r="K3435" s="40" t="s">
        <v>591</v>
      </c>
      <c r="L3435" s="40" t="s">
        <v>644</v>
      </c>
      <c r="M3435" s="93">
        <v>1</v>
      </c>
      <c r="N3435" s="94">
        <v>30000</v>
      </c>
      <c r="O3435" s="94">
        <f>N3435*M3435</f>
        <v>30000</v>
      </c>
      <c r="P3435" s="40" t="s">
        <v>3116</v>
      </c>
      <c r="Q3435" s="40" t="s">
        <v>1051</v>
      </c>
      <c r="R3435" s="84">
        <v>393630100</v>
      </c>
      <c r="S3435" s="40">
        <v>100</v>
      </c>
    </row>
    <row r="3436" spans="1:19" s="92" customFormat="1" ht="51">
      <c r="A3436" s="5">
        <v>3421</v>
      </c>
      <c r="B3436" s="15" t="s">
        <v>710</v>
      </c>
      <c r="C3436" s="40" t="s">
        <v>597</v>
      </c>
      <c r="D3436" s="40" t="s">
        <v>3128</v>
      </c>
      <c r="E3436" s="31" t="s">
        <v>2620</v>
      </c>
      <c r="F3436" s="31" t="s">
        <v>1304</v>
      </c>
      <c r="G3436" s="31" t="s">
        <v>3129</v>
      </c>
      <c r="H3436" s="40" t="s">
        <v>3130</v>
      </c>
      <c r="I3436" s="40" t="s">
        <v>3131</v>
      </c>
      <c r="J3436" s="40" t="s">
        <v>3132</v>
      </c>
      <c r="K3436" s="40" t="s">
        <v>591</v>
      </c>
      <c r="L3436" s="11" t="s">
        <v>914</v>
      </c>
      <c r="M3436" s="93">
        <v>1</v>
      </c>
      <c r="N3436" s="94">
        <f>59000*13</f>
        <v>767000</v>
      </c>
      <c r="O3436" s="94">
        <f>N3436*M3436</f>
        <v>767000</v>
      </c>
      <c r="P3436" s="40" t="s">
        <v>3116</v>
      </c>
      <c r="Q3436" s="40" t="s">
        <v>766</v>
      </c>
      <c r="R3436" s="84">
        <v>591000000</v>
      </c>
      <c r="S3436" s="40">
        <v>50</v>
      </c>
    </row>
    <row r="3437" spans="1:19" s="92" customFormat="1" ht="76.5">
      <c r="A3437" s="5">
        <v>3422</v>
      </c>
      <c r="B3437" s="15" t="s">
        <v>710</v>
      </c>
      <c r="C3437" s="40" t="s">
        <v>3117</v>
      </c>
      <c r="D3437" s="40" t="s">
        <v>532</v>
      </c>
      <c r="E3437" s="31" t="s">
        <v>3133</v>
      </c>
      <c r="F3437" s="31" t="s">
        <v>534</v>
      </c>
      <c r="G3437" s="31" t="s">
        <v>3133</v>
      </c>
      <c r="H3437" s="31" t="s">
        <v>534</v>
      </c>
      <c r="I3437" s="40" t="s">
        <v>3134</v>
      </c>
      <c r="J3437" s="40" t="s">
        <v>3135</v>
      </c>
      <c r="K3437" s="40" t="s">
        <v>591</v>
      </c>
      <c r="L3437" s="11" t="s">
        <v>914</v>
      </c>
      <c r="M3437" s="93">
        <v>1</v>
      </c>
      <c r="N3437" s="94">
        <f>13*30000</f>
        <v>390000</v>
      </c>
      <c r="O3437" s="94">
        <f>N3437*M3437</f>
        <v>390000</v>
      </c>
      <c r="P3437" s="40" t="s">
        <v>3116</v>
      </c>
      <c r="Q3437" s="40" t="s">
        <v>1051</v>
      </c>
      <c r="R3437" s="84">
        <v>591000000</v>
      </c>
      <c r="S3437" s="40">
        <v>50</v>
      </c>
    </row>
    <row r="3438" spans="1:19" s="92" customFormat="1" ht="51">
      <c r="A3438" s="5">
        <v>3423</v>
      </c>
      <c r="B3438" s="15" t="s">
        <v>710</v>
      </c>
      <c r="C3438" s="40" t="s">
        <v>2433</v>
      </c>
      <c r="D3438" s="40" t="s">
        <v>3136</v>
      </c>
      <c r="E3438" s="40" t="s">
        <v>466</v>
      </c>
      <c r="F3438" s="40" t="s">
        <v>25</v>
      </c>
      <c r="G3438" s="40" t="s">
        <v>3212</v>
      </c>
      <c r="H3438" s="40" t="s">
        <v>467</v>
      </c>
      <c r="I3438" s="40" t="s">
        <v>3137</v>
      </c>
      <c r="J3438" s="40" t="s">
        <v>3138</v>
      </c>
      <c r="K3438" s="40" t="s">
        <v>591</v>
      </c>
      <c r="L3438" s="95" t="s">
        <v>644</v>
      </c>
      <c r="M3438" s="93">
        <f>26*5</f>
        <v>130</v>
      </c>
      <c r="N3438" s="94">
        <v>40</v>
      </c>
      <c r="O3438" s="94">
        <f>N3438*M3438</f>
        <v>5200</v>
      </c>
      <c r="P3438" s="40" t="s">
        <v>3139</v>
      </c>
      <c r="Q3438" s="40" t="s">
        <v>766</v>
      </c>
      <c r="R3438" s="84">
        <v>591000000</v>
      </c>
      <c r="S3438" s="40">
        <v>0</v>
      </c>
    </row>
    <row r="3439" spans="1:19" s="92" customFormat="1" ht="51">
      <c r="A3439" s="5">
        <v>3424</v>
      </c>
      <c r="B3439" s="15" t="s">
        <v>710</v>
      </c>
      <c r="C3439" s="40" t="s">
        <v>2433</v>
      </c>
      <c r="D3439" s="40" t="s">
        <v>3140</v>
      </c>
      <c r="E3439" s="40" t="s">
        <v>3141</v>
      </c>
      <c r="F3439" s="40" t="s">
        <v>3142</v>
      </c>
      <c r="G3439" s="40" t="s">
        <v>3213</v>
      </c>
      <c r="H3439" s="40" t="s">
        <v>3214</v>
      </c>
      <c r="I3439" s="40" t="s">
        <v>3143</v>
      </c>
      <c r="J3439" s="40" t="s">
        <v>3144</v>
      </c>
      <c r="K3439" s="40" t="s">
        <v>591</v>
      </c>
      <c r="L3439" s="95" t="s">
        <v>644</v>
      </c>
      <c r="M3439" s="93">
        <f>26*3</f>
        <v>78</v>
      </c>
      <c r="N3439" s="94">
        <v>170</v>
      </c>
      <c r="O3439" s="94">
        <f t="shared" ref="O3439:O3456" si="82">N3439*M3439</f>
        <v>13260</v>
      </c>
      <c r="P3439" s="40" t="s">
        <v>3139</v>
      </c>
      <c r="Q3439" s="40" t="s">
        <v>766</v>
      </c>
      <c r="R3439" s="84">
        <v>591000000</v>
      </c>
      <c r="S3439" s="40">
        <v>0</v>
      </c>
    </row>
    <row r="3440" spans="1:19" s="92" customFormat="1" ht="51">
      <c r="A3440" s="5">
        <v>3425</v>
      </c>
      <c r="B3440" s="15" t="s">
        <v>710</v>
      </c>
      <c r="C3440" s="40" t="s">
        <v>2433</v>
      </c>
      <c r="D3440" s="40" t="s">
        <v>452</v>
      </c>
      <c r="E3440" s="40" t="s">
        <v>453</v>
      </c>
      <c r="F3440" s="40" t="s">
        <v>454</v>
      </c>
      <c r="G3440" s="40" t="s">
        <v>455</v>
      </c>
      <c r="H3440" s="40" t="s">
        <v>456</v>
      </c>
      <c r="I3440" s="40" t="s">
        <v>3145</v>
      </c>
      <c r="J3440" s="40" t="s">
        <v>3146</v>
      </c>
      <c r="K3440" s="40" t="s">
        <v>591</v>
      </c>
      <c r="L3440" s="95" t="s">
        <v>480</v>
      </c>
      <c r="M3440" s="93">
        <f>26*5</f>
        <v>130</v>
      </c>
      <c r="N3440" s="94">
        <v>155</v>
      </c>
      <c r="O3440" s="94">
        <f t="shared" si="82"/>
        <v>20150</v>
      </c>
      <c r="P3440" s="40" t="s">
        <v>3139</v>
      </c>
      <c r="Q3440" s="40" t="s">
        <v>766</v>
      </c>
      <c r="R3440" s="84">
        <v>591000000</v>
      </c>
      <c r="S3440" s="40">
        <v>0</v>
      </c>
    </row>
    <row r="3441" spans="1:19" s="92" customFormat="1" ht="51">
      <c r="A3441" s="5">
        <v>3426</v>
      </c>
      <c r="B3441" s="15" t="s">
        <v>710</v>
      </c>
      <c r="C3441" s="40" t="s">
        <v>2433</v>
      </c>
      <c r="D3441" s="40" t="s">
        <v>452</v>
      </c>
      <c r="E3441" s="40" t="s">
        <v>453</v>
      </c>
      <c r="F3441" s="40" t="s">
        <v>454</v>
      </c>
      <c r="G3441" s="40" t="s">
        <v>455</v>
      </c>
      <c r="H3441" s="40" t="s">
        <v>456</v>
      </c>
      <c r="I3441" s="40" t="s">
        <v>3147</v>
      </c>
      <c r="J3441" s="40" t="s">
        <v>3148</v>
      </c>
      <c r="K3441" s="40" t="s">
        <v>591</v>
      </c>
      <c r="L3441" s="95" t="s">
        <v>480</v>
      </c>
      <c r="M3441" s="93">
        <f>26*5</f>
        <v>130</v>
      </c>
      <c r="N3441" s="94">
        <v>200</v>
      </c>
      <c r="O3441" s="94">
        <f t="shared" si="82"/>
        <v>26000</v>
      </c>
      <c r="P3441" s="40" t="s">
        <v>3139</v>
      </c>
      <c r="Q3441" s="40" t="s">
        <v>766</v>
      </c>
      <c r="R3441" s="84">
        <v>591000000</v>
      </c>
      <c r="S3441" s="40">
        <v>0</v>
      </c>
    </row>
    <row r="3442" spans="1:19" s="92" customFormat="1" ht="51">
      <c r="A3442" s="5">
        <v>3427</v>
      </c>
      <c r="B3442" s="15" t="s">
        <v>710</v>
      </c>
      <c r="C3442" s="40" t="s">
        <v>2433</v>
      </c>
      <c r="D3442" s="40" t="s">
        <v>432</v>
      </c>
      <c r="E3442" s="40" t="s">
        <v>433</v>
      </c>
      <c r="F3442" s="40" t="s">
        <v>434</v>
      </c>
      <c r="G3442" s="40" t="s">
        <v>435</v>
      </c>
      <c r="H3442" s="40" t="s">
        <v>436</v>
      </c>
      <c r="I3442" s="40" t="s">
        <v>3149</v>
      </c>
      <c r="J3442" s="40" t="s">
        <v>3150</v>
      </c>
      <c r="K3442" s="40" t="s">
        <v>591</v>
      </c>
      <c r="L3442" s="95" t="s">
        <v>644</v>
      </c>
      <c r="M3442" s="93">
        <f>26*5</f>
        <v>130</v>
      </c>
      <c r="N3442" s="94">
        <v>250</v>
      </c>
      <c r="O3442" s="94">
        <f t="shared" si="82"/>
        <v>32500</v>
      </c>
      <c r="P3442" s="40" t="s">
        <v>3139</v>
      </c>
      <c r="Q3442" s="40" t="s">
        <v>766</v>
      </c>
      <c r="R3442" s="84">
        <v>591000000</v>
      </c>
      <c r="S3442" s="40">
        <v>0</v>
      </c>
    </row>
    <row r="3443" spans="1:19" s="92" customFormat="1" ht="51">
      <c r="A3443" s="5">
        <v>3428</v>
      </c>
      <c r="B3443" s="15" t="s">
        <v>710</v>
      </c>
      <c r="C3443" s="40" t="s">
        <v>2433</v>
      </c>
      <c r="D3443" s="40" t="s">
        <v>447</v>
      </c>
      <c r="E3443" s="40" t="s">
        <v>24</v>
      </c>
      <c r="F3443" s="40" t="s">
        <v>24</v>
      </c>
      <c r="G3443" s="40" t="s">
        <v>3215</v>
      </c>
      <c r="H3443" s="40" t="s">
        <v>448</v>
      </c>
      <c r="I3443" s="40" t="s">
        <v>3151</v>
      </c>
      <c r="J3443" s="40" t="s">
        <v>3152</v>
      </c>
      <c r="K3443" s="40" t="s">
        <v>591</v>
      </c>
      <c r="L3443" s="95" t="s">
        <v>644</v>
      </c>
      <c r="M3443" s="93">
        <f>26*3</f>
        <v>78</v>
      </c>
      <c r="N3443" s="94">
        <v>250</v>
      </c>
      <c r="O3443" s="94">
        <f t="shared" si="82"/>
        <v>19500</v>
      </c>
      <c r="P3443" s="40" t="s">
        <v>3139</v>
      </c>
      <c r="Q3443" s="40" t="s">
        <v>766</v>
      </c>
      <c r="R3443" s="84">
        <v>591000000</v>
      </c>
      <c r="S3443" s="40">
        <v>0</v>
      </c>
    </row>
    <row r="3444" spans="1:19" s="92" customFormat="1" ht="51">
      <c r="A3444" s="5">
        <v>3429</v>
      </c>
      <c r="B3444" s="15" t="s">
        <v>710</v>
      </c>
      <c r="C3444" s="40" t="s">
        <v>2433</v>
      </c>
      <c r="D3444" s="40" t="s">
        <v>449</v>
      </c>
      <c r="E3444" s="40" t="s">
        <v>450</v>
      </c>
      <c r="F3444" s="40" t="s">
        <v>450</v>
      </c>
      <c r="G3444" s="40" t="s">
        <v>3216</v>
      </c>
      <c r="H3444" s="40" t="s">
        <v>451</v>
      </c>
      <c r="I3444" s="40" t="s">
        <v>3153</v>
      </c>
      <c r="J3444" s="40" t="s">
        <v>3154</v>
      </c>
      <c r="K3444" s="40" t="s">
        <v>591</v>
      </c>
      <c r="L3444" s="95" t="s">
        <v>480</v>
      </c>
      <c r="M3444" s="93">
        <f>26*3</f>
        <v>78</v>
      </c>
      <c r="N3444" s="94">
        <v>250</v>
      </c>
      <c r="O3444" s="94">
        <f t="shared" si="82"/>
        <v>19500</v>
      </c>
      <c r="P3444" s="40" t="s">
        <v>3139</v>
      </c>
      <c r="Q3444" s="40" t="s">
        <v>766</v>
      </c>
      <c r="R3444" s="84">
        <v>591000000</v>
      </c>
      <c r="S3444" s="40">
        <v>0</v>
      </c>
    </row>
    <row r="3445" spans="1:19" s="92" customFormat="1" ht="51">
      <c r="A3445" s="5">
        <v>3430</v>
      </c>
      <c r="B3445" s="15" t="s">
        <v>710</v>
      </c>
      <c r="C3445" s="40" t="s">
        <v>2433</v>
      </c>
      <c r="D3445" s="40" t="s">
        <v>3155</v>
      </c>
      <c r="E3445" s="40" t="s">
        <v>3156</v>
      </c>
      <c r="F3445" s="40" t="s">
        <v>3157</v>
      </c>
      <c r="G3445" s="40" t="s">
        <v>3217</v>
      </c>
      <c r="H3445" s="40" t="s">
        <v>3218</v>
      </c>
      <c r="I3445" s="40" t="s">
        <v>3158</v>
      </c>
      <c r="J3445" s="40" t="s">
        <v>3159</v>
      </c>
      <c r="K3445" s="40" t="s">
        <v>591</v>
      </c>
      <c r="L3445" s="95" t="s">
        <v>644</v>
      </c>
      <c r="M3445" s="93">
        <f>26*2</f>
        <v>52</v>
      </c>
      <c r="N3445" s="94">
        <v>150</v>
      </c>
      <c r="O3445" s="94">
        <f t="shared" si="82"/>
        <v>7800</v>
      </c>
      <c r="P3445" s="40" t="s">
        <v>3139</v>
      </c>
      <c r="Q3445" s="40" t="s">
        <v>766</v>
      </c>
      <c r="R3445" s="84">
        <v>591000000</v>
      </c>
      <c r="S3445" s="40">
        <v>0</v>
      </c>
    </row>
    <row r="3446" spans="1:19" s="92" customFormat="1" ht="51">
      <c r="A3446" s="5">
        <v>3431</v>
      </c>
      <c r="B3446" s="15" t="s">
        <v>710</v>
      </c>
      <c r="C3446" s="40" t="s">
        <v>2433</v>
      </c>
      <c r="D3446" s="40" t="s">
        <v>437</v>
      </c>
      <c r="E3446" s="40" t="s">
        <v>20</v>
      </c>
      <c r="F3446" s="40" t="s">
        <v>20</v>
      </c>
      <c r="G3446" s="40" t="s">
        <v>438</v>
      </c>
      <c r="H3446" s="40" t="s">
        <v>439</v>
      </c>
      <c r="I3446" s="40" t="s">
        <v>3160</v>
      </c>
      <c r="J3446" s="40" t="s">
        <v>3161</v>
      </c>
      <c r="K3446" s="40" t="s">
        <v>591</v>
      </c>
      <c r="L3446" s="95" t="s">
        <v>644</v>
      </c>
      <c r="M3446" s="93">
        <f>26*5</f>
        <v>130</v>
      </c>
      <c r="N3446" s="94">
        <v>100</v>
      </c>
      <c r="O3446" s="94">
        <f t="shared" si="82"/>
        <v>13000</v>
      </c>
      <c r="P3446" s="40" t="s">
        <v>3139</v>
      </c>
      <c r="Q3446" s="40" t="s">
        <v>766</v>
      </c>
      <c r="R3446" s="84">
        <v>591000000</v>
      </c>
      <c r="S3446" s="40">
        <v>0</v>
      </c>
    </row>
    <row r="3447" spans="1:19" s="92" customFormat="1" ht="51">
      <c r="A3447" s="5">
        <v>3432</v>
      </c>
      <c r="B3447" s="15" t="s">
        <v>710</v>
      </c>
      <c r="C3447" s="40" t="s">
        <v>2433</v>
      </c>
      <c r="D3447" s="40" t="s">
        <v>3162</v>
      </c>
      <c r="E3447" s="40" t="s">
        <v>3163</v>
      </c>
      <c r="F3447" s="40" t="s">
        <v>3164</v>
      </c>
      <c r="G3447" s="31" t="s">
        <v>3219</v>
      </c>
      <c r="H3447" s="40" t="s">
        <v>3220</v>
      </c>
      <c r="I3447" s="40" t="s">
        <v>3165</v>
      </c>
      <c r="J3447" s="40" t="s">
        <v>3166</v>
      </c>
      <c r="K3447" s="40" t="s">
        <v>591</v>
      </c>
      <c r="L3447" s="95" t="s">
        <v>480</v>
      </c>
      <c r="M3447" s="93">
        <f>26*5</f>
        <v>130</v>
      </c>
      <c r="N3447" s="94">
        <v>500</v>
      </c>
      <c r="O3447" s="94">
        <f t="shared" si="82"/>
        <v>65000</v>
      </c>
      <c r="P3447" s="40" t="s">
        <v>3139</v>
      </c>
      <c r="Q3447" s="40" t="s">
        <v>766</v>
      </c>
      <c r="R3447" s="84">
        <v>591000000</v>
      </c>
      <c r="S3447" s="40">
        <v>0</v>
      </c>
    </row>
    <row r="3448" spans="1:19" s="92" customFormat="1" ht="51">
      <c r="A3448" s="5">
        <v>3433</v>
      </c>
      <c r="B3448" s="15" t="s">
        <v>710</v>
      </c>
      <c r="C3448" s="40" t="s">
        <v>2433</v>
      </c>
      <c r="D3448" s="40" t="s">
        <v>440</v>
      </c>
      <c r="E3448" s="40" t="s">
        <v>21</v>
      </c>
      <c r="F3448" s="40" t="s">
        <v>21</v>
      </c>
      <c r="G3448" s="31" t="s">
        <v>441</v>
      </c>
      <c r="H3448" s="40" t="s">
        <v>442</v>
      </c>
      <c r="I3448" s="40" t="s">
        <v>3167</v>
      </c>
      <c r="J3448" s="40" t="s">
        <v>3168</v>
      </c>
      <c r="K3448" s="40" t="s">
        <v>591</v>
      </c>
      <c r="L3448" s="95" t="s">
        <v>644</v>
      </c>
      <c r="M3448" s="93">
        <f t="shared" ref="M3448:M3453" si="83">26*1</f>
        <v>26</v>
      </c>
      <c r="N3448" s="94">
        <v>1500</v>
      </c>
      <c r="O3448" s="94">
        <f t="shared" si="82"/>
        <v>39000</v>
      </c>
      <c r="P3448" s="40" t="s">
        <v>3139</v>
      </c>
      <c r="Q3448" s="40" t="s">
        <v>766</v>
      </c>
      <c r="R3448" s="84">
        <v>591000000</v>
      </c>
      <c r="S3448" s="40">
        <v>0</v>
      </c>
    </row>
    <row r="3449" spans="1:19" s="92" customFormat="1" ht="127.5">
      <c r="A3449" s="5">
        <v>3434</v>
      </c>
      <c r="B3449" s="15" t="s">
        <v>710</v>
      </c>
      <c r="C3449" s="40" t="s">
        <v>2433</v>
      </c>
      <c r="D3449" s="40" t="s">
        <v>470</v>
      </c>
      <c r="E3449" s="40" t="s">
        <v>27</v>
      </c>
      <c r="F3449" s="40" t="s">
        <v>27</v>
      </c>
      <c r="G3449" s="31" t="s">
        <v>471</v>
      </c>
      <c r="H3449" s="40" t="s">
        <v>472</v>
      </c>
      <c r="I3449" s="40" t="s">
        <v>3169</v>
      </c>
      <c r="J3449" s="40" t="s">
        <v>3170</v>
      </c>
      <c r="K3449" s="40" t="s">
        <v>591</v>
      </c>
      <c r="L3449" s="95" t="s">
        <v>644</v>
      </c>
      <c r="M3449" s="93">
        <f t="shared" si="83"/>
        <v>26</v>
      </c>
      <c r="N3449" s="94">
        <v>3500</v>
      </c>
      <c r="O3449" s="94">
        <f t="shared" si="82"/>
        <v>91000</v>
      </c>
      <c r="P3449" s="40" t="s">
        <v>3139</v>
      </c>
      <c r="Q3449" s="40" t="s">
        <v>766</v>
      </c>
      <c r="R3449" s="84">
        <v>591000000</v>
      </c>
      <c r="S3449" s="40">
        <v>0</v>
      </c>
    </row>
    <row r="3450" spans="1:19" s="92" customFormat="1" ht="76.5">
      <c r="A3450" s="5">
        <v>3435</v>
      </c>
      <c r="B3450" s="15" t="s">
        <v>710</v>
      </c>
      <c r="C3450" s="40" t="s">
        <v>2433</v>
      </c>
      <c r="D3450" s="40" t="s">
        <v>3171</v>
      </c>
      <c r="E3450" s="40" t="s">
        <v>3172</v>
      </c>
      <c r="F3450" s="40" t="s">
        <v>3172</v>
      </c>
      <c r="G3450" s="40" t="s">
        <v>3173</v>
      </c>
      <c r="H3450" s="40" t="s">
        <v>3174</v>
      </c>
      <c r="I3450" s="40" t="s">
        <v>3175</v>
      </c>
      <c r="J3450" s="40" t="s">
        <v>3176</v>
      </c>
      <c r="K3450" s="40" t="s">
        <v>591</v>
      </c>
      <c r="L3450" s="95" t="s">
        <v>644</v>
      </c>
      <c r="M3450" s="93">
        <f t="shared" si="83"/>
        <v>26</v>
      </c>
      <c r="N3450" s="94">
        <v>150</v>
      </c>
      <c r="O3450" s="94">
        <f t="shared" si="82"/>
        <v>3900</v>
      </c>
      <c r="P3450" s="40" t="s">
        <v>3139</v>
      </c>
      <c r="Q3450" s="40" t="s">
        <v>766</v>
      </c>
      <c r="R3450" s="84">
        <v>591000000</v>
      </c>
      <c r="S3450" s="40">
        <v>0</v>
      </c>
    </row>
    <row r="3451" spans="1:19" s="92" customFormat="1" ht="51">
      <c r="A3451" s="5">
        <v>3436</v>
      </c>
      <c r="B3451" s="15" t="s">
        <v>710</v>
      </c>
      <c r="C3451" s="40" t="s">
        <v>2433</v>
      </c>
      <c r="D3451" s="40" t="s">
        <v>457</v>
      </c>
      <c r="E3451" s="40" t="s">
        <v>17</v>
      </c>
      <c r="F3451" s="40" t="s">
        <v>17</v>
      </c>
      <c r="G3451" s="40" t="s">
        <v>3177</v>
      </c>
      <c r="H3451" s="40" t="s">
        <v>458</v>
      </c>
      <c r="I3451" s="40" t="s">
        <v>3178</v>
      </c>
      <c r="J3451" s="40" t="s">
        <v>3179</v>
      </c>
      <c r="K3451" s="40" t="s">
        <v>591</v>
      </c>
      <c r="L3451" s="95" t="s">
        <v>644</v>
      </c>
      <c r="M3451" s="93">
        <f t="shared" si="83"/>
        <v>26</v>
      </c>
      <c r="N3451" s="94">
        <v>600</v>
      </c>
      <c r="O3451" s="94">
        <f t="shared" si="82"/>
        <v>15600</v>
      </c>
      <c r="P3451" s="40" t="s">
        <v>3139</v>
      </c>
      <c r="Q3451" s="40" t="s">
        <v>766</v>
      </c>
      <c r="R3451" s="84">
        <v>591000000</v>
      </c>
      <c r="S3451" s="40">
        <v>0</v>
      </c>
    </row>
    <row r="3452" spans="1:19" s="92" customFormat="1" ht="51">
      <c r="A3452" s="5">
        <v>3437</v>
      </c>
      <c r="B3452" s="15" t="s">
        <v>710</v>
      </c>
      <c r="C3452" s="40" t="s">
        <v>2433</v>
      </c>
      <c r="D3452" s="40" t="s">
        <v>457</v>
      </c>
      <c r="E3452" s="40" t="s">
        <v>17</v>
      </c>
      <c r="F3452" s="40" t="s">
        <v>17</v>
      </c>
      <c r="G3452" s="40" t="s">
        <v>3177</v>
      </c>
      <c r="H3452" s="40" t="s">
        <v>458</v>
      </c>
      <c r="I3452" s="40" t="s">
        <v>3180</v>
      </c>
      <c r="J3452" s="40" t="s">
        <v>3181</v>
      </c>
      <c r="K3452" s="40" t="s">
        <v>591</v>
      </c>
      <c r="L3452" s="95" t="s">
        <v>644</v>
      </c>
      <c r="M3452" s="93">
        <f t="shared" si="83"/>
        <v>26</v>
      </c>
      <c r="N3452" s="94">
        <v>800</v>
      </c>
      <c r="O3452" s="94">
        <f t="shared" si="82"/>
        <v>20800</v>
      </c>
      <c r="P3452" s="40" t="s">
        <v>3139</v>
      </c>
      <c r="Q3452" s="40" t="s">
        <v>766</v>
      </c>
      <c r="R3452" s="84">
        <v>591000000</v>
      </c>
      <c r="S3452" s="40">
        <v>0</v>
      </c>
    </row>
    <row r="3453" spans="1:19" s="92" customFormat="1" ht="51">
      <c r="A3453" s="5">
        <v>3438</v>
      </c>
      <c r="B3453" s="15" t="s">
        <v>710</v>
      </c>
      <c r="C3453" s="40" t="s">
        <v>2433</v>
      </c>
      <c r="D3453" s="40" t="s">
        <v>476</v>
      </c>
      <c r="E3453" s="40" t="s">
        <v>477</v>
      </c>
      <c r="F3453" s="40" t="s">
        <v>28</v>
      </c>
      <c r="G3453" s="40" t="s">
        <v>478</v>
      </c>
      <c r="H3453" s="40" t="s">
        <v>479</v>
      </c>
      <c r="I3453" s="40" t="s">
        <v>3182</v>
      </c>
      <c r="J3453" s="40" t="s">
        <v>3183</v>
      </c>
      <c r="K3453" s="40" t="s">
        <v>591</v>
      </c>
      <c r="L3453" s="95" t="s">
        <v>644</v>
      </c>
      <c r="M3453" s="93">
        <f t="shared" si="83"/>
        <v>26</v>
      </c>
      <c r="N3453" s="94">
        <v>1500</v>
      </c>
      <c r="O3453" s="94">
        <f t="shared" si="82"/>
        <v>39000</v>
      </c>
      <c r="P3453" s="40" t="s">
        <v>3139</v>
      </c>
      <c r="Q3453" s="40" t="s">
        <v>766</v>
      </c>
      <c r="R3453" s="84">
        <v>591000000</v>
      </c>
      <c r="S3453" s="40">
        <v>0</v>
      </c>
    </row>
    <row r="3454" spans="1:19" s="92" customFormat="1" ht="51">
      <c r="A3454" s="5">
        <v>3439</v>
      </c>
      <c r="B3454" s="15" t="s">
        <v>710</v>
      </c>
      <c r="C3454" s="40" t="s">
        <v>2433</v>
      </c>
      <c r="D3454" s="40" t="s">
        <v>468</v>
      </c>
      <c r="E3454" s="40" t="s">
        <v>3184</v>
      </c>
      <c r="F3454" s="40" t="s">
        <v>26</v>
      </c>
      <c r="G3454" s="40" t="s">
        <v>3185</v>
      </c>
      <c r="H3454" s="40" t="s">
        <v>469</v>
      </c>
      <c r="I3454" s="40" t="s">
        <v>3186</v>
      </c>
      <c r="J3454" s="40" t="s">
        <v>3187</v>
      </c>
      <c r="K3454" s="40" t="s">
        <v>591</v>
      </c>
      <c r="L3454" s="95" t="s">
        <v>644</v>
      </c>
      <c r="M3454" s="93">
        <f>26*5</f>
        <v>130</v>
      </c>
      <c r="N3454" s="94">
        <v>250</v>
      </c>
      <c r="O3454" s="94">
        <f t="shared" si="82"/>
        <v>32500</v>
      </c>
      <c r="P3454" s="40" t="s">
        <v>3139</v>
      </c>
      <c r="Q3454" s="40" t="s">
        <v>766</v>
      </c>
      <c r="R3454" s="84">
        <v>591000000</v>
      </c>
      <c r="S3454" s="40">
        <v>0</v>
      </c>
    </row>
    <row r="3455" spans="1:19" s="92" customFormat="1" ht="51">
      <c r="A3455" s="5">
        <v>3440</v>
      </c>
      <c r="B3455" s="15" t="s">
        <v>710</v>
      </c>
      <c r="C3455" s="40" t="s">
        <v>2433</v>
      </c>
      <c r="D3455" s="40" t="s">
        <v>443</v>
      </c>
      <c r="E3455" s="40" t="s">
        <v>444</v>
      </c>
      <c r="F3455" s="40" t="s">
        <v>444</v>
      </c>
      <c r="G3455" s="40" t="s">
        <v>445</v>
      </c>
      <c r="H3455" s="40" t="s">
        <v>446</v>
      </c>
      <c r="I3455" s="40" t="s">
        <v>3188</v>
      </c>
      <c r="J3455" s="40" t="s">
        <v>3189</v>
      </c>
      <c r="K3455" s="40" t="s">
        <v>591</v>
      </c>
      <c r="L3455" s="95" t="s">
        <v>644</v>
      </c>
      <c r="M3455" s="93">
        <f>26*5</f>
        <v>130</v>
      </c>
      <c r="N3455" s="94">
        <v>500</v>
      </c>
      <c r="O3455" s="94">
        <f t="shared" si="82"/>
        <v>65000</v>
      </c>
      <c r="P3455" s="40" t="s">
        <v>3139</v>
      </c>
      <c r="Q3455" s="40" t="s">
        <v>766</v>
      </c>
      <c r="R3455" s="84">
        <v>591000000</v>
      </c>
      <c r="S3455" s="40">
        <v>0</v>
      </c>
    </row>
    <row r="3456" spans="1:19" s="92" customFormat="1" ht="51">
      <c r="A3456" s="5">
        <v>3441</v>
      </c>
      <c r="B3456" s="15" t="s">
        <v>710</v>
      </c>
      <c r="C3456" s="40" t="s">
        <v>711</v>
      </c>
      <c r="D3456" s="40" t="s">
        <v>3190</v>
      </c>
      <c r="E3456" s="31" t="s">
        <v>3191</v>
      </c>
      <c r="F3456" s="31" t="s">
        <v>3192</v>
      </c>
      <c r="G3456" s="40" t="s">
        <v>3264</v>
      </c>
      <c r="H3456" s="40" t="s">
        <v>3264</v>
      </c>
      <c r="I3456" s="31" t="s">
        <v>3193</v>
      </c>
      <c r="J3456" s="31" t="s">
        <v>3194</v>
      </c>
      <c r="K3456" s="40" t="s">
        <v>591</v>
      </c>
      <c r="L3456" s="95" t="s">
        <v>644</v>
      </c>
      <c r="M3456" s="93">
        <f>26*1</f>
        <v>26</v>
      </c>
      <c r="N3456" s="94">
        <v>1200</v>
      </c>
      <c r="O3456" s="94">
        <f t="shared" si="82"/>
        <v>31200</v>
      </c>
      <c r="P3456" s="40" t="s">
        <v>3139</v>
      </c>
      <c r="Q3456" s="40" t="s">
        <v>766</v>
      </c>
      <c r="R3456" s="84">
        <v>591000000</v>
      </c>
      <c r="S3456" s="40">
        <v>0</v>
      </c>
    </row>
    <row r="3457" spans="1:19" s="92" customFormat="1" ht="89.25">
      <c r="A3457" s="5">
        <v>3442</v>
      </c>
      <c r="B3457" s="15" t="s">
        <v>710</v>
      </c>
      <c r="C3457" s="40" t="s">
        <v>597</v>
      </c>
      <c r="D3457" s="40" t="s">
        <v>598</v>
      </c>
      <c r="E3457" s="31" t="s">
        <v>599</v>
      </c>
      <c r="F3457" s="31" t="s">
        <v>782</v>
      </c>
      <c r="G3457" s="31" t="s">
        <v>3195</v>
      </c>
      <c r="H3457" s="40" t="s">
        <v>602</v>
      </c>
      <c r="I3457" s="40" t="s">
        <v>3196</v>
      </c>
      <c r="J3457" s="40" t="s">
        <v>3197</v>
      </c>
      <c r="K3457" s="40" t="s">
        <v>591</v>
      </c>
      <c r="L3457" s="11" t="s">
        <v>914</v>
      </c>
      <c r="M3457" s="93">
        <v>1</v>
      </c>
      <c r="N3457" s="94">
        <v>624400</v>
      </c>
      <c r="O3457" s="94">
        <v>624400</v>
      </c>
      <c r="P3457" s="40" t="s">
        <v>502</v>
      </c>
      <c r="Q3457" s="40" t="s">
        <v>766</v>
      </c>
      <c r="R3457" s="84" t="s">
        <v>3261</v>
      </c>
      <c r="S3457" s="40">
        <v>0</v>
      </c>
    </row>
    <row r="3458" spans="1:19" s="92" customFormat="1" ht="89.25">
      <c r="A3458" s="5">
        <v>3443</v>
      </c>
      <c r="B3458" s="15" t="s">
        <v>710</v>
      </c>
      <c r="C3458" s="40" t="s">
        <v>597</v>
      </c>
      <c r="D3458" s="40" t="s">
        <v>598</v>
      </c>
      <c r="E3458" s="31" t="s">
        <v>599</v>
      </c>
      <c r="F3458" s="31" t="s">
        <v>782</v>
      </c>
      <c r="G3458" s="31" t="s">
        <v>3195</v>
      </c>
      <c r="H3458" s="40" t="s">
        <v>602</v>
      </c>
      <c r="I3458" s="40" t="s">
        <v>3196</v>
      </c>
      <c r="J3458" s="40" t="s">
        <v>3197</v>
      </c>
      <c r="K3458" s="40" t="s">
        <v>591</v>
      </c>
      <c r="L3458" s="11" t="s">
        <v>914</v>
      </c>
      <c r="M3458" s="93">
        <v>1</v>
      </c>
      <c r="N3458" s="94">
        <v>624400</v>
      </c>
      <c r="O3458" s="94">
        <v>624400</v>
      </c>
      <c r="P3458" s="40" t="s">
        <v>502</v>
      </c>
      <c r="Q3458" s="40" t="s">
        <v>766</v>
      </c>
      <c r="R3458" s="84" t="s">
        <v>3261</v>
      </c>
      <c r="S3458" s="40">
        <v>0</v>
      </c>
    </row>
    <row r="3459" spans="1:19" s="92" customFormat="1" ht="51">
      <c r="A3459" s="5">
        <v>3444</v>
      </c>
      <c r="B3459" s="15" t="s">
        <v>710</v>
      </c>
      <c r="C3459" s="40" t="s">
        <v>597</v>
      </c>
      <c r="D3459" s="11" t="s">
        <v>850</v>
      </c>
      <c r="E3459" s="76" t="s">
        <v>1736</v>
      </c>
      <c r="F3459" s="76" t="s">
        <v>851</v>
      </c>
      <c r="G3459" s="76" t="s">
        <v>1737</v>
      </c>
      <c r="H3459" s="76" t="s">
        <v>852</v>
      </c>
      <c r="I3459" s="76" t="s">
        <v>3199</v>
      </c>
      <c r="J3459" s="76" t="s">
        <v>3200</v>
      </c>
      <c r="K3459" s="40" t="s">
        <v>591</v>
      </c>
      <c r="L3459" s="11" t="s">
        <v>914</v>
      </c>
      <c r="M3459" s="97">
        <v>1</v>
      </c>
      <c r="N3459" s="94">
        <f>10000*5</f>
        <v>50000</v>
      </c>
      <c r="O3459" s="94">
        <f>N3459</f>
        <v>50000</v>
      </c>
      <c r="P3459" s="40" t="s">
        <v>698</v>
      </c>
      <c r="Q3459" s="40" t="s">
        <v>766</v>
      </c>
      <c r="R3459" s="84" t="s">
        <v>3261</v>
      </c>
      <c r="S3459" s="40">
        <v>0</v>
      </c>
    </row>
    <row r="3460" spans="1:19" s="92" customFormat="1" ht="51">
      <c r="A3460" s="5">
        <v>3445</v>
      </c>
      <c r="B3460" s="15" t="s">
        <v>710</v>
      </c>
      <c r="C3460" s="40" t="s">
        <v>597</v>
      </c>
      <c r="D3460" s="40" t="s">
        <v>2594</v>
      </c>
      <c r="E3460" s="31" t="s">
        <v>2618</v>
      </c>
      <c r="F3460" s="31" t="s">
        <v>2595</v>
      </c>
      <c r="G3460" s="31" t="s">
        <v>2618</v>
      </c>
      <c r="H3460" s="40" t="s">
        <v>2595</v>
      </c>
      <c r="I3460" s="40" t="s">
        <v>3201</v>
      </c>
      <c r="J3460" s="40" t="s">
        <v>3202</v>
      </c>
      <c r="K3460" s="40" t="s">
        <v>591</v>
      </c>
      <c r="L3460" s="11" t="s">
        <v>914</v>
      </c>
      <c r="M3460" s="93">
        <v>1</v>
      </c>
      <c r="N3460" s="94">
        <f>10500*3</f>
        <v>31500</v>
      </c>
      <c r="O3460" s="94">
        <f>N3460</f>
        <v>31500</v>
      </c>
      <c r="P3460" s="40" t="s">
        <v>3116</v>
      </c>
      <c r="Q3460" s="40" t="s">
        <v>766</v>
      </c>
      <c r="R3460" s="84" t="s">
        <v>3261</v>
      </c>
      <c r="S3460" s="40">
        <v>30</v>
      </c>
    </row>
    <row r="3461" spans="1:19" s="92" customFormat="1" ht="89.25">
      <c r="A3461" s="5">
        <v>3446</v>
      </c>
      <c r="B3461" s="15" t="s">
        <v>710</v>
      </c>
      <c r="C3461" s="40" t="s">
        <v>711</v>
      </c>
      <c r="D3461" s="40" t="s">
        <v>976</v>
      </c>
      <c r="E3461" s="31" t="s">
        <v>730</v>
      </c>
      <c r="F3461" s="31" t="s">
        <v>731</v>
      </c>
      <c r="G3461" s="31" t="s">
        <v>977</v>
      </c>
      <c r="H3461" s="40" t="s">
        <v>978</v>
      </c>
      <c r="I3461" s="40" t="s">
        <v>3203</v>
      </c>
      <c r="J3461" s="40" t="s">
        <v>3204</v>
      </c>
      <c r="K3461" s="40" t="s">
        <v>591</v>
      </c>
      <c r="L3461" s="40" t="s">
        <v>644</v>
      </c>
      <c r="M3461" s="93">
        <v>2</v>
      </c>
      <c r="N3461" s="94">
        <f>O3461/M3461</f>
        <v>0</v>
      </c>
      <c r="O3461" s="94">
        <f>53600-53600</f>
        <v>0</v>
      </c>
      <c r="P3461" s="40" t="s">
        <v>698</v>
      </c>
      <c r="Q3461" s="40" t="s">
        <v>1051</v>
      </c>
      <c r="R3461" s="84" t="s">
        <v>3261</v>
      </c>
      <c r="S3461" s="40">
        <v>100</v>
      </c>
    </row>
    <row r="3462" spans="1:19" s="92" customFormat="1" ht="63.75">
      <c r="A3462" s="5">
        <v>3447</v>
      </c>
      <c r="B3462" s="15" t="s">
        <v>710</v>
      </c>
      <c r="C3462" s="40" t="s">
        <v>711</v>
      </c>
      <c r="D3462" s="40" t="s">
        <v>744</v>
      </c>
      <c r="E3462" s="31" t="s">
        <v>745</v>
      </c>
      <c r="F3462" s="31" t="s">
        <v>109</v>
      </c>
      <c r="G3462" s="31" t="s">
        <v>746</v>
      </c>
      <c r="H3462" s="40" t="s">
        <v>3205</v>
      </c>
      <c r="I3462" s="40" t="s">
        <v>3206</v>
      </c>
      <c r="J3462" s="40" t="s">
        <v>3207</v>
      </c>
      <c r="K3462" s="40" t="s">
        <v>591</v>
      </c>
      <c r="L3462" s="40" t="s">
        <v>644</v>
      </c>
      <c r="M3462" s="93">
        <f>6-2</f>
        <v>4</v>
      </c>
      <c r="N3462" s="94">
        <f>O3462/M3462</f>
        <v>4000</v>
      </c>
      <c r="O3462" s="94">
        <f>24000-8000</f>
        <v>16000</v>
      </c>
      <c r="P3462" s="40" t="s">
        <v>502</v>
      </c>
      <c r="Q3462" s="40" t="s">
        <v>1051</v>
      </c>
      <c r="R3462" s="84" t="s">
        <v>3261</v>
      </c>
      <c r="S3462" s="40">
        <v>100</v>
      </c>
    </row>
    <row r="3463" spans="1:19" s="92" customFormat="1" ht="51">
      <c r="A3463" s="5">
        <v>3448</v>
      </c>
      <c r="B3463" s="15" t="s">
        <v>710</v>
      </c>
      <c r="C3463" s="40" t="s">
        <v>711</v>
      </c>
      <c r="D3463" s="98" t="s">
        <v>422</v>
      </c>
      <c r="E3463" s="76" t="s">
        <v>423</v>
      </c>
      <c r="F3463" s="76" t="s">
        <v>427</v>
      </c>
      <c r="G3463" s="76" t="s">
        <v>837</v>
      </c>
      <c r="H3463" s="76" t="s">
        <v>425</v>
      </c>
      <c r="I3463" s="76" t="s">
        <v>3208</v>
      </c>
      <c r="J3463" s="76" t="s">
        <v>3209</v>
      </c>
      <c r="K3463" s="76" t="s">
        <v>591</v>
      </c>
      <c r="L3463" s="11" t="s">
        <v>909</v>
      </c>
      <c r="M3463" s="53">
        <v>18</v>
      </c>
      <c r="N3463" s="94">
        <v>640</v>
      </c>
      <c r="O3463" s="94">
        <f>N3463*M3463</f>
        <v>11520</v>
      </c>
      <c r="P3463" s="40" t="s">
        <v>502</v>
      </c>
      <c r="Q3463" s="40" t="s">
        <v>766</v>
      </c>
      <c r="R3463" s="84" t="s">
        <v>3261</v>
      </c>
      <c r="S3463" s="40">
        <v>100</v>
      </c>
    </row>
    <row r="3464" spans="1:19" s="92" customFormat="1" ht="76.5">
      <c r="A3464" s="5">
        <v>3449</v>
      </c>
      <c r="B3464" s="15" t="s">
        <v>710</v>
      </c>
      <c r="C3464" s="40" t="s">
        <v>711</v>
      </c>
      <c r="D3464" s="40" t="s">
        <v>723</v>
      </c>
      <c r="E3464" s="31" t="s">
        <v>874</v>
      </c>
      <c r="F3464" s="31" t="s">
        <v>874</v>
      </c>
      <c r="G3464" s="31" t="s">
        <v>875</v>
      </c>
      <c r="H3464" s="40" t="s">
        <v>876</v>
      </c>
      <c r="I3464" s="40" t="s">
        <v>3210</v>
      </c>
      <c r="J3464" s="40" t="s">
        <v>3211</v>
      </c>
      <c r="K3464" s="40" t="s">
        <v>591</v>
      </c>
      <c r="L3464" s="40" t="s">
        <v>644</v>
      </c>
      <c r="M3464" s="93">
        <v>1</v>
      </c>
      <c r="N3464" s="94">
        <f>O3464/M3464</f>
        <v>0</v>
      </c>
      <c r="O3464" s="94">
        <f>30000-30000</f>
        <v>0</v>
      </c>
      <c r="P3464" s="40" t="s">
        <v>698</v>
      </c>
      <c r="Q3464" s="40" t="s">
        <v>1051</v>
      </c>
      <c r="R3464" s="84" t="s">
        <v>3261</v>
      </c>
      <c r="S3464" s="40">
        <v>100</v>
      </c>
    </row>
    <row r="3465" spans="1:19" s="92" customFormat="1" ht="89.25">
      <c r="A3465" s="5">
        <v>3450</v>
      </c>
      <c r="B3465" s="15" t="s">
        <v>710</v>
      </c>
      <c r="C3465" s="40" t="s">
        <v>597</v>
      </c>
      <c r="D3465" s="40" t="s">
        <v>598</v>
      </c>
      <c r="E3465" s="31" t="s">
        <v>599</v>
      </c>
      <c r="F3465" s="31" t="s">
        <v>782</v>
      </c>
      <c r="G3465" s="31" t="s">
        <v>3195</v>
      </c>
      <c r="H3465" s="40" t="s">
        <v>602</v>
      </c>
      <c r="I3465" s="40" t="s">
        <v>3196</v>
      </c>
      <c r="J3465" s="40" t="s">
        <v>3197</v>
      </c>
      <c r="K3465" s="40" t="s">
        <v>591</v>
      </c>
      <c r="L3465" s="11" t="s">
        <v>914</v>
      </c>
      <c r="M3465" s="93">
        <v>1</v>
      </c>
      <c r="N3465" s="94">
        <v>624400</v>
      </c>
      <c r="O3465" s="94">
        <v>624400</v>
      </c>
      <c r="P3465" s="40" t="s">
        <v>502</v>
      </c>
      <c r="Q3465" s="40" t="s">
        <v>766</v>
      </c>
      <c r="R3465" s="84" t="s">
        <v>3257</v>
      </c>
      <c r="S3465" s="40">
        <v>0</v>
      </c>
    </row>
    <row r="3466" spans="1:19" s="92" customFormat="1" ht="89.25">
      <c r="A3466" s="5">
        <v>3451</v>
      </c>
      <c r="B3466" s="15" t="s">
        <v>710</v>
      </c>
      <c r="C3466" s="40" t="s">
        <v>597</v>
      </c>
      <c r="D3466" s="40" t="s">
        <v>598</v>
      </c>
      <c r="E3466" s="31" t="s">
        <v>599</v>
      </c>
      <c r="F3466" s="31" t="s">
        <v>782</v>
      </c>
      <c r="G3466" s="31" t="s">
        <v>3195</v>
      </c>
      <c r="H3466" s="40" t="s">
        <v>602</v>
      </c>
      <c r="I3466" s="40" t="s">
        <v>3196</v>
      </c>
      <c r="J3466" s="40" t="s">
        <v>3197</v>
      </c>
      <c r="K3466" s="40" t="s">
        <v>591</v>
      </c>
      <c r="L3466" s="11" t="s">
        <v>914</v>
      </c>
      <c r="M3466" s="93">
        <v>1</v>
      </c>
      <c r="N3466" s="94">
        <v>624400</v>
      </c>
      <c r="O3466" s="94">
        <v>624400</v>
      </c>
      <c r="P3466" s="40" t="s">
        <v>502</v>
      </c>
      <c r="Q3466" s="40" t="s">
        <v>766</v>
      </c>
      <c r="R3466" s="84" t="s">
        <v>3257</v>
      </c>
      <c r="S3466" s="40">
        <v>0</v>
      </c>
    </row>
    <row r="3467" spans="1:19" s="92" customFormat="1" ht="51">
      <c r="A3467" s="5">
        <v>3452</v>
      </c>
      <c r="B3467" s="15" t="s">
        <v>710</v>
      </c>
      <c r="C3467" s="40" t="s">
        <v>597</v>
      </c>
      <c r="D3467" s="11" t="s">
        <v>850</v>
      </c>
      <c r="E3467" s="76" t="s">
        <v>1736</v>
      </c>
      <c r="F3467" s="76" t="s">
        <v>851</v>
      </c>
      <c r="G3467" s="76" t="s">
        <v>1737</v>
      </c>
      <c r="H3467" s="76" t="s">
        <v>852</v>
      </c>
      <c r="I3467" s="76" t="s">
        <v>3199</v>
      </c>
      <c r="J3467" s="76" t="s">
        <v>3200</v>
      </c>
      <c r="K3467" s="40" t="s">
        <v>591</v>
      </c>
      <c r="L3467" s="11" t="s">
        <v>914</v>
      </c>
      <c r="M3467" s="97">
        <v>1</v>
      </c>
      <c r="N3467" s="94">
        <f>10000*5</f>
        <v>50000</v>
      </c>
      <c r="O3467" s="94">
        <f>N3467</f>
        <v>50000</v>
      </c>
      <c r="P3467" s="40" t="s">
        <v>698</v>
      </c>
      <c r="Q3467" s="40" t="s">
        <v>766</v>
      </c>
      <c r="R3467" s="84" t="s">
        <v>3257</v>
      </c>
      <c r="S3467" s="40">
        <v>0</v>
      </c>
    </row>
    <row r="3468" spans="1:19" s="92" customFormat="1" ht="51">
      <c r="A3468" s="5">
        <v>3453</v>
      </c>
      <c r="B3468" s="15" t="s">
        <v>710</v>
      </c>
      <c r="C3468" s="40" t="s">
        <v>597</v>
      </c>
      <c r="D3468" s="40" t="s">
        <v>2594</v>
      </c>
      <c r="E3468" s="31" t="s">
        <v>2618</v>
      </c>
      <c r="F3468" s="31" t="s">
        <v>2595</v>
      </c>
      <c r="G3468" s="31" t="s">
        <v>2618</v>
      </c>
      <c r="H3468" s="40" t="s">
        <v>2595</v>
      </c>
      <c r="I3468" s="40" t="s">
        <v>3201</v>
      </c>
      <c r="J3468" s="40" t="s">
        <v>3202</v>
      </c>
      <c r="K3468" s="40" t="s">
        <v>591</v>
      </c>
      <c r="L3468" s="11" t="s">
        <v>914</v>
      </c>
      <c r="M3468" s="93">
        <v>1</v>
      </c>
      <c r="N3468" s="94">
        <f>10500*3</f>
        <v>31500</v>
      </c>
      <c r="O3468" s="94">
        <f>N3468</f>
        <v>31500</v>
      </c>
      <c r="P3468" s="40" t="s">
        <v>3116</v>
      </c>
      <c r="Q3468" s="40" t="s">
        <v>766</v>
      </c>
      <c r="R3468" s="84" t="s">
        <v>3257</v>
      </c>
      <c r="S3468" s="40">
        <v>30</v>
      </c>
    </row>
    <row r="3469" spans="1:19" s="92" customFormat="1" ht="89.25">
      <c r="A3469" s="5">
        <v>3454</v>
      </c>
      <c r="B3469" s="15" t="s">
        <v>710</v>
      </c>
      <c r="C3469" s="40" t="s">
        <v>711</v>
      </c>
      <c r="D3469" s="40" t="s">
        <v>976</v>
      </c>
      <c r="E3469" s="31" t="s">
        <v>730</v>
      </c>
      <c r="F3469" s="31" t="s">
        <v>731</v>
      </c>
      <c r="G3469" s="31" t="s">
        <v>977</v>
      </c>
      <c r="H3469" s="40" t="s">
        <v>978</v>
      </c>
      <c r="I3469" s="40" t="s">
        <v>3203</v>
      </c>
      <c r="J3469" s="40" t="s">
        <v>3204</v>
      </c>
      <c r="K3469" s="40" t="s">
        <v>591</v>
      </c>
      <c r="L3469" s="40" t="s">
        <v>644</v>
      </c>
      <c r="M3469" s="93">
        <v>2</v>
      </c>
      <c r="N3469" s="94">
        <f>O3469/M3469</f>
        <v>0</v>
      </c>
      <c r="O3469" s="94">
        <f>53600-53600</f>
        <v>0</v>
      </c>
      <c r="P3469" s="40" t="s">
        <v>698</v>
      </c>
      <c r="Q3469" s="40" t="s">
        <v>1051</v>
      </c>
      <c r="R3469" s="84" t="s">
        <v>3257</v>
      </c>
      <c r="S3469" s="40">
        <v>100</v>
      </c>
    </row>
    <row r="3470" spans="1:19" s="92" customFormat="1" ht="63.75">
      <c r="A3470" s="5">
        <v>3455</v>
      </c>
      <c r="B3470" s="15" t="s">
        <v>710</v>
      </c>
      <c r="C3470" s="40" t="s">
        <v>711</v>
      </c>
      <c r="D3470" s="40" t="s">
        <v>744</v>
      </c>
      <c r="E3470" s="31" t="s">
        <v>745</v>
      </c>
      <c r="F3470" s="31" t="s">
        <v>109</v>
      </c>
      <c r="G3470" s="31" t="s">
        <v>746</v>
      </c>
      <c r="H3470" s="40" t="s">
        <v>3205</v>
      </c>
      <c r="I3470" s="40" t="s">
        <v>3206</v>
      </c>
      <c r="J3470" s="40" t="s">
        <v>3207</v>
      </c>
      <c r="K3470" s="40" t="s">
        <v>591</v>
      </c>
      <c r="L3470" s="40" t="s">
        <v>644</v>
      </c>
      <c r="M3470" s="93">
        <f>6-2</f>
        <v>4</v>
      </c>
      <c r="N3470" s="94">
        <f>O3470/M3470</f>
        <v>4000</v>
      </c>
      <c r="O3470" s="94">
        <f>24000-8000</f>
        <v>16000</v>
      </c>
      <c r="P3470" s="40" t="s">
        <v>502</v>
      </c>
      <c r="Q3470" s="40" t="s">
        <v>1051</v>
      </c>
      <c r="R3470" s="84" t="s">
        <v>3257</v>
      </c>
      <c r="S3470" s="40">
        <v>100</v>
      </c>
    </row>
    <row r="3471" spans="1:19" s="92" customFormat="1" ht="51">
      <c r="A3471" s="5">
        <v>3456</v>
      </c>
      <c r="B3471" s="15" t="s">
        <v>710</v>
      </c>
      <c r="C3471" s="40" t="s">
        <v>711</v>
      </c>
      <c r="D3471" s="98" t="s">
        <v>422</v>
      </c>
      <c r="E3471" s="76" t="s">
        <v>423</v>
      </c>
      <c r="F3471" s="76" t="s">
        <v>427</v>
      </c>
      <c r="G3471" s="76" t="s">
        <v>837</v>
      </c>
      <c r="H3471" s="76" t="s">
        <v>425</v>
      </c>
      <c r="I3471" s="76" t="s">
        <v>3208</v>
      </c>
      <c r="J3471" s="76" t="s">
        <v>3209</v>
      </c>
      <c r="K3471" s="76" t="s">
        <v>591</v>
      </c>
      <c r="L3471" s="11" t="s">
        <v>909</v>
      </c>
      <c r="M3471" s="53">
        <v>18</v>
      </c>
      <c r="N3471" s="94">
        <v>640</v>
      </c>
      <c r="O3471" s="94">
        <f>N3471*M3471</f>
        <v>11520</v>
      </c>
      <c r="P3471" s="40" t="s">
        <v>502</v>
      </c>
      <c r="Q3471" s="40" t="s">
        <v>766</v>
      </c>
      <c r="R3471" s="84" t="s">
        <v>3257</v>
      </c>
      <c r="S3471" s="40">
        <v>100</v>
      </c>
    </row>
    <row r="3472" spans="1:19" s="92" customFormat="1" ht="76.5">
      <c r="A3472" s="5">
        <v>3457</v>
      </c>
      <c r="B3472" s="15" t="s">
        <v>710</v>
      </c>
      <c r="C3472" s="40" t="s">
        <v>711</v>
      </c>
      <c r="D3472" s="40" t="s">
        <v>723</v>
      </c>
      <c r="E3472" s="31" t="s">
        <v>874</v>
      </c>
      <c r="F3472" s="31" t="s">
        <v>874</v>
      </c>
      <c r="G3472" s="31" t="s">
        <v>875</v>
      </c>
      <c r="H3472" s="40" t="s">
        <v>876</v>
      </c>
      <c r="I3472" s="40" t="s">
        <v>3210</v>
      </c>
      <c r="J3472" s="40" t="s">
        <v>3211</v>
      </c>
      <c r="K3472" s="40" t="s">
        <v>591</v>
      </c>
      <c r="L3472" s="40" t="s">
        <v>644</v>
      </c>
      <c r="M3472" s="93">
        <v>1</v>
      </c>
      <c r="N3472" s="94">
        <v>30000</v>
      </c>
      <c r="O3472" s="94">
        <f>N3472*M3472</f>
        <v>30000</v>
      </c>
      <c r="P3472" s="40" t="s">
        <v>3116</v>
      </c>
      <c r="Q3472" s="40" t="s">
        <v>1051</v>
      </c>
      <c r="R3472" s="84" t="s">
        <v>3257</v>
      </c>
      <c r="S3472" s="40">
        <v>100</v>
      </c>
    </row>
    <row r="3473" spans="1:19" s="92" customFormat="1" ht="89.25">
      <c r="A3473" s="5">
        <v>3458</v>
      </c>
      <c r="B3473" s="15" t="s">
        <v>710</v>
      </c>
      <c r="C3473" s="40" t="s">
        <v>597</v>
      </c>
      <c r="D3473" s="40" t="s">
        <v>598</v>
      </c>
      <c r="E3473" s="31" t="s">
        <v>599</v>
      </c>
      <c r="F3473" s="31" t="s">
        <v>782</v>
      </c>
      <c r="G3473" s="31" t="s">
        <v>3195</v>
      </c>
      <c r="H3473" s="40" t="s">
        <v>602</v>
      </c>
      <c r="I3473" s="40" t="s">
        <v>3196</v>
      </c>
      <c r="J3473" s="40" t="s">
        <v>3197</v>
      </c>
      <c r="K3473" s="40" t="s">
        <v>591</v>
      </c>
      <c r="L3473" s="11" t="s">
        <v>914</v>
      </c>
      <c r="M3473" s="93">
        <v>1</v>
      </c>
      <c r="N3473" s="94">
        <v>624400</v>
      </c>
      <c r="O3473" s="94">
        <v>624400</v>
      </c>
      <c r="P3473" s="40" t="s">
        <v>502</v>
      </c>
      <c r="Q3473" s="40" t="s">
        <v>766</v>
      </c>
      <c r="R3473" s="84" t="s">
        <v>3263</v>
      </c>
      <c r="S3473" s="40">
        <v>0</v>
      </c>
    </row>
    <row r="3474" spans="1:19" s="92" customFormat="1" ht="89.25">
      <c r="A3474" s="5">
        <v>3459</v>
      </c>
      <c r="B3474" s="15" t="s">
        <v>710</v>
      </c>
      <c r="C3474" s="40" t="s">
        <v>597</v>
      </c>
      <c r="D3474" s="40" t="s">
        <v>598</v>
      </c>
      <c r="E3474" s="31" t="s">
        <v>599</v>
      </c>
      <c r="F3474" s="31" t="s">
        <v>782</v>
      </c>
      <c r="G3474" s="31" t="s">
        <v>3195</v>
      </c>
      <c r="H3474" s="40" t="s">
        <v>602</v>
      </c>
      <c r="I3474" s="40" t="s">
        <v>3196</v>
      </c>
      <c r="J3474" s="40" t="s">
        <v>3197</v>
      </c>
      <c r="K3474" s="40" t="s">
        <v>591</v>
      </c>
      <c r="L3474" s="11" t="s">
        <v>914</v>
      </c>
      <c r="M3474" s="93">
        <v>1</v>
      </c>
      <c r="N3474" s="94">
        <v>624400</v>
      </c>
      <c r="O3474" s="94">
        <v>624400</v>
      </c>
      <c r="P3474" s="40" t="s">
        <v>502</v>
      </c>
      <c r="Q3474" s="40" t="s">
        <v>766</v>
      </c>
      <c r="R3474" s="84">
        <v>595830100</v>
      </c>
      <c r="S3474" s="40">
        <v>0</v>
      </c>
    </row>
    <row r="3475" spans="1:19" s="92" customFormat="1" ht="51">
      <c r="A3475" s="5">
        <v>3460</v>
      </c>
      <c r="B3475" s="15" t="s">
        <v>710</v>
      </c>
      <c r="C3475" s="40" t="s">
        <v>597</v>
      </c>
      <c r="D3475" s="11" t="s">
        <v>850</v>
      </c>
      <c r="E3475" s="76" t="s">
        <v>1736</v>
      </c>
      <c r="F3475" s="76" t="s">
        <v>851</v>
      </c>
      <c r="G3475" s="76" t="s">
        <v>1737</v>
      </c>
      <c r="H3475" s="76" t="s">
        <v>852</v>
      </c>
      <c r="I3475" s="76" t="s">
        <v>3199</v>
      </c>
      <c r="J3475" s="76" t="s">
        <v>3200</v>
      </c>
      <c r="K3475" s="40" t="s">
        <v>591</v>
      </c>
      <c r="L3475" s="11" t="s">
        <v>914</v>
      </c>
      <c r="M3475" s="97">
        <v>1</v>
      </c>
      <c r="N3475" s="94">
        <f>10000*5</f>
        <v>50000</v>
      </c>
      <c r="O3475" s="94">
        <f>N3475</f>
        <v>50000</v>
      </c>
      <c r="P3475" s="40" t="s">
        <v>698</v>
      </c>
      <c r="Q3475" s="40" t="s">
        <v>766</v>
      </c>
      <c r="R3475" s="84" t="s">
        <v>3263</v>
      </c>
      <c r="S3475" s="40">
        <v>0</v>
      </c>
    </row>
    <row r="3476" spans="1:19" s="92" customFormat="1" ht="51">
      <c r="A3476" s="5">
        <v>3461</v>
      </c>
      <c r="B3476" s="15" t="s">
        <v>710</v>
      </c>
      <c r="C3476" s="40" t="s">
        <v>597</v>
      </c>
      <c r="D3476" s="40" t="s">
        <v>2594</v>
      </c>
      <c r="E3476" s="31" t="s">
        <v>2618</v>
      </c>
      <c r="F3476" s="31" t="s">
        <v>2595</v>
      </c>
      <c r="G3476" s="31" t="s">
        <v>2618</v>
      </c>
      <c r="H3476" s="40" t="s">
        <v>2595</v>
      </c>
      <c r="I3476" s="40" t="s">
        <v>3201</v>
      </c>
      <c r="J3476" s="40" t="s">
        <v>3202</v>
      </c>
      <c r="K3476" s="40" t="s">
        <v>591</v>
      </c>
      <c r="L3476" s="11" t="s">
        <v>914</v>
      </c>
      <c r="M3476" s="93">
        <v>1</v>
      </c>
      <c r="N3476" s="94">
        <f>10500*3</f>
        <v>31500</v>
      </c>
      <c r="O3476" s="94">
        <f>N3476</f>
        <v>31500</v>
      </c>
      <c r="P3476" s="40" t="s">
        <v>3116</v>
      </c>
      <c r="Q3476" s="40" t="s">
        <v>766</v>
      </c>
      <c r="R3476" s="84" t="s">
        <v>3263</v>
      </c>
      <c r="S3476" s="40">
        <v>30</v>
      </c>
    </row>
    <row r="3477" spans="1:19" s="92" customFormat="1" ht="89.25">
      <c r="A3477" s="5">
        <v>3462</v>
      </c>
      <c r="B3477" s="15" t="s">
        <v>710</v>
      </c>
      <c r="C3477" s="40" t="s">
        <v>711</v>
      </c>
      <c r="D3477" s="40" t="s">
        <v>976</v>
      </c>
      <c r="E3477" s="31" t="s">
        <v>730</v>
      </c>
      <c r="F3477" s="31" t="s">
        <v>731</v>
      </c>
      <c r="G3477" s="31" t="s">
        <v>977</v>
      </c>
      <c r="H3477" s="40" t="s">
        <v>978</v>
      </c>
      <c r="I3477" s="40" t="s">
        <v>3203</v>
      </c>
      <c r="J3477" s="40" t="s">
        <v>3204</v>
      </c>
      <c r="K3477" s="40" t="s">
        <v>591</v>
      </c>
      <c r="L3477" s="40" t="s">
        <v>644</v>
      </c>
      <c r="M3477" s="93">
        <v>2</v>
      </c>
      <c r="N3477" s="94">
        <f>O3477/M3477</f>
        <v>0</v>
      </c>
      <c r="O3477" s="94">
        <f>53600-53600</f>
        <v>0</v>
      </c>
      <c r="P3477" s="40" t="s">
        <v>698</v>
      </c>
      <c r="Q3477" s="40" t="s">
        <v>1051</v>
      </c>
      <c r="R3477" s="84" t="s">
        <v>3263</v>
      </c>
      <c r="S3477" s="40">
        <v>100</v>
      </c>
    </row>
    <row r="3478" spans="1:19" s="92" customFormat="1" ht="63.75">
      <c r="A3478" s="5">
        <v>3463</v>
      </c>
      <c r="B3478" s="15" t="s">
        <v>710</v>
      </c>
      <c r="C3478" s="40" t="s">
        <v>711</v>
      </c>
      <c r="D3478" s="40" t="s">
        <v>744</v>
      </c>
      <c r="E3478" s="31" t="s">
        <v>745</v>
      </c>
      <c r="F3478" s="31" t="s">
        <v>109</v>
      </c>
      <c r="G3478" s="31" t="s">
        <v>746</v>
      </c>
      <c r="H3478" s="40" t="s">
        <v>3205</v>
      </c>
      <c r="I3478" s="40" t="s">
        <v>3206</v>
      </c>
      <c r="J3478" s="40" t="s">
        <v>3207</v>
      </c>
      <c r="K3478" s="40" t="s">
        <v>591</v>
      </c>
      <c r="L3478" s="40" t="s">
        <v>644</v>
      </c>
      <c r="M3478" s="93">
        <f>6-2</f>
        <v>4</v>
      </c>
      <c r="N3478" s="94">
        <f>O3478/M3478</f>
        <v>4000</v>
      </c>
      <c r="O3478" s="94">
        <f>24000-8000</f>
        <v>16000</v>
      </c>
      <c r="P3478" s="40" t="s">
        <v>502</v>
      </c>
      <c r="Q3478" s="40" t="s">
        <v>1051</v>
      </c>
      <c r="R3478" s="84" t="s">
        <v>3263</v>
      </c>
      <c r="S3478" s="40">
        <v>100</v>
      </c>
    </row>
    <row r="3479" spans="1:19" s="92" customFormat="1" ht="51">
      <c r="A3479" s="5">
        <v>3464</v>
      </c>
      <c r="B3479" s="15" t="s">
        <v>710</v>
      </c>
      <c r="C3479" s="40" t="s">
        <v>711</v>
      </c>
      <c r="D3479" s="98" t="s">
        <v>422</v>
      </c>
      <c r="E3479" s="76" t="s">
        <v>423</v>
      </c>
      <c r="F3479" s="76" t="s">
        <v>427</v>
      </c>
      <c r="G3479" s="76" t="s">
        <v>837</v>
      </c>
      <c r="H3479" s="76" t="s">
        <v>425</v>
      </c>
      <c r="I3479" s="76" t="s">
        <v>3208</v>
      </c>
      <c r="J3479" s="76" t="s">
        <v>3209</v>
      </c>
      <c r="K3479" s="76" t="s">
        <v>591</v>
      </c>
      <c r="L3479" s="11" t="s">
        <v>909</v>
      </c>
      <c r="M3479" s="53">
        <v>18</v>
      </c>
      <c r="N3479" s="94">
        <v>640</v>
      </c>
      <c r="O3479" s="94">
        <f>N3479*M3479</f>
        <v>11520</v>
      </c>
      <c r="P3479" s="40" t="s">
        <v>502</v>
      </c>
      <c r="Q3479" s="40" t="s">
        <v>766</v>
      </c>
      <c r="R3479" s="84" t="s">
        <v>3263</v>
      </c>
      <c r="S3479" s="40">
        <v>100</v>
      </c>
    </row>
    <row r="3480" spans="1:19" s="92" customFormat="1" ht="76.5">
      <c r="A3480" s="5">
        <v>3465</v>
      </c>
      <c r="B3480" s="15" t="s">
        <v>710</v>
      </c>
      <c r="C3480" s="40" t="s">
        <v>711</v>
      </c>
      <c r="D3480" s="40" t="s">
        <v>723</v>
      </c>
      <c r="E3480" s="31" t="s">
        <v>874</v>
      </c>
      <c r="F3480" s="31" t="s">
        <v>874</v>
      </c>
      <c r="G3480" s="31" t="s">
        <v>875</v>
      </c>
      <c r="H3480" s="40" t="s">
        <v>876</v>
      </c>
      <c r="I3480" s="40" t="s">
        <v>3210</v>
      </c>
      <c r="J3480" s="40" t="s">
        <v>3211</v>
      </c>
      <c r="K3480" s="40" t="s">
        <v>591</v>
      </c>
      <c r="L3480" s="40" t="s">
        <v>644</v>
      </c>
      <c r="M3480" s="93">
        <v>1</v>
      </c>
      <c r="N3480" s="94">
        <v>30000</v>
      </c>
      <c r="O3480" s="94">
        <f>N3480*M3480</f>
        <v>30000</v>
      </c>
      <c r="P3480" s="40" t="s">
        <v>698</v>
      </c>
      <c r="Q3480" s="40" t="s">
        <v>1051</v>
      </c>
      <c r="R3480" s="84" t="s">
        <v>3263</v>
      </c>
      <c r="S3480" s="40">
        <v>100</v>
      </c>
    </row>
    <row r="3481" spans="1:19" s="92" customFormat="1" ht="89.25">
      <c r="A3481" s="5">
        <v>3466</v>
      </c>
      <c r="B3481" s="15" t="s">
        <v>710</v>
      </c>
      <c r="C3481" s="40" t="s">
        <v>597</v>
      </c>
      <c r="D3481" s="40" t="s">
        <v>598</v>
      </c>
      <c r="E3481" s="31" t="s">
        <v>599</v>
      </c>
      <c r="F3481" s="31" t="s">
        <v>782</v>
      </c>
      <c r="G3481" s="31" t="s">
        <v>3195</v>
      </c>
      <c r="H3481" s="40" t="s">
        <v>602</v>
      </c>
      <c r="I3481" s="40" t="s">
        <v>3196</v>
      </c>
      <c r="J3481" s="40" t="s">
        <v>3197</v>
      </c>
      <c r="K3481" s="40" t="s">
        <v>591</v>
      </c>
      <c r="L3481" s="11" t="s">
        <v>914</v>
      </c>
      <c r="M3481" s="93">
        <v>1</v>
      </c>
      <c r="N3481" s="94">
        <v>624400</v>
      </c>
      <c r="O3481" s="94">
        <v>624400</v>
      </c>
      <c r="P3481" s="40" t="s">
        <v>502</v>
      </c>
      <c r="Q3481" s="40" t="s">
        <v>766</v>
      </c>
      <c r="R3481" s="84" t="s">
        <v>3253</v>
      </c>
      <c r="S3481" s="40">
        <v>0</v>
      </c>
    </row>
    <row r="3482" spans="1:19" s="92" customFormat="1" ht="89.25">
      <c r="A3482" s="5">
        <v>3467</v>
      </c>
      <c r="B3482" s="15" t="s">
        <v>710</v>
      </c>
      <c r="C3482" s="40" t="s">
        <v>597</v>
      </c>
      <c r="D3482" s="40" t="s">
        <v>598</v>
      </c>
      <c r="E3482" s="31" t="s">
        <v>599</v>
      </c>
      <c r="F3482" s="31" t="s">
        <v>782</v>
      </c>
      <c r="G3482" s="31" t="s">
        <v>3195</v>
      </c>
      <c r="H3482" s="40" t="s">
        <v>602</v>
      </c>
      <c r="I3482" s="40" t="s">
        <v>3196</v>
      </c>
      <c r="J3482" s="40" t="s">
        <v>3197</v>
      </c>
      <c r="K3482" s="40" t="s">
        <v>591</v>
      </c>
      <c r="L3482" s="11" t="s">
        <v>914</v>
      </c>
      <c r="M3482" s="93">
        <v>1</v>
      </c>
      <c r="N3482" s="94">
        <v>624400</v>
      </c>
      <c r="O3482" s="94">
        <v>624400</v>
      </c>
      <c r="P3482" s="40" t="s">
        <v>502</v>
      </c>
      <c r="Q3482" s="40" t="s">
        <v>766</v>
      </c>
      <c r="R3482" s="84" t="s">
        <v>3253</v>
      </c>
      <c r="S3482" s="40">
        <v>0</v>
      </c>
    </row>
    <row r="3483" spans="1:19" s="92" customFormat="1" ht="51">
      <c r="A3483" s="5">
        <v>3468</v>
      </c>
      <c r="B3483" s="15" t="s">
        <v>710</v>
      </c>
      <c r="C3483" s="40" t="s">
        <v>597</v>
      </c>
      <c r="D3483" s="11" t="s">
        <v>850</v>
      </c>
      <c r="E3483" s="76" t="s">
        <v>1736</v>
      </c>
      <c r="F3483" s="76" t="s">
        <v>851</v>
      </c>
      <c r="G3483" s="76" t="s">
        <v>1737</v>
      </c>
      <c r="H3483" s="76" t="s">
        <v>852</v>
      </c>
      <c r="I3483" s="76" t="s">
        <v>3199</v>
      </c>
      <c r="J3483" s="76" t="s">
        <v>3200</v>
      </c>
      <c r="K3483" s="40" t="s">
        <v>591</v>
      </c>
      <c r="L3483" s="11" t="s">
        <v>914</v>
      </c>
      <c r="M3483" s="97">
        <v>1</v>
      </c>
      <c r="N3483" s="94">
        <f>10000*5</f>
        <v>50000</v>
      </c>
      <c r="O3483" s="94">
        <f>N3483</f>
        <v>50000</v>
      </c>
      <c r="P3483" s="40" t="s">
        <v>698</v>
      </c>
      <c r="Q3483" s="40" t="s">
        <v>766</v>
      </c>
      <c r="R3483" s="84" t="s">
        <v>3253</v>
      </c>
      <c r="S3483" s="40">
        <v>0</v>
      </c>
    </row>
    <row r="3484" spans="1:19" s="92" customFormat="1" ht="51">
      <c r="A3484" s="5">
        <v>3469</v>
      </c>
      <c r="B3484" s="15" t="s">
        <v>710</v>
      </c>
      <c r="C3484" s="40" t="s">
        <v>597</v>
      </c>
      <c r="D3484" s="40" t="s">
        <v>2594</v>
      </c>
      <c r="E3484" s="31" t="s">
        <v>2618</v>
      </c>
      <c r="F3484" s="31" t="s">
        <v>2595</v>
      </c>
      <c r="G3484" s="31" t="s">
        <v>2618</v>
      </c>
      <c r="H3484" s="40" t="s">
        <v>2595</v>
      </c>
      <c r="I3484" s="40" t="s">
        <v>3201</v>
      </c>
      <c r="J3484" s="40" t="s">
        <v>3202</v>
      </c>
      <c r="K3484" s="40" t="s">
        <v>591</v>
      </c>
      <c r="L3484" s="11" t="s">
        <v>914</v>
      </c>
      <c r="M3484" s="93">
        <v>1</v>
      </c>
      <c r="N3484" s="94">
        <f>10500*3</f>
        <v>31500</v>
      </c>
      <c r="O3484" s="94">
        <f>N3484</f>
        <v>31500</v>
      </c>
      <c r="P3484" s="40" t="s">
        <v>3116</v>
      </c>
      <c r="Q3484" s="40" t="s">
        <v>766</v>
      </c>
      <c r="R3484" s="84" t="s">
        <v>3253</v>
      </c>
      <c r="S3484" s="40">
        <v>30</v>
      </c>
    </row>
    <row r="3485" spans="1:19" s="92" customFormat="1" ht="89.25">
      <c r="A3485" s="5">
        <v>3470</v>
      </c>
      <c r="B3485" s="15" t="s">
        <v>710</v>
      </c>
      <c r="C3485" s="40" t="s">
        <v>711</v>
      </c>
      <c r="D3485" s="40" t="s">
        <v>976</v>
      </c>
      <c r="E3485" s="31" t="s">
        <v>730</v>
      </c>
      <c r="F3485" s="31" t="s">
        <v>731</v>
      </c>
      <c r="G3485" s="31" t="s">
        <v>977</v>
      </c>
      <c r="H3485" s="40" t="s">
        <v>978</v>
      </c>
      <c r="I3485" s="40" t="s">
        <v>3203</v>
      </c>
      <c r="J3485" s="40" t="s">
        <v>3204</v>
      </c>
      <c r="K3485" s="40" t="s">
        <v>591</v>
      </c>
      <c r="L3485" s="40" t="s">
        <v>644</v>
      </c>
      <c r="M3485" s="93">
        <v>2</v>
      </c>
      <c r="N3485" s="94">
        <v>26800</v>
      </c>
      <c r="O3485" s="94">
        <f>N3485*M3485</f>
        <v>53600</v>
      </c>
      <c r="P3485" s="40" t="s">
        <v>3116</v>
      </c>
      <c r="Q3485" s="40" t="s">
        <v>1051</v>
      </c>
      <c r="R3485" s="84" t="s">
        <v>3253</v>
      </c>
      <c r="S3485" s="40">
        <v>100</v>
      </c>
    </row>
    <row r="3486" spans="1:19" s="92" customFormat="1" ht="63.75">
      <c r="A3486" s="5">
        <v>3471</v>
      </c>
      <c r="B3486" s="15" t="s">
        <v>710</v>
      </c>
      <c r="C3486" s="40" t="s">
        <v>711</v>
      </c>
      <c r="D3486" s="40" t="s">
        <v>744</v>
      </c>
      <c r="E3486" s="31" t="s">
        <v>745</v>
      </c>
      <c r="F3486" s="31" t="s">
        <v>109</v>
      </c>
      <c r="G3486" s="31" t="s">
        <v>746</v>
      </c>
      <c r="H3486" s="40" t="s">
        <v>3205</v>
      </c>
      <c r="I3486" s="40" t="s">
        <v>3206</v>
      </c>
      <c r="J3486" s="40" t="s">
        <v>3207</v>
      </c>
      <c r="K3486" s="40" t="s">
        <v>591</v>
      </c>
      <c r="L3486" s="40" t="s">
        <v>644</v>
      </c>
      <c r="M3486" s="93">
        <f>6-2</f>
        <v>4</v>
      </c>
      <c r="N3486" s="94">
        <f>O3486/M3486</f>
        <v>4000</v>
      </c>
      <c r="O3486" s="94">
        <f>24000-8000</f>
        <v>16000</v>
      </c>
      <c r="P3486" s="40" t="s">
        <v>502</v>
      </c>
      <c r="Q3486" s="40" t="s">
        <v>1051</v>
      </c>
      <c r="R3486" s="84" t="s">
        <v>3253</v>
      </c>
      <c r="S3486" s="40">
        <v>100</v>
      </c>
    </row>
    <row r="3487" spans="1:19" s="92" customFormat="1" ht="51">
      <c r="A3487" s="5">
        <v>3472</v>
      </c>
      <c r="B3487" s="15" t="s">
        <v>710</v>
      </c>
      <c r="C3487" s="40" t="s">
        <v>711</v>
      </c>
      <c r="D3487" s="98" t="s">
        <v>422</v>
      </c>
      <c r="E3487" s="76" t="s">
        <v>423</v>
      </c>
      <c r="F3487" s="76" t="s">
        <v>427</v>
      </c>
      <c r="G3487" s="76" t="s">
        <v>837</v>
      </c>
      <c r="H3487" s="76" t="s">
        <v>425</v>
      </c>
      <c r="I3487" s="76" t="s">
        <v>3208</v>
      </c>
      <c r="J3487" s="76" t="s">
        <v>3209</v>
      </c>
      <c r="K3487" s="76" t="s">
        <v>591</v>
      </c>
      <c r="L3487" s="11" t="s">
        <v>909</v>
      </c>
      <c r="M3487" s="53">
        <v>18</v>
      </c>
      <c r="N3487" s="94">
        <v>640</v>
      </c>
      <c r="O3487" s="94">
        <f>N3487*M3487</f>
        <v>11520</v>
      </c>
      <c r="P3487" s="40" t="s">
        <v>502</v>
      </c>
      <c r="Q3487" s="40" t="s">
        <v>766</v>
      </c>
      <c r="R3487" s="84" t="s">
        <v>3253</v>
      </c>
      <c r="S3487" s="40">
        <v>100</v>
      </c>
    </row>
    <row r="3488" spans="1:19" s="92" customFormat="1" ht="76.5">
      <c r="A3488" s="5">
        <v>3473</v>
      </c>
      <c r="B3488" s="15" t="s">
        <v>710</v>
      </c>
      <c r="C3488" s="40" t="s">
        <v>711</v>
      </c>
      <c r="D3488" s="40" t="s">
        <v>723</v>
      </c>
      <c r="E3488" s="31" t="s">
        <v>874</v>
      </c>
      <c r="F3488" s="31" t="s">
        <v>874</v>
      </c>
      <c r="G3488" s="31" t="s">
        <v>875</v>
      </c>
      <c r="H3488" s="40" t="s">
        <v>876</v>
      </c>
      <c r="I3488" s="40" t="s">
        <v>3210</v>
      </c>
      <c r="J3488" s="40" t="s">
        <v>3211</v>
      </c>
      <c r="K3488" s="40" t="s">
        <v>591</v>
      </c>
      <c r="L3488" s="40" t="s">
        <v>644</v>
      </c>
      <c r="M3488" s="93">
        <v>1</v>
      </c>
      <c r="N3488" s="94">
        <v>30000</v>
      </c>
      <c r="O3488" s="94">
        <f>N3488*M3488</f>
        <v>30000</v>
      </c>
      <c r="P3488" s="40" t="s">
        <v>3116</v>
      </c>
      <c r="Q3488" s="40" t="s">
        <v>1051</v>
      </c>
      <c r="R3488" s="84" t="s">
        <v>3253</v>
      </c>
      <c r="S3488" s="40">
        <v>100</v>
      </c>
    </row>
    <row r="3489" spans="1:19" s="92" customFormat="1" ht="89.25">
      <c r="A3489" s="5">
        <v>3474</v>
      </c>
      <c r="B3489" s="15" t="s">
        <v>710</v>
      </c>
      <c r="C3489" s="40" t="s">
        <v>597</v>
      </c>
      <c r="D3489" s="40" t="s">
        <v>598</v>
      </c>
      <c r="E3489" s="31" t="s">
        <v>599</v>
      </c>
      <c r="F3489" s="31" t="s">
        <v>782</v>
      </c>
      <c r="G3489" s="31" t="s">
        <v>3195</v>
      </c>
      <c r="H3489" s="40" t="s">
        <v>602</v>
      </c>
      <c r="I3489" s="40" t="s">
        <v>3196</v>
      </c>
      <c r="J3489" s="40" t="s">
        <v>3197</v>
      </c>
      <c r="K3489" s="40" t="s">
        <v>591</v>
      </c>
      <c r="L3489" s="11" t="s">
        <v>914</v>
      </c>
      <c r="M3489" s="93">
        <v>1</v>
      </c>
      <c r="N3489" s="94">
        <v>624400</v>
      </c>
      <c r="O3489" s="94">
        <v>624400</v>
      </c>
      <c r="P3489" s="40" t="s">
        <v>502</v>
      </c>
      <c r="Q3489" s="40" t="s">
        <v>766</v>
      </c>
      <c r="R3489" s="84" t="s">
        <v>3476</v>
      </c>
      <c r="S3489" s="40">
        <v>0</v>
      </c>
    </row>
    <row r="3490" spans="1:19" s="92" customFormat="1" ht="89.25">
      <c r="A3490" s="5">
        <v>3475</v>
      </c>
      <c r="B3490" s="15" t="s">
        <v>710</v>
      </c>
      <c r="C3490" s="40" t="s">
        <v>597</v>
      </c>
      <c r="D3490" s="40" t="s">
        <v>598</v>
      </c>
      <c r="E3490" s="31" t="s">
        <v>599</v>
      </c>
      <c r="F3490" s="31" t="s">
        <v>782</v>
      </c>
      <c r="G3490" s="31" t="s">
        <v>3195</v>
      </c>
      <c r="H3490" s="40" t="s">
        <v>602</v>
      </c>
      <c r="I3490" s="40" t="s">
        <v>3196</v>
      </c>
      <c r="J3490" s="40" t="s">
        <v>3197</v>
      </c>
      <c r="K3490" s="40" t="s">
        <v>591</v>
      </c>
      <c r="L3490" s="11" t="s">
        <v>914</v>
      </c>
      <c r="M3490" s="93">
        <v>1</v>
      </c>
      <c r="N3490" s="94">
        <v>624400</v>
      </c>
      <c r="O3490" s="94">
        <v>624400</v>
      </c>
      <c r="P3490" s="40" t="s">
        <v>502</v>
      </c>
      <c r="Q3490" s="40" t="s">
        <v>766</v>
      </c>
      <c r="R3490" s="84" t="s">
        <v>3476</v>
      </c>
      <c r="S3490" s="40">
        <v>0</v>
      </c>
    </row>
    <row r="3491" spans="1:19" s="92" customFormat="1" ht="51">
      <c r="A3491" s="5">
        <v>3476</v>
      </c>
      <c r="B3491" s="15" t="s">
        <v>710</v>
      </c>
      <c r="C3491" s="40" t="s">
        <v>597</v>
      </c>
      <c r="D3491" s="11" t="s">
        <v>850</v>
      </c>
      <c r="E3491" s="76" t="s">
        <v>1736</v>
      </c>
      <c r="F3491" s="76" t="s">
        <v>851</v>
      </c>
      <c r="G3491" s="76" t="s">
        <v>1737</v>
      </c>
      <c r="H3491" s="76" t="s">
        <v>852</v>
      </c>
      <c r="I3491" s="76" t="s">
        <v>3199</v>
      </c>
      <c r="J3491" s="76" t="s">
        <v>3200</v>
      </c>
      <c r="K3491" s="40" t="s">
        <v>591</v>
      </c>
      <c r="L3491" s="11" t="s">
        <v>914</v>
      </c>
      <c r="M3491" s="97">
        <v>1</v>
      </c>
      <c r="N3491" s="94">
        <f>10000*5</f>
        <v>50000</v>
      </c>
      <c r="O3491" s="94">
        <f>N3491</f>
        <v>50000</v>
      </c>
      <c r="P3491" s="40" t="s">
        <v>698</v>
      </c>
      <c r="Q3491" s="40" t="s">
        <v>766</v>
      </c>
      <c r="R3491" s="84" t="s">
        <v>3476</v>
      </c>
      <c r="S3491" s="40">
        <v>0</v>
      </c>
    </row>
    <row r="3492" spans="1:19" s="92" customFormat="1" ht="51">
      <c r="A3492" s="5">
        <v>3477</v>
      </c>
      <c r="B3492" s="15" t="s">
        <v>710</v>
      </c>
      <c r="C3492" s="40" t="s">
        <v>597</v>
      </c>
      <c r="D3492" s="40" t="s">
        <v>2594</v>
      </c>
      <c r="E3492" s="31" t="s">
        <v>2618</v>
      </c>
      <c r="F3492" s="31" t="s">
        <v>2595</v>
      </c>
      <c r="G3492" s="31" t="s">
        <v>2618</v>
      </c>
      <c r="H3492" s="40" t="s">
        <v>2595</v>
      </c>
      <c r="I3492" s="40" t="s">
        <v>3201</v>
      </c>
      <c r="J3492" s="40" t="s">
        <v>3202</v>
      </c>
      <c r="K3492" s="40" t="s">
        <v>591</v>
      </c>
      <c r="L3492" s="11" t="s">
        <v>914</v>
      </c>
      <c r="M3492" s="93">
        <v>1</v>
      </c>
      <c r="N3492" s="94">
        <f>10500*3</f>
        <v>31500</v>
      </c>
      <c r="O3492" s="94">
        <f>N3492</f>
        <v>31500</v>
      </c>
      <c r="P3492" s="40" t="s">
        <v>3116</v>
      </c>
      <c r="Q3492" s="40" t="s">
        <v>766</v>
      </c>
      <c r="R3492" s="84" t="s">
        <v>3476</v>
      </c>
      <c r="S3492" s="40">
        <v>30</v>
      </c>
    </row>
    <row r="3493" spans="1:19" s="92" customFormat="1" ht="89.25">
      <c r="A3493" s="5">
        <v>3478</v>
      </c>
      <c r="B3493" s="15" t="s">
        <v>710</v>
      </c>
      <c r="C3493" s="40" t="s">
        <v>711</v>
      </c>
      <c r="D3493" s="40" t="s">
        <v>976</v>
      </c>
      <c r="E3493" s="31" t="s">
        <v>730</v>
      </c>
      <c r="F3493" s="31" t="s">
        <v>731</v>
      </c>
      <c r="G3493" s="31" t="s">
        <v>977</v>
      </c>
      <c r="H3493" s="40" t="s">
        <v>978</v>
      </c>
      <c r="I3493" s="40" t="s">
        <v>3203</v>
      </c>
      <c r="J3493" s="40" t="s">
        <v>3204</v>
      </c>
      <c r="K3493" s="40" t="s">
        <v>591</v>
      </c>
      <c r="L3493" s="40" t="s">
        <v>644</v>
      </c>
      <c r="M3493" s="93">
        <v>2</v>
      </c>
      <c r="N3493" s="94">
        <v>26800</v>
      </c>
      <c r="O3493" s="94">
        <f>N3493*M3493</f>
        <v>53600</v>
      </c>
      <c r="P3493" s="40" t="s">
        <v>3116</v>
      </c>
      <c r="Q3493" s="40" t="s">
        <v>1051</v>
      </c>
      <c r="R3493" s="84" t="s">
        <v>3476</v>
      </c>
      <c r="S3493" s="40">
        <v>100</v>
      </c>
    </row>
    <row r="3494" spans="1:19" s="92" customFormat="1" ht="63.75">
      <c r="A3494" s="5">
        <v>3479</v>
      </c>
      <c r="B3494" s="15" t="s">
        <v>710</v>
      </c>
      <c r="C3494" s="40" t="s">
        <v>711</v>
      </c>
      <c r="D3494" s="40" t="s">
        <v>744</v>
      </c>
      <c r="E3494" s="31" t="s">
        <v>745</v>
      </c>
      <c r="F3494" s="31" t="s">
        <v>109</v>
      </c>
      <c r="G3494" s="31" t="s">
        <v>746</v>
      </c>
      <c r="H3494" s="40" t="s">
        <v>3205</v>
      </c>
      <c r="I3494" s="40" t="s">
        <v>3206</v>
      </c>
      <c r="J3494" s="40" t="s">
        <v>3207</v>
      </c>
      <c r="K3494" s="40" t="s">
        <v>591</v>
      </c>
      <c r="L3494" s="40" t="s">
        <v>644</v>
      </c>
      <c r="M3494" s="93">
        <f>6-2</f>
        <v>4</v>
      </c>
      <c r="N3494" s="94">
        <f>O3494/M3494</f>
        <v>4000</v>
      </c>
      <c r="O3494" s="94">
        <f>24000-8000</f>
        <v>16000</v>
      </c>
      <c r="P3494" s="40" t="s">
        <v>502</v>
      </c>
      <c r="Q3494" s="40" t="s">
        <v>1051</v>
      </c>
      <c r="R3494" s="84" t="s">
        <v>3476</v>
      </c>
      <c r="S3494" s="40">
        <v>100</v>
      </c>
    </row>
    <row r="3495" spans="1:19" s="92" customFormat="1" ht="51">
      <c r="A3495" s="5">
        <v>3480</v>
      </c>
      <c r="B3495" s="15" t="s">
        <v>710</v>
      </c>
      <c r="C3495" s="40" t="s">
        <v>711</v>
      </c>
      <c r="D3495" s="98" t="s">
        <v>422</v>
      </c>
      <c r="E3495" s="76" t="s">
        <v>423</v>
      </c>
      <c r="F3495" s="76" t="s">
        <v>427</v>
      </c>
      <c r="G3495" s="76" t="s">
        <v>837</v>
      </c>
      <c r="H3495" s="76" t="s">
        <v>425</v>
      </c>
      <c r="I3495" s="76" t="s">
        <v>3208</v>
      </c>
      <c r="J3495" s="76" t="s">
        <v>3209</v>
      </c>
      <c r="K3495" s="76" t="s">
        <v>591</v>
      </c>
      <c r="L3495" s="11" t="s">
        <v>909</v>
      </c>
      <c r="M3495" s="53">
        <v>18</v>
      </c>
      <c r="N3495" s="94">
        <v>640</v>
      </c>
      <c r="O3495" s="94">
        <f>N3495*M3495</f>
        <v>11520</v>
      </c>
      <c r="P3495" s="40" t="s">
        <v>502</v>
      </c>
      <c r="Q3495" s="40" t="s">
        <v>766</v>
      </c>
      <c r="R3495" s="84" t="s">
        <v>3476</v>
      </c>
      <c r="S3495" s="40">
        <v>100</v>
      </c>
    </row>
    <row r="3496" spans="1:19" s="92" customFormat="1" ht="76.5">
      <c r="A3496" s="5">
        <v>3481</v>
      </c>
      <c r="B3496" s="15" t="s">
        <v>710</v>
      </c>
      <c r="C3496" s="40" t="s">
        <v>711</v>
      </c>
      <c r="D3496" s="40" t="s">
        <v>723</v>
      </c>
      <c r="E3496" s="31" t="s">
        <v>874</v>
      </c>
      <c r="F3496" s="31" t="s">
        <v>874</v>
      </c>
      <c r="G3496" s="31" t="s">
        <v>875</v>
      </c>
      <c r="H3496" s="40" t="s">
        <v>876</v>
      </c>
      <c r="I3496" s="40" t="s">
        <v>3210</v>
      </c>
      <c r="J3496" s="40" t="s">
        <v>3211</v>
      </c>
      <c r="K3496" s="40" t="s">
        <v>591</v>
      </c>
      <c r="L3496" s="40" t="s">
        <v>644</v>
      </c>
      <c r="M3496" s="93">
        <v>1</v>
      </c>
      <c r="N3496" s="94">
        <v>30000</v>
      </c>
      <c r="O3496" s="94">
        <f>N3496*M3496</f>
        <v>30000</v>
      </c>
      <c r="P3496" s="40" t="s">
        <v>3116</v>
      </c>
      <c r="Q3496" s="40" t="s">
        <v>1051</v>
      </c>
      <c r="R3496" s="84" t="s">
        <v>3476</v>
      </c>
      <c r="S3496" s="40">
        <v>100</v>
      </c>
    </row>
    <row r="3497" spans="1:19" s="92" customFormat="1" ht="89.25">
      <c r="A3497" s="5">
        <v>3482</v>
      </c>
      <c r="B3497" s="15" t="s">
        <v>710</v>
      </c>
      <c r="C3497" s="40" t="s">
        <v>597</v>
      </c>
      <c r="D3497" s="40" t="s">
        <v>598</v>
      </c>
      <c r="E3497" s="31" t="s">
        <v>599</v>
      </c>
      <c r="F3497" s="31" t="s">
        <v>782</v>
      </c>
      <c r="G3497" s="31" t="s">
        <v>3195</v>
      </c>
      <c r="H3497" s="40" t="s">
        <v>602</v>
      </c>
      <c r="I3497" s="40" t="s">
        <v>3196</v>
      </c>
      <c r="J3497" s="40" t="s">
        <v>3197</v>
      </c>
      <c r="K3497" s="40" t="s">
        <v>591</v>
      </c>
      <c r="L3497" s="11" t="s">
        <v>914</v>
      </c>
      <c r="M3497" s="93">
        <v>1</v>
      </c>
      <c r="N3497" s="94">
        <v>624400</v>
      </c>
      <c r="O3497" s="94">
        <v>624400</v>
      </c>
      <c r="P3497" s="40" t="s">
        <v>502</v>
      </c>
      <c r="Q3497" s="40" t="s">
        <v>766</v>
      </c>
      <c r="R3497" s="84" t="s">
        <v>3259</v>
      </c>
      <c r="S3497" s="40">
        <v>0</v>
      </c>
    </row>
    <row r="3498" spans="1:19" s="92" customFormat="1" ht="89.25">
      <c r="A3498" s="5">
        <v>3483</v>
      </c>
      <c r="B3498" s="15" t="s">
        <v>710</v>
      </c>
      <c r="C3498" s="40" t="s">
        <v>597</v>
      </c>
      <c r="D3498" s="40" t="s">
        <v>598</v>
      </c>
      <c r="E3498" s="31" t="s">
        <v>599</v>
      </c>
      <c r="F3498" s="31" t="s">
        <v>782</v>
      </c>
      <c r="G3498" s="31" t="s">
        <v>3195</v>
      </c>
      <c r="H3498" s="40" t="s">
        <v>602</v>
      </c>
      <c r="I3498" s="40" t="s">
        <v>3196</v>
      </c>
      <c r="J3498" s="40" t="s">
        <v>3197</v>
      </c>
      <c r="K3498" s="40" t="s">
        <v>591</v>
      </c>
      <c r="L3498" s="11" t="s">
        <v>914</v>
      </c>
      <c r="M3498" s="93">
        <v>1</v>
      </c>
      <c r="N3498" s="94">
        <v>624400</v>
      </c>
      <c r="O3498" s="94">
        <v>624400</v>
      </c>
      <c r="P3498" s="40" t="s">
        <v>502</v>
      </c>
      <c r="Q3498" s="40" t="s">
        <v>766</v>
      </c>
      <c r="R3498" s="84" t="s">
        <v>3259</v>
      </c>
      <c r="S3498" s="40">
        <v>0</v>
      </c>
    </row>
    <row r="3499" spans="1:19" s="92" customFormat="1" ht="51">
      <c r="A3499" s="5">
        <v>3484</v>
      </c>
      <c r="B3499" s="15" t="s">
        <v>710</v>
      </c>
      <c r="C3499" s="40" t="s">
        <v>597</v>
      </c>
      <c r="D3499" s="11" t="s">
        <v>850</v>
      </c>
      <c r="E3499" s="76" t="s">
        <v>1736</v>
      </c>
      <c r="F3499" s="76" t="s">
        <v>851</v>
      </c>
      <c r="G3499" s="76" t="s">
        <v>1737</v>
      </c>
      <c r="H3499" s="76" t="s">
        <v>852</v>
      </c>
      <c r="I3499" s="76" t="s">
        <v>3199</v>
      </c>
      <c r="J3499" s="76" t="s">
        <v>3200</v>
      </c>
      <c r="K3499" s="40" t="s">
        <v>591</v>
      </c>
      <c r="L3499" s="11" t="s">
        <v>914</v>
      </c>
      <c r="M3499" s="97">
        <v>1</v>
      </c>
      <c r="N3499" s="94">
        <f>10000*5</f>
        <v>50000</v>
      </c>
      <c r="O3499" s="94">
        <f>N3499</f>
        <v>50000</v>
      </c>
      <c r="P3499" s="40" t="s">
        <v>698</v>
      </c>
      <c r="Q3499" s="40" t="s">
        <v>766</v>
      </c>
      <c r="R3499" s="84" t="s">
        <v>3259</v>
      </c>
      <c r="S3499" s="40">
        <v>0</v>
      </c>
    </row>
    <row r="3500" spans="1:19" s="92" customFormat="1" ht="51">
      <c r="A3500" s="5">
        <v>3485</v>
      </c>
      <c r="B3500" s="15" t="s">
        <v>710</v>
      </c>
      <c r="C3500" s="40" t="s">
        <v>597</v>
      </c>
      <c r="D3500" s="40" t="s">
        <v>2594</v>
      </c>
      <c r="E3500" s="31" t="s">
        <v>2618</v>
      </c>
      <c r="F3500" s="31" t="s">
        <v>2595</v>
      </c>
      <c r="G3500" s="31" t="s">
        <v>2618</v>
      </c>
      <c r="H3500" s="40" t="s">
        <v>2595</v>
      </c>
      <c r="I3500" s="40" t="s">
        <v>3201</v>
      </c>
      <c r="J3500" s="40" t="s">
        <v>3202</v>
      </c>
      <c r="K3500" s="40" t="s">
        <v>591</v>
      </c>
      <c r="L3500" s="11" t="s">
        <v>914</v>
      </c>
      <c r="M3500" s="93">
        <v>1</v>
      </c>
      <c r="N3500" s="94">
        <f>10500*3</f>
        <v>31500</v>
      </c>
      <c r="O3500" s="94">
        <f>N3500</f>
        <v>31500</v>
      </c>
      <c r="P3500" s="40" t="s">
        <v>3116</v>
      </c>
      <c r="Q3500" s="40" t="s">
        <v>766</v>
      </c>
      <c r="R3500" s="84" t="s">
        <v>3259</v>
      </c>
      <c r="S3500" s="40">
        <v>30</v>
      </c>
    </row>
    <row r="3501" spans="1:19" s="92" customFormat="1" ht="89.25">
      <c r="A3501" s="5">
        <v>3486</v>
      </c>
      <c r="B3501" s="15" t="s">
        <v>710</v>
      </c>
      <c r="C3501" s="40" t="s">
        <v>711</v>
      </c>
      <c r="D3501" s="40" t="s">
        <v>976</v>
      </c>
      <c r="E3501" s="31" t="s">
        <v>730</v>
      </c>
      <c r="F3501" s="31" t="s">
        <v>731</v>
      </c>
      <c r="G3501" s="31" t="s">
        <v>977</v>
      </c>
      <c r="H3501" s="40" t="s">
        <v>978</v>
      </c>
      <c r="I3501" s="40" t="s">
        <v>3203</v>
      </c>
      <c r="J3501" s="40" t="s">
        <v>3204</v>
      </c>
      <c r="K3501" s="40" t="s">
        <v>591</v>
      </c>
      <c r="L3501" s="40" t="s">
        <v>644</v>
      </c>
      <c r="M3501" s="93">
        <v>2</v>
      </c>
      <c r="N3501" s="94">
        <f>O3501/M3501</f>
        <v>0</v>
      </c>
      <c r="O3501" s="94">
        <f>53600-53600</f>
        <v>0</v>
      </c>
      <c r="P3501" s="40" t="s">
        <v>698</v>
      </c>
      <c r="Q3501" s="40" t="s">
        <v>1051</v>
      </c>
      <c r="R3501" s="84" t="s">
        <v>3259</v>
      </c>
      <c r="S3501" s="40">
        <v>100</v>
      </c>
    </row>
    <row r="3502" spans="1:19" s="92" customFormat="1" ht="63.75">
      <c r="A3502" s="5">
        <v>3487</v>
      </c>
      <c r="B3502" s="15" t="s">
        <v>710</v>
      </c>
      <c r="C3502" s="40" t="s">
        <v>711</v>
      </c>
      <c r="D3502" s="40" t="s">
        <v>744</v>
      </c>
      <c r="E3502" s="31" t="s">
        <v>745</v>
      </c>
      <c r="F3502" s="31" t="s">
        <v>109</v>
      </c>
      <c r="G3502" s="31" t="s">
        <v>746</v>
      </c>
      <c r="H3502" s="40" t="s">
        <v>3205</v>
      </c>
      <c r="I3502" s="40" t="s">
        <v>3206</v>
      </c>
      <c r="J3502" s="40" t="s">
        <v>3207</v>
      </c>
      <c r="K3502" s="40" t="s">
        <v>591</v>
      </c>
      <c r="L3502" s="40" t="s">
        <v>644</v>
      </c>
      <c r="M3502" s="93">
        <f>6-2</f>
        <v>4</v>
      </c>
      <c r="N3502" s="94">
        <f>O3502/M3502</f>
        <v>4000</v>
      </c>
      <c r="O3502" s="94">
        <f>24000-8000</f>
        <v>16000</v>
      </c>
      <c r="P3502" s="40" t="s">
        <v>502</v>
      </c>
      <c r="Q3502" s="40" t="s">
        <v>1051</v>
      </c>
      <c r="R3502" s="84" t="s">
        <v>3259</v>
      </c>
      <c r="S3502" s="40">
        <v>100</v>
      </c>
    </row>
    <row r="3503" spans="1:19" s="92" customFormat="1" ht="51">
      <c r="A3503" s="5">
        <v>3488</v>
      </c>
      <c r="B3503" s="15" t="s">
        <v>710</v>
      </c>
      <c r="C3503" s="40" t="s">
        <v>711</v>
      </c>
      <c r="D3503" s="98" t="s">
        <v>422</v>
      </c>
      <c r="E3503" s="76" t="s">
        <v>423</v>
      </c>
      <c r="F3503" s="76" t="s">
        <v>427</v>
      </c>
      <c r="G3503" s="76" t="s">
        <v>837</v>
      </c>
      <c r="H3503" s="76" t="s">
        <v>425</v>
      </c>
      <c r="I3503" s="76" t="s">
        <v>3208</v>
      </c>
      <c r="J3503" s="76" t="s">
        <v>3209</v>
      </c>
      <c r="K3503" s="76" t="s">
        <v>591</v>
      </c>
      <c r="L3503" s="11" t="s">
        <v>909</v>
      </c>
      <c r="M3503" s="53">
        <v>18</v>
      </c>
      <c r="N3503" s="94">
        <v>640</v>
      </c>
      <c r="O3503" s="94">
        <f>N3503*M3503</f>
        <v>11520</v>
      </c>
      <c r="P3503" s="40" t="s">
        <v>502</v>
      </c>
      <c r="Q3503" s="40" t="s">
        <v>766</v>
      </c>
      <c r="R3503" s="84" t="s">
        <v>3259</v>
      </c>
      <c r="S3503" s="40">
        <v>100</v>
      </c>
    </row>
    <row r="3504" spans="1:19" s="92" customFormat="1" ht="76.5">
      <c r="A3504" s="5">
        <v>3489</v>
      </c>
      <c r="B3504" s="15" t="s">
        <v>710</v>
      </c>
      <c r="C3504" s="40" t="s">
        <v>711</v>
      </c>
      <c r="D3504" s="40" t="s">
        <v>723</v>
      </c>
      <c r="E3504" s="31" t="s">
        <v>874</v>
      </c>
      <c r="F3504" s="31" t="s">
        <v>874</v>
      </c>
      <c r="G3504" s="31" t="s">
        <v>875</v>
      </c>
      <c r="H3504" s="40" t="s">
        <v>876</v>
      </c>
      <c r="I3504" s="40" t="s">
        <v>3210</v>
      </c>
      <c r="J3504" s="40" t="s">
        <v>3211</v>
      </c>
      <c r="K3504" s="40" t="s">
        <v>591</v>
      </c>
      <c r="L3504" s="40" t="s">
        <v>644</v>
      </c>
      <c r="M3504" s="93">
        <v>1</v>
      </c>
      <c r="N3504" s="94">
        <f>O3504/M3504</f>
        <v>0</v>
      </c>
      <c r="O3504" s="94">
        <f>30000-30000</f>
        <v>0</v>
      </c>
      <c r="P3504" s="40" t="s">
        <v>698</v>
      </c>
      <c r="Q3504" s="40" t="s">
        <v>1051</v>
      </c>
      <c r="R3504" s="84" t="s">
        <v>3259</v>
      </c>
      <c r="S3504" s="40">
        <v>100</v>
      </c>
    </row>
    <row r="3505" spans="1:19" s="92" customFormat="1" ht="89.25">
      <c r="A3505" s="5">
        <v>3490</v>
      </c>
      <c r="B3505" s="15" t="s">
        <v>710</v>
      </c>
      <c r="C3505" s="40" t="s">
        <v>597</v>
      </c>
      <c r="D3505" s="40" t="s">
        <v>598</v>
      </c>
      <c r="E3505" s="31" t="s">
        <v>599</v>
      </c>
      <c r="F3505" s="31" t="s">
        <v>782</v>
      </c>
      <c r="G3505" s="31" t="s">
        <v>3195</v>
      </c>
      <c r="H3505" s="40" t="s">
        <v>602</v>
      </c>
      <c r="I3505" s="40" t="s">
        <v>3196</v>
      </c>
      <c r="J3505" s="40" t="s">
        <v>3197</v>
      </c>
      <c r="K3505" s="40" t="s">
        <v>591</v>
      </c>
      <c r="L3505" s="11" t="s">
        <v>914</v>
      </c>
      <c r="M3505" s="93">
        <v>1</v>
      </c>
      <c r="N3505" s="94">
        <v>624400</v>
      </c>
      <c r="O3505" s="94">
        <v>624400</v>
      </c>
      <c r="P3505" s="40" t="s">
        <v>502</v>
      </c>
      <c r="Q3505" s="40" t="s">
        <v>766</v>
      </c>
      <c r="R3505" s="84" t="s">
        <v>3252</v>
      </c>
      <c r="S3505" s="40">
        <v>0</v>
      </c>
    </row>
    <row r="3506" spans="1:19" s="92" customFormat="1" ht="89.25">
      <c r="A3506" s="5">
        <v>3491</v>
      </c>
      <c r="B3506" s="15" t="s">
        <v>710</v>
      </c>
      <c r="C3506" s="40" t="s">
        <v>597</v>
      </c>
      <c r="D3506" s="40" t="s">
        <v>598</v>
      </c>
      <c r="E3506" s="31" t="s">
        <v>599</v>
      </c>
      <c r="F3506" s="31" t="s">
        <v>782</v>
      </c>
      <c r="G3506" s="31" t="s">
        <v>3195</v>
      </c>
      <c r="H3506" s="40" t="s">
        <v>602</v>
      </c>
      <c r="I3506" s="40" t="s">
        <v>3196</v>
      </c>
      <c r="J3506" s="40" t="s">
        <v>3197</v>
      </c>
      <c r="K3506" s="40" t="s">
        <v>591</v>
      </c>
      <c r="L3506" s="11" t="s">
        <v>914</v>
      </c>
      <c r="M3506" s="93">
        <v>1</v>
      </c>
      <c r="N3506" s="94">
        <v>624400</v>
      </c>
      <c r="O3506" s="94">
        <v>624400</v>
      </c>
      <c r="P3506" s="40" t="s">
        <v>502</v>
      </c>
      <c r="Q3506" s="40" t="s">
        <v>766</v>
      </c>
      <c r="R3506" s="84" t="s">
        <v>3252</v>
      </c>
      <c r="S3506" s="40">
        <v>0</v>
      </c>
    </row>
    <row r="3507" spans="1:19" s="92" customFormat="1" ht="51">
      <c r="A3507" s="5">
        <v>3492</v>
      </c>
      <c r="B3507" s="15" t="s">
        <v>710</v>
      </c>
      <c r="C3507" s="40" t="s">
        <v>597</v>
      </c>
      <c r="D3507" s="11" t="s">
        <v>850</v>
      </c>
      <c r="E3507" s="76" t="s">
        <v>1736</v>
      </c>
      <c r="F3507" s="76" t="s">
        <v>851</v>
      </c>
      <c r="G3507" s="76" t="s">
        <v>1737</v>
      </c>
      <c r="H3507" s="76" t="s">
        <v>852</v>
      </c>
      <c r="I3507" s="76" t="s">
        <v>3199</v>
      </c>
      <c r="J3507" s="76" t="s">
        <v>3200</v>
      </c>
      <c r="K3507" s="40" t="s">
        <v>591</v>
      </c>
      <c r="L3507" s="11" t="s">
        <v>914</v>
      </c>
      <c r="M3507" s="97">
        <v>1</v>
      </c>
      <c r="N3507" s="94">
        <f>10000*5</f>
        <v>50000</v>
      </c>
      <c r="O3507" s="94">
        <f>N3507</f>
        <v>50000</v>
      </c>
      <c r="P3507" s="40" t="s">
        <v>698</v>
      </c>
      <c r="Q3507" s="40" t="s">
        <v>766</v>
      </c>
      <c r="R3507" s="84" t="s">
        <v>3252</v>
      </c>
      <c r="S3507" s="40">
        <v>0</v>
      </c>
    </row>
    <row r="3508" spans="1:19" s="92" customFormat="1" ht="51">
      <c r="A3508" s="5">
        <v>3493</v>
      </c>
      <c r="B3508" s="15" t="s">
        <v>710</v>
      </c>
      <c r="C3508" s="40" t="s">
        <v>597</v>
      </c>
      <c r="D3508" s="40" t="s">
        <v>2594</v>
      </c>
      <c r="E3508" s="31" t="s">
        <v>2618</v>
      </c>
      <c r="F3508" s="31" t="s">
        <v>2595</v>
      </c>
      <c r="G3508" s="31" t="s">
        <v>2618</v>
      </c>
      <c r="H3508" s="40" t="s">
        <v>2595</v>
      </c>
      <c r="I3508" s="40" t="s">
        <v>3201</v>
      </c>
      <c r="J3508" s="40" t="s">
        <v>3202</v>
      </c>
      <c r="K3508" s="40" t="s">
        <v>591</v>
      </c>
      <c r="L3508" s="11" t="s">
        <v>914</v>
      </c>
      <c r="M3508" s="93">
        <v>1</v>
      </c>
      <c r="N3508" s="94">
        <f>10500*3</f>
        <v>31500</v>
      </c>
      <c r="O3508" s="94">
        <f>N3508</f>
        <v>31500</v>
      </c>
      <c r="P3508" s="40" t="s">
        <v>3116</v>
      </c>
      <c r="Q3508" s="40" t="s">
        <v>766</v>
      </c>
      <c r="R3508" s="84" t="s">
        <v>3252</v>
      </c>
      <c r="S3508" s="40">
        <v>30</v>
      </c>
    </row>
    <row r="3509" spans="1:19" s="92" customFormat="1" ht="89.25">
      <c r="A3509" s="5">
        <v>3494</v>
      </c>
      <c r="B3509" s="15" t="s">
        <v>710</v>
      </c>
      <c r="C3509" s="40" t="s">
        <v>711</v>
      </c>
      <c r="D3509" s="40" t="s">
        <v>976</v>
      </c>
      <c r="E3509" s="31" t="s">
        <v>730</v>
      </c>
      <c r="F3509" s="31" t="s">
        <v>731</v>
      </c>
      <c r="G3509" s="31" t="s">
        <v>977</v>
      </c>
      <c r="H3509" s="40" t="s">
        <v>978</v>
      </c>
      <c r="I3509" s="40" t="s">
        <v>3203</v>
      </c>
      <c r="J3509" s="40" t="s">
        <v>3204</v>
      </c>
      <c r="K3509" s="40" t="s">
        <v>591</v>
      </c>
      <c r="L3509" s="40" t="s">
        <v>644</v>
      </c>
      <c r="M3509" s="93">
        <v>2</v>
      </c>
      <c r="N3509" s="94">
        <f>O3509/M3509</f>
        <v>0</v>
      </c>
      <c r="O3509" s="94">
        <f>53600-53600</f>
        <v>0</v>
      </c>
      <c r="P3509" s="40" t="s">
        <v>698</v>
      </c>
      <c r="Q3509" s="40" t="s">
        <v>1051</v>
      </c>
      <c r="R3509" s="84" t="s">
        <v>3252</v>
      </c>
      <c r="S3509" s="40">
        <v>100</v>
      </c>
    </row>
    <row r="3510" spans="1:19" s="92" customFormat="1" ht="63.75">
      <c r="A3510" s="5">
        <v>3495</v>
      </c>
      <c r="B3510" s="15" t="s">
        <v>710</v>
      </c>
      <c r="C3510" s="40" t="s">
        <v>711</v>
      </c>
      <c r="D3510" s="40" t="s">
        <v>744</v>
      </c>
      <c r="E3510" s="31" t="s">
        <v>745</v>
      </c>
      <c r="F3510" s="31" t="s">
        <v>109</v>
      </c>
      <c r="G3510" s="31" t="s">
        <v>746</v>
      </c>
      <c r="H3510" s="40" t="s">
        <v>3205</v>
      </c>
      <c r="I3510" s="40" t="s">
        <v>3206</v>
      </c>
      <c r="J3510" s="40" t="s">
        <v>3207</v>
      </c>
      <c r="K3510" s="40" t="s">
        <v>591</v>
      </c>
      <c r="L3510" s="40" t="s">
        <v>644</v>
      </c>
      <c r="M3510" s="93">
        <f>6-2</f>
        <v>4</v>
      </c>
      <c r="N3510" s="94">
        <f>O3510/M3510</f>
        <v>4000</v>
      </c>
      <c r="O3510" s="94">
        <f>24000-8000</f>
        <v>16000</v>
      </c>
      <c r="P3510" s="40" t="s">
        <v>502</v>
      </c>
      <c r="Q3510" s="40" t="s">
        <v>1051</v>
      </c>
      <c r="R3510" s="84" t="s">
        <v>3252</v>
      </c>
      <c r="S3510" s="40">
        <v>100</v>
      </c>
    </row>
    <row r="3511" spans="1:19" s="92" customFormat="1" ht="51">
      <c r="A3511" s="5">
        <v>3496</v>
      </c>
      <c r="B3511" s="15" t="s">
        <v>710</v>
      </c>
      <c r="C3511" s="40" t="s">
        <v>711</v>
      </c>
      <c r="D3511" s="98" t="s">
        <v>422</v>
      </c>
      <c r="E3511" s="76" t="s">
        <v>423</v>
      </c>
      <c r="F3511" s="76" t="s">
        <v>427</v>
      </c>
      <c r="G3511" s="76" t="s">
        <v>837</v>
      </c>
      <c r="H3511" s="76" t="s">
        <v>425</v>
      </c>
      <c r="I3511" s="76" t="s">
        <v>3208</v>
      </c>
      <c r="J3511" s="76" t="s">
        <v>3209</v>
      </c>
      <c r="K3511" s="76" t="s">
        <v>591</v>
      </c>
      <c r="L3511" s="11" t="s">
        <v>909</v>
      </c>
      <c r="M3511" s="53">
        <v>18</v>
      </c>
      <c r="N3511" s="94">
        <v>640</v>
      </c>
      <c r="O3511" s="94">
        <f>N3511*M3511</f>
        <v>11520</v>
      </c>
      <c r="P3511" s="40" t="s">
        <v>502</v>
      </c>
      <c r="Q3511" s="40" t="s">
        <v>766</v>
      </c>
      <c r="R3511" s="84" t="s">
        <v>3252</v>
      </c>
      <c r="S3511" s="40">
        <v>100</v>
      </c>
    </row>
    <row r="3512" spans="1:19" s="92" customFormat="1" ht="76.5">
      <c r="A3512" s="5">
        <v>3497</v>
      </c>
      <c r="B3512" s="15" t="s">
        <v>710</v>
      </c>
      <c r="C3512" s="40" t="s">
        <v>711</v>
      </c>
      <c r="D3512" s="40" t="s">
        <v>723</v>
      </c>
      <c r="E3512" s="31" t="s">
        <v>874</v>
      </c>
      <c r="F3512" s="31" t="s">
        <v>874</v>
      </c>
      <c r="G3512" s="31" t="s">
        <v>875</v>
      </c>
      <c r="H3512" s="40" t="s">
        <v>876</v>
      </c>
      <c r="I3512" s="40" t="s">
        <v>3210</v>
      </c>
      <c r="J3512" s="40" t="s">
        <v>3211</v>
      </c>
      <c r="K3512" s="40" t="s">
        <v>591</v>
      </c>
      <c r="L3512" s="40" t="s">
        <v>644</v>
      </c>
      <c r="M3512" s="93">
        <v>1</v>
      </c>
      <c r="N3512" s="94">
        <v>30000</v>
      </c>
      <c r="O3512" s="94">
        <f>N3512*M3512</f>
        <v>30000</v>
      </c>
      <c r="P3512" s="40" t="s">
        <v>3116</v>
      </c>
      <c r="Q3512" s="40" t="s">
        <v>1051</v>
      </c>
      <c r="R3512" s="84" t="s">
        <v>3252</v>
      </c>
      <c r="S3512" s="40">
        <v>100</v>
      </c>
    </row>
    <row r="3513" spans="1:19" s="92" customFormat="1" ht="89.25">
      <c r="A3513" s="5">
        <v>3498</v>
      </c>
      <c r="B3513" s="15" t="s">
        <v>710</v>
      </c>
      <c r="C3513" s="40" t="s">
        <v>597</v>
      </c>
      <c r="D3513" s="40" t="s">
        <v>598</v>
      </c>
      <c r="E3513" s="31" t="s">
        <v>599</v>
      </c>
      <c r="F3513" s="31" t="s">
        <v>782</v>
      </c>
      <c r="G3513" s="31" t="s">
        <v>3195</v>
      </c>
      <c r="H3513" s="40" t="s">
        <v>602</v>
      </c>
      <c r="I3513" s="40" t="s">
        <v>3196</v>
      </c>
      <c r="J3513" s="40" t="s">
        <v>3197</v>
      </c>
      <c r="K3513" s="40" t="s">
        <v>591</v>
      </c>
      <c r="L3513" s="11" t="s">
        <v>914</v>
      </c>
      <c r="M3513" s="93">
        <v>1</v>
      </c>
      <c r="N3513" s="94">
        <v>624400</v>
      </c>
      <c r="O3513" s="94">
        <v>624400</v>
      </c>
      <c r="P3513" s="40" t="s">
        <v>502</v>
      </c>
      <c r="Q3513" s="40" t="s">
        <v>766</v>
      </c>
      <c r="R3513" s="84" t="s">
        <v>3260</v>
      </c>
      <c r="S3513" s="40">
        <v>0</v>
      </c>
    </row>
    <row r="3514" spans="1:19" s="92" customFormat="1" ht="89.25">
      <c r="A3514" s="5">
        <v>3499</v>
      </c>
      <c r="B3514" s="15" t="s">
        <v>710</v>
      </c>
      <c r="C3514" s="40" t="s">
        <v>597</v>
      </c>
      <c r="D3514" s="40" t="s">
        <v>598</v>
      </c>
      <c r="E3514" s="31" t="s">
        <v>599</v>
      </c>
      <c r="F3514" s="31" t="s">
        <v>782</v>
      </c>
      <c r="G3514" s="31" t="s">
        <v>3195</v>
      </c>
      <c r="H3514" s="40" t="s">
        <v>602</v>
      </c>
      <c r="I3514" s="40" t="s">
        <v>3196</v>
      </c>
      <c r="J3514" s="40" t="s">
        <v>3197</v>
      </c>
      <c r="K3514" s="40" t="s">
        <v>591</v>
      </c>
      <c r="L3514" s="11" t="s">
        <v>914</v>
      </c>
      <c r="M3514" s="93">
        <v>1</v>
      </c>
      <c r="N3514" s="94">
        <v>624400</v>
      </c>
      <c r="O3514" s="94">
        <v>624400</v>
      </c>
      <c r="P3514" s="40" t="s">
        <v>502</v>
      </c>
      <c r="Q3514" s="40" t="s">
        <v>766</v>
      </c>
      <c r="R3514" s="84" t="s">
        <v>3260</v>
      </c>
      <c r="S3514" s="40">
        <v>0</v>
      </c>
    </row>
    <row r="3515" spans="1:19" s="92" customFormat="1" ht="51">
      <c r="A3515" s="5">
        <v>3500</v>
      </c>
      <c r="B3515" s="15" t="s">
        <v>710</v>
      </c>
      <c r="C3515" s="40" t="s">
        <v>597</v>
      </c>
      <c r="D3515" s="11" t="s">
        <v>850</v>
      </c>
      <c r="E3515" s="76" t="s">
        <v>1736</v>
      </c>
      <c r="F3515" s="76" t="s">
        <v>851</v>
      </c>
      <c r="G3515" s="76" t="s">
        <v>1737</v>
      </c>
      <c r="H3515" s="76" t="s">
        <v>852</v>
      </c>
      <c r="I3515" s="76" t="s">
        <v>3199</v>
      </c>
      <c r="J3515" s="76" t="s">
        <v>3200</v>
      </c>
      <c r="K3515" s="40" t="s">
        <v>591</v>
      </c>
      <c r="L3515" s="11" t="s">
        <v>914</v>
      </c>
      <c r="M3515" s="97">
        <v>1</v>
      </c>
      <c r="N3515" s="94">
        <f>10000*5</f>
        <v>50000</v>
      </c>
      <c r="O3515" s="94">
        <f>N3515</f>
        <v>50000</v>
      </c>
      <c r="P3515" s="40" t="s">
        <v>698</v>
      </c>
      <c r="Q3515" s="40" t="s">
        <v>766</v>
      </c>
      <c r="R3515" s="84" t="s">
        <v>3260</v>
      </c>
      <c r="S3515" s="40">
        <v>0</v>
      </c>
    </row>
    <row r="3516" spans="1:19" s="92" customFormat="1" ht="51">
      <c r="A3516" s="5">
        <v>3501</v>
      </c>
      <c r="B3516" s="15" t="s">
        <v>710</v>
      </c>
      <c r="C3516" s="40" t="s">
        <v>597</v>
      </c>
      <c r="D3516" s="40" t="s">
        <v>2594</v>
      </c>
      <c r="E3516" s="31" t="s">
        <v>2618</v>
      </c>
      <c r="F3516" s="31" t="s">
        <v>2595</v>
      </c>
      <c r="G3516" s="31" t="s">
        <v>2618</v>
      </c>
      <c r="H3516" s="40" t="s">
        <v>2595</v>
      </c>
      <c r="I3516" s="40" t="s">
        <v>3201</v>
      </c>
      <c r="J3516" s="40" t="s">
        <v>3202</v>
      </c>
      <c r="K3516" s="40" t="s">
        <v>591</v>
      </c>
      <c r="L3516" s="11" t="s">
        <v>914</v>
      </c>
      <c r="M3516" s="93">
        <v>1</v>
      </c>
      <c r="N3516" s="94">
        <f>10500*3</f>
        <v>31500</v>
      </c>
      <c r="O3516" s="94">
        <f>N3516</f>
        <v>31500</v>
      </c>
      <c r="P3516" s="40" t="s">
        <v>3116</v>
      </c>
      <c r="Q3516" s="40" t="s">
        <v>766</v>
      </c>
      <c r="R3516" s="84" t="s">
        <v>3260</v>
      </c>
      <c r="S3516" s="40">
        <v>30</v>
      </c>
    </row>
    <row r="3517" spans="1:19" s="92" customFormat="1" ht="89.25">
      <c r="A3517" s="5">
        <v>3502</v>
      </c>
      <c r="B3517" s="15" t="s">
        <v>710</v>
      </c>
      <c r="C3517" s="40" t="s">
        <v>711</v>
      </c>
      <c r="D3517" s="40" t="s">
        <v>976</v>
      </c>
      <c r="E3517" s="31" t="s">
        <v>730</v>
      </c>
      <c r="F3517" s="31" t="s">
        <v>731</v>
      </c>
      <c r="G3517" s="31" t="s">
        <v>977</v>
      </c>
      <c r="H3517" s="40" t="s">
        <v>978</v>
      </c>
      <c r="I3517" s="40" t="s">
        <v>3221</v>
      </c>
      <c r="J3517" s="40" t="s">
        <v>3204</v>
      </c>
      <c r="K3517" s="40" t="s">
        <v>591</v>
      </c>
      <c r="L3517" s="40" t="s">
        <v>644</v>
      </c>
      <c r="M3517" s="93">
        <v>2</v>
      </c>
      <c r="N3517" s="94">
        <f>O3517/M3517</f>
        <v>0</v>
      </c>
      <c r="O3517" s="94">
        <f>53600-53600</f>
        <v>0</v>
      </c>
      <c r="P3517" s="40" t="s">
        <v>698</v>
      </c>
      <c r="Q3517" s="40" t="s">
        <v>1051</v>
      </c>
      <c r="R3517" s="84" t="s">
        <v>3260</v>
      </c>
      <c r="S3517" s="40">
        <v>100</v>
      </c>
    </row>
    <row r="3518" spans="1:19" s="92" customFormat="1" ht="63.75">
      <c r="A3518" s="5">
        <v>3503</v>
      </c>
      <c r="B3518" s="15" t="s">
        <v>710</v>
      </c>
      <c r="C3518" s="40" t="s">
        <v>711</v>
      </c>
      <c r="D3518" s="40" t="s">
        <v>744</v>
      </c>
      <c r="E3518" s="31" t="s">
        <v>745</v>
      </c>
      <c r="F3518" s="31" t="s">
        <v>109</v>
      </c>
      <c r="G3518" s="31" t="s">
        <v>746</v>
      </c>
      <c r="H3518" s="40" t="s">
        <v>3205</v>
      </c>
      <c r="I3518" s="40" t="s">
        <v>3206</v>
      </c>
      <c r="J3518" s="40" t="s">
        <v>3207</v>
      </c>
      <c r="K3518" s="40" t="s">
        <v>591</v>
      </c>
      <c r="L3518" s="40" t="s">
        <v>644</v>
      </c>
      <c r="M3518" s="93">
        <f>6-2</f>
        <v>4</v>
      </c>
      <c r="N3518" s="94">
        <f>O3518/M3518</f>
        <v>4000</v>
      </c>
      <c r="O3518" s="94">
        <f>24000-8000</f>
        <v>16000</v>
      </c>
      <c r="P3518" s="40" t="s">
        <v>502</v>
      </c>
      <c r="Q3518" s="40" t="s">
        <v>1051</v>
      </c>
      <c r="R3518" s="84" t="s">
        <v>3260</v>
      </c>
      <c r="S3518" s="40">
        <v>100</v>
      </c>
    </row>
    <row r="3519" spans="1:19" s="92" customFormat="1" ht="51">
      <c r="A3519" s="5">
        <v>3504</v>
      </c>
      <c r="B3519" s="15" t="s">
        <v>710</v>
      </c>
      <c r="C3519" s="40" t="s">
        <v>711</v>
      </c>
      <c r="D3519" s="98" t="s">
        <v>422</v>
      </c>
      <c r="E3519" s="76" t="s">
        <v>423</v>
      </c>
      <c r="F3519" s="76" t="s">
        <v>427</v>
      </c>
      <c r="G3519" s="76" t="s">
        <v>837</v>
      </c>
      <c r="H3519" s="76" t="s">
        <v>425</v>
      </c>
      <c r="I3519" s="76" t="s">
        <v>3208</v>
      </c>
      <c r="J3519" s="76" t="s">
        <v>3209</v>
      </c>
      <c r="K3519" s="76" t="s">
        <v>591</v>
      </c>
      <c r="L3519" s="11" t="s">
        <v>909</v>
      </c>
      <c r="M3519" s="53">
        <v>18</v>
      </c>
      <c r="N3519" s="94">
        <v>640</v>
      </c>
      <c r="O3519" s="94">
        <f>N3519*M3519</f>
        <v>11520</v>
      </c>
      <c r="P3519" s="40" t="s">
        <v>502</v>
      </c>
      <c r="Q3519" s="40" t="s">
        <v>766</v>
      </c>
      <c r="R3519" s="84" t="s">
        <v>3260</v>
      </c>
      <c r="S3519" s="40">
        <v>100</v>
      </c>
    </row>
    <row r="3520" spans="1:19" s="92" customFormat="1" ht="76.5">
      <c r="A3520" s="5">
        <v>3505</v>
      </c>
      <c r="B3520" s="15" t="s">
        <v>710</v>
      </c>
      <c r="C3520" s="40" t="s">
        <v>711</v>
      </c>
      <c r="D3520" s="40" t="s">
        <v>723</v>
      </c>
      <c r="E3520" s="31" t="s">
        <v>874</v>
      </c>
      <c r="F3520" s="31" t="s">
        <v>874</v>
      </c>
      <c r="G3520" s="31" t="s">
        <v>875</v>
      </c>
      <c r="H3520" s="40" t="s">
        <v>876</v>
      </c>
      <c r="I3520" s="40" t="s">
        <v>3210</v>
      </c>
      <c r="J3520" s="40" t="s">
        <v>3211</v>
      </c>
      <c r="K3520" s="40" t="s">
        <v>591</v>
      </c>
      <c r="L3520" s="40" t="s">
        <v>644</v>
      </c>
      <c r="M3520" s="93">
        <v>1</v>
      </c>
      <c r="N3520" s="94">
        <v>30000</v>
      </c>
      <c r="O3520" s="94">
        <f>N3520*M3520</f>
        <v>30000</v>
      </c>
      <c r="P3520" s="40" t="s">
        <v>3116</v>
      </c>
      <c r="Q3520" s="40" t="s">
        <v>1051</v>
      </c>
      <c r="R3520" s="84" t="s">
        <v>3260</v>
      </c>
      <c r="S3520" s="40">
        <v>100</v>
      </c>
    </row>
    <row r="3521" spans="1:19" s="92" customFormat="1" ht="89.25">
      <c r="A3521" s="5">
        <v>3506</v>
      </c>
      <c r="B3521" s="15" t="s">
        <v>710</v>
      </c>
      <c r="C3521" s="40" t="s">
        <v>597</v>
      </c>
      <c r="D3521" s="40" t="s">
        <v>598</v>
      </c>
      <c r="E3521" s="31" t="s">
        <v>599</v>
      </c>
      <c r="F3521" s="31" t="s">
        <v>782</v>
      </c>
      <c r="G3521" s="31" t="s">
        <v>3195</v>
      </c>
      <c r="H3521" s="40" t="s">
        <v>602</v>
      </c>
      <c r="I3521" s="40" t="s">
        <v>3196</v>
      </c>
      <c r="J3521" s="40" t="s">
        <v>3197</v>
      </c>
      <c r="K3521" s="40" t="s">
        <v>591</v>
      </c>
      <c r="L3521" s="11" t="s">
        <v>914</v>
      </c>
      <c r="M3521" s="93">
        <v>1</v>
      </c>
      <c r="N3521" s="94">
        <v>624400</v>
      </c>
      <c r="O3521" s="94">
        <v>624400</v>
      </c>
      <c r="P3521" s="40" t="s">
        <v>502</v>
      </c>
      <c r="Q3521" s="40" t="s">
        <v>766</v>
      </c>
      <c r="R3521" s="84" t="s">
        <v>3262</v>
      </c>
      <c r="S3521" s="40">
        <v>0</v>
      </c>
    </row>
    <row r="3522" spans="1:19" s="92" customFormat="1" ht="89.25">
      <c r="A3522" s="5">
        <v>3507</v>
      </c>
      <c r="B3522" s="15" t="s">
        <v>710</v>
      </c>
      <c r="C3522" s="40" t="s">
        <v>597</v>
      </c>
      <c r="D3522" s="40" t="s">
        <v>598</v>
      </c>
      <c r="E3522" s="31" t="s">
        <v>599</v>
      </c>
      <c r="F3522" s="31" t="s">
        <v>782</v>
      </c>
      <c r="G3522" s="31" t="s">
        <v>3195</v>
      </c>
      <c r="H3522" s="40" t="s">
        <v>602</v>
      </c>
      <c r="I3522" s="40" t="s">
        <v>3196</v>
      </c>
      <c r="J3522" s="40" t="s">
        <v>3197</v>
      </c>
      <c r="K3522" s="40" t="s">
        <v>591</v>
      </c>
      <c r="L3522" s="11" t="s">
        <v>914</v>
      </c>
      <c r="M3522" s="93">
        <v>1</v>
      </c>
      <c r="N3522" s="94">
        <v>624400</v>
      </c>
      <c r="O3522" s="94">
        <v>624400</v>
      </c>
      <c r="P3522" s="40" t="s">
        <v>502</v>
      </c>
      <c r="Q3522" s="40" t="s">
        <v>766</v>
      </c>
      <c r="R3522" s="84" t="s">
        <v>3262</v>
      </c>
      <c r="S3522" s="40">
        <v>0</v>
      </c>
    </row>
    <row r="3523" spans="1:19" s="92" customFormat="1" ht="51">
      <c r="A3523" s="5">
        <v>3508</v>
      </c>
      <c r="B3523" s="15" t="s">
        <v>710</v>
      </c>
      <c r="C3523" s="40" t="s">
        <v>597</v>
      </c>
      <c r="D3523" s="11" t="s">
        <v>850</v>
      </c>
      <c r="E3523" s="76" t="s">
        <v>1736</v>
      </c>
      <c r="F3523" s="76" t="s">
        <v>851</v>
      </c>
      <c r="G3523" s="76" t="s">
        <v>1737</v>
      </c>
      <c r="H3523" s="76" t="s">
        <v>852</v>
      </c>
      <c r="I3523" s="76" t="s">
        <v>3199</v>
      </c>
      <c r="J3523" s="76" t="s">
        <v>3200</v>
      </c>
      <c r="K3523" s="40" t="s">
        <v>591</v>
      </c>
      <c r="L3523" s="11" t="s">
        <v>914</v>
      </c>
      <c r="M3523" s="97">
        <v>1</v>
      </c>
      <c r="N3523" s="94">
        <f>10000*5</f>
        <v>50000</v>
      </c>
      <c r="O3523" s="94">
        <f>N3523</f>
        <v>50000</v>
      </c>
      <c r="P3523" s="40" t="s">
        <v>698</v>
      </c>
      <c r="Q3523" s="40" t="s">
        <v>766</v>
      </c>
      <c r="R3523" s="84" t="s">
        <v>3262</v>
      </c>
      <c r="S3523" s="40">
        <v>0</v>
      </c>
    </row>
    <row r="3524" spans="1:19" s="92" customFormat="1" ht="51">
      <c r="A3524" s="5">
        <v>3509</v>
      </c>
      <c r="B3524" s="15" t="s">
        <v>710</v>
      </c>
      <c r="C3524" s="40" t="s">
        <v>597</v>
      </c>
      <c r="D3524" s="40" t="s">
        <v>2594</v>
      </c>
      <c r="E3524" s="31" t="s">
        <v>2618</v>
      </c>
      <c r="F3524" s="31" t="s">
        <v>2595</v>
      </c>
      <c r="G3524" s="31" t="s">
        <v>2618</v>
      </c>
      <c r="H3524" s="40" t="s">
        <v>2595</v>
      </c>
      <c r="I3524" s="40" t="s">
        <v>3201</v>
      </c>
      <c r="J3524" s="40" t="s">
        <v>3202</v>
      </c>
      <c r="K3524" s="40" t="s">
        <v>591</v>
      </c>
      <c r="L3524" s="11" t="s">
        <v>914</v>
      </c>
      <c r="M3524" s="93">
        <v>1</v>
      </c>
      <c r="N3524" s="94">
        <f>10500*3</f>
        <v>31500</v>
      </c>
      <c r="O3524" s="94">
        <f>N3524</f>
        <v>31500</v>
      </c>
      <c r="P3524" s="40" t="s">
        <v>3116</v>
      </c>
      <c r="Q3524" s="40" t="s">
        <v>766</v>
      </c>
      <c r="R3524" s="84" t="s">
        <v>3262</v>
      </c>
      <c r="S3524" s="40">
        <v>30</v>
      </c>
    </row>
    <row r="3525" spans="1:19" s="92" customFormat="1" ht="89.25">
      <c r="A3525" s="5">
        <v>3510</v>
      </c>
      <c r="B3525" s="15" t="s">
        <v>710</v>
      </c>
      <c r="C3525" s="40" t="s">
        <v>711</v>
      </c>
      <c r="D3525" s="40" t="s">
        <v>976</v>
      </c>
      <c r="E3525" s="31" t="s">
        <v>730</v>
      </c>
      <c r="F3525" s="31" t="s">
        <v>731</v>
      </c>
      <c r="G3525" s="31" t="s">
        <v>977</v>
      </c>
      <c r="H3525" s="40" t="s">
        <v>978</v>
      </c>
      <c r="I3525" s="40" t="s">
        <v>3221</v>
      </c>
      <c r="J3525" s="40" t="s">
        <v>3204</v>
      </c>
      <c r="K3525" s="40" t="s">
        <v>591</v>
      </c>
      <c r="L3525" s="40" t="s">
        <v>644</v>
      </c>
      <c r="M3525" s="93">
        <v>2</v>
      </c>
      <c r="N3525" s="94">
        <f>O3525/M3525</f>
        <v>0</v>
      </c>
      <c r="O3525" s="94">
        <f>53600-53600</f>
        <v>0</v>
      </c>
      <c r="P3525" s="40" t="s">
        <v>698</v>
      </c>
      <c r="Q3525" s="40" t="s">
        <v>1051</v>
      </c>
      <c r="R3525" s="84" t="s">
        <v>3262</v>
      </c>
      <c r="S3525" s="40">
        <v>100</v>
      </c>
    </row>
    <row r="3526" spans="1:19" s="92" customFormat="1" ht="63.75">
      <c r="A3526" s="5">
        <v>3511</v>
      </c>
      <c r="B3526" s="15" t="s">
        <v>710</v>
      </c>
      <c r="C3526" s="40" t="s">
        <v>711</v>
      </c>
      <c r="D3526" s="40" t="s">
        <v>744</v>
      </c>
      <c r="E3526" s="31" t="s">
        <v>745</v>
      </c>
      <c r="F3526" s="31" t="s">
        <v>109</v>
      </c>
      <c r="G3526" s="31" t="s">
        <v>746</v>
      </c>
      <c r="H3526" s="40" t="s">
        <v>3205</v>
      </c>
      <c r="I3526" s="40" t="s">
        <v>3206</v>
      </c>
      <c r="J3526" s="40" t="s">
        <v>3207</v>
      </c>
      <c r="K3526" s="40" t="s">
        <v>591</v>
      </c>
      <c r="L3526" s="40" t="s">
        <v>644</v>
      </c>
      <c r="M3526" s="93">
        <f>6-2</f>
        <v>4</v>
      </c>
      <c r="N3526" s="94">
        <f>O3526/M3526</f>
        <v>4000</v>
      </c>
      <c r="O3526" s="94">
        <f>24000-8000</f>
        <v>16000</v>
      </c>
      <c r="P3526" s="40" t="s">
        <v>502</v>
      </c>
      <c r="Q3526" s="40" t="s">
        <v>1051</v>
      </c>
      <c r="R3526" s="84" t="s">
        <v>3262</v>
      </c>
      <c r="S3526" s="40">
        <v>100</v>
      </c>
    </row>
    <row r="3527" spans="1:19" s="92" customFormat="1" ht="51">
      <c r="A3527" s="5">
        <v>3512</v>
      </c>
      <c r="B3527" s="15" t="s">
        <v>710</v>
      </c>
      <c r="C3527" s="40" t="s">
        <v>711</v>
      </c>
      <c r="D3527" s="98" t="s">
        <v>422</v>
      </c>
      <c r="E3527" s="76" t="s">
        <v>423</v>
      </c>
      <c r="F3527" s="76" t="s">
        <v>427</v>
      </c>
      <c r="G3527" s="76" t="s">
        <v>837</v>
      </c>
      <c r="H3527" s="76" t="s">
        <v>425</v>
      </c>
      <c r="I3527" s="76" t="s">
        <v>3208</v>
      </c>
      <c r="J3527" s="76" t="s">
        <v>3209</v>
      </c>
      <c r="K3527" s="76" t="s">
        <v>591</v>
      </c>
      <c r="L3527" s="11" t="s">
        <v>909</v>
      </c>
      <c r="M3527" s="53">
        <v>18</v>
      </c>
      <c r="N3527" s="94">
        <v>640</v>
      </c>
      <c r="O3527" s="94">
        <f>N3527*M3527</f>
        <v>11520</v>
      </c>
      <c r="P3527" s="40" t="s">
        <v>502</v>
      </c>
      <c r="Q3527" s="40" t="s">
        <v>766</v>
      </c>
      <c r="R3527" s="84" t="s">
        <v>3262</v>
      </c>
      <c r="S3527" s="40">
        <v>100</v>
      </c>
    </row>
    <row r="3528" spans="1:19" s="92" customFormat="1" ht="76.5">
      <c r="A3528" s="5">
        <v>3513</v>
      </c>
      <c r="B3528" s="15" t="s">
        <v>710</v>
      </c>
      <c r="C3528" s="40" t="s">
        <v>711</v>
      </c>
      <c r="D3528" s="40" t="s">
        <v>723</v>
      </c>
      <c r="E3528" s="31" t="s">
        <v>874</v>
      </c>
      <c r="F3528" s="31" t="s">
        <v>874</v>
      </c>
      <c r="G3528" s="31" t="s">
        <v>875</v>
      </c>
      <c r="H3528" s="40" t="s">
        <v>876</v>
      </c>
      <c r="I3528" s="40" t="s">
        <v>3210</v>
      </c>
      <c r="J3528" s="40" t="s">
        <v>3211</v>
      </c>
      <c r="K3528" s="40" t="s">
        <v>591</v>
      </c>
      <c r="L3528" s="40" t="s">
        <v>644</v>
      </c>
      <c r="M3528" s="93">
        <v>1</v>
      </c>
      <c r="N3528" s="94">
        <v>30000</v>
      </c>
      <c r="O3528" s="94">
        <f>N3528*M3528</f>
        <v>30000</v>
      </c>
      <c r="P3528" s="40" t="s">
        <v>3116</v>
      </c>
      <c r="Q3528" s="40" t="s">
        <v>1051</v>
      </c>
      <c r="R3528" s="84" t="s">
        <v>3262</v>
      </c>
      <c r="S3528" s="40">
        <v>100</v>
      </c>
    </row>
    <row r="3529" spans="1:19" s="92" customFormat="1" ht="89.25">
      <c r="A3529" s="5">
        <v>3514</v>
      </c>
      <c r="B3529" s="15" t="s">
        <v>710</v>
      </c>
      <c r="C3529" s="40" t="s">
        <v>597</v>
      </c>
      <c r="D3529" s="40" t="s">
        <v>598</v>
      </c>
      <c r="E3529" s="31" t="s">
        <v>599</v>
      </c>
      <c r="F3529" s="31" t="s">
        <v>782</v>
      </c>
      <c r="G3529" s="31" t="s">
        <v>3195</v>
      </c>
      <c r="H3529" s="40" t="s">
        <v>602</v>
      </c>
      <c r="I3529" s="40" t="s">
        <v>3196</v>
      </c>
      <c r="J3529" s="40" t="s">
        <v>3197</v>
      </c>
      <c r="K3529" s="40" t="s">
        <v>591</v>
      </c>
      <c r="L3529" s="11" t="s">
        <v>914</v>
      </c>
      <c r="M3529" s="93">
        <v>1</v>
      </c>
      <c r="N3529" s="94">
        <v>624400</v>
      </c>
      <c r="O3529" s="94">
        <v>624400</v>
      </c>
      <c r="P3529" s="40" t="s">
        <v>502</v>
      </c>
      <c r="Q3529" s="40" t="s">
        <v>766</v>
      </c>
      <c r="R3529" s="84" t="s">
        <v>3256</v>
      </c>
      <c r="S3529" s="40">
        <v>0</v>
      </c>
    </row>
    <row r="3530" spans="1:19" s="92" customFormat="1" ht="89.25">
      <c r="A3530" s="5">
        <v>3515</v>
      </c>
      <c r="B3530" s="15" t="s">
        <v>710</v>
      </c>
      <c r="C3530" s="40" t="s">
        <v>597</v>
      </c>
      <c r="D3530" s="40" t="s">
        <v>598</v>
      </c>
      <c r="E3530" s="31" t="s">
        <v>599</v>
      </c>
      <c r="F3530" s="31" t="s">
        <v>782</v>
      </c>
      <c r="G3530" s="31" t="s">
        <v>3195</v>
      </c>
      <c r="H3530" s="40" t="s">
        <v>602</v>
      </c>
      <c r="I3530" s="40" t="s">
        <v>3196</v>
      </c>
      <c r="J3530" s="40" t="s">
        <v>3197</v>
      </c>
      <c r="K3530" s="40" t="s">
        <v>591</v>
      </c>
      <c r="L3530" s="11" t="s">
        <v>914</v>
      </c>
      <c r="M3530" s="93">
        <v>1</v>
      </c>
      <c r="N3530" s="94">
        <v>624400</v>
      </c>
      <c r="O3530" s="94">
        <v>624400</v>
      </c>
      <c r="P3530" s="40" t="s">
        <v>502</v>
      </c>
      <c r="Q3530" s="40" t="s">
        <v>766</v>
      </c>
      <c r="R3530" s="84" t="s">
        <v>3256</v>
      </c>
      <c r="S3530" s="40">
        <v>0</v>
      </c>
    </row>
    <row r="3531" spans="1:19" s="92" customFormat="1" ht="51">
      <c r="A3531" s="5">
        <v>3516</v>
      </c>
      <c r="B3531" s="15" t="s">
        <v>710</v>
      </c>
      <c r="C3531" s="40" t="s">
        <v>597</v>
      </c>
      <c r="D3531" s="11" t="s">
        <v>850</v>
      </c>
      <c r="E3531" s="76" t="s">
        <v>1736</v>
      </c>
      <c r="F3531" s="76" t="s">
        <v>851</v>
      </c>
      <c r="G3531" s="76" t="s">
        <v>1737</v>
      </c>
      <c r="H3531" s="76" t="s">
        <v>852</v>
      </c>
      <c r="I3531" s="76" t="s">
        <v>3199</v>
      </c>
      <c r="J3531" s="76" t="s">
        <v>3200</v>
      </c>
      <c r="K3531" s="40" t="s">
        <v>591</v>
      </c>
      <c r="L3531" s="11" t="s">
        <v>914</v>
      </c>
      <c r="M3531" s="97">
        <v>1</v>
      </c>
      <c r="N3531" s="94">
        <f>10000*5</f>
        <v>50000</v>
      </c>
      <c r="O3531" s="94">
        <f>N3531</f>
        <v>50000</v>
      </c>
      <c r="P3531" s="40" t="s">
        <v>698</v>
      </c>
      <c r="Q3531" s="40" t="s">
        <v>766</v>
      </c>
      <c r="R3531" s="84" t="s">
        <v>3256</v>
      </c>
      <c r="S3531" s="40">
        <v>0</v>
      </c>
    </row>
    <row r="3532" spans="1:19" s="92" customFormat="1" ht="51">
      <c r="A3532" s="5">
        <v>3517</v>
      </c>
      <c r="B3532" s="15" t="s">
        <v>710</v>
      </c>
      <c r="C3532" s="40" t="s">
        <v>597</v>
      </c>
      <c r="D3532" s="40" t="s">
        <v>2594</v>
      </c>
      <c r="E3532" s="31" t="s">
        <v>2618</v>
      </c>
      <c r="F3532" s="31" t="s">
        <v>2595</v>
      </c>
      <c r="G3532" s="31" t="s">
        <v>2618</v>
      </c>
      <c r="H3532" s="40" t="s">
        <v>2595</v>
      </c>
      <c r="I3532" s="40" t="s">
        <v>3201</v>
      </c>
      <c r="J3532" s="40" t="s">
        <v>3202</v>
      </c>
      <c r="K3532" s="40" t="s">
        <v>591</v>
      </c>
      <c r="L3532" s="11" t="s">
        <v>914</v>
      </c>
      <c r="M3532" s="93">
        <v>1</v>
      </c>
      <c r="N3532" s="94">
        <f>10500*3</f>
        <v>31500</v>
      </c>
      <c r="O3532" s="94">
        <f>N3532</f>
        <v>31500</v>
      </c>
      <c r="P3532" s="40" t="s">
        <v>3116</v>
      </c>
      <c r="Q3532" s="40" t="s">
        <v>766</v>
      </c>
      <c r="R3532" s="84" t="s">
        <v>3256</v>
      </c>
      <c r="S3532" s="40">
        <v>30</v>
      </c>
    </row>
    <row r="3533" spans="1:19" s="92" customFormat="1" ht="89.25">
      <c r="A3533" s="5">
        <v>3518</v>
      </c>
      <c r="B3533" s="15" t="s">
        <v>710</v>
      </c>
      <c r="C3533" s="40" t="s">
        <v>711</v>
      </c>
      <c r="D3533" s="40" t="s">
        <v>976</v>
      </c>
      <c r="E3533" s="31" t="s">
        <v>730</v>
      </c>
      <c r="F3533" s="31" t="s">
        <v>731</v>
      </c>
      <c r="G3533" s="31" t="s">
        <v>977</v>
      </c>
      <c r="H3533" s="40" t="s">
        <v>978</v>
      </c>
      <c r="I3533" s="40" t="s">
        <v>3221</v>
      </c>
      <c r="J3533" s="40" t="s">
        <v>3204</v>
      </c>
      <c r="K3533" s="40" t="s">
        <v>591</v>
      </c>
      <c r="L3533" s="40" t="s">
        <v>644</v>
      </c>
      <c r="M3533" s="93">
        <v>2</v>
      </c>
      <c r="N3533" s="94">
        <f>O3533/M3533</f>
        <v>0</v>
      </c>
      <c r="O3533" s="94">
        <f>53600-53600</f>
        <v>0</v>
      </c>
      <c r="P3533" s="40" t="s">
        <v>698</v>
      </c>
      <c r="Q3533" s="40" t="s">
        <v>1051</v>
      </c>
      <c r="R3533" s="84" t="s">
        <v>3256</v>
      </c>
      <c r="S3533" s="40">
        <v>100</v>
      </c>
    </row>
    <row r="3534" spans="1:19" s="92" customFormat="1" ht="63.75">
      <c r="A3534" s="5">
        <v>3519</v>
      </c>
      <c r="B3534" s="15" t="s">
        <v>710</v>
      </c>
      <c r="C3534" s="40" t="s">
        <v>711</v>
      </c>
      <c r="D3534" s="40" t="s">
        <v>744</v>
      </c>
      <c r="E3534" s="31" t="s">
        <v>745</v>
      </c>
      <c r="F3534" s="31" t="s">
        <v>109</v>
      </c>
      <c r="G3534" s="31" t="s">
        <v>746</v>
      </c>
      <c r="H3534" s="40" t="s">
        <v>3205</v>
      </c>
      <c r="I3534" s="40" t="s">
        <v>3206</v>
      </c>
      <c r="J3534" s="40" t="s">
        <v>3207</v>
      </c>
      <c r="K3534" s="40" t="s">
        <v>591</v>
      </c>
      <c r="L3534" s="40" t="s">
        <v>644</v>
      </c>
      <c r="M3534" s="93">
        <f>6-2</f>
        <v>4</v>
      </c>
      <c r="N3534" s="94">
        <f>O3534/M3534</f>
        <v>4000</v>
      </c>
      <c r="O3534" s="94">
        <f>24000-8000</f>
        <v>16000</v>
      </c>
      <c r="P3534" s="40" t="s">
        <v>502</v>
      </c>
      <c r="Q3534" s="40" t="s">
        <v>1051</v>
      </c>
      <c r="R3534" s="84" t="s">
        <v>3256</v>
      </c>
      <c r="S3534" s="40">
        <v>100</v>
      </c>
    </row>
    <row r="3535" spans="1:19" s="92" customFormat="1" ht="51">
      <c r="A3535" s="5">
        <v>3520</v>
      </c>
      <c r="B3535" s="15" t="s">
        <v>710</v>
      </c>
      <c r="C3535" s="40" t="s">
        <v>711</v>
      </c>
      <c r="D3535" s="98" t="s">
        <v>422</v>
      </c>
      <c r="E3535" s="76" t="s">
        <v>423</v>
      </c>
      <c r="F3535" s="76" t="s">
        <v>427</v>
      </c>
      <c r="G3535" s="76" t="s">
        <v>837</v>
      </c>
      <c r="H3535" s="76" t="s">
        <v>425</v>
      </c>
      <c r="I3535" s="76" t="s">
        <v>3208</v>
      </c>
      <c r="J3535" s="76" t="s">
        <v>3209</v>
      </c>
      <c r="K3535" s="76" t="s">
        <v>591</v>
      </c>
      <c r="L3535" s="11" t="s">
        <v>909</v>
      </c>
      <c r="M3535" s="53">
        <v>18</v>
      </c>
      <c r="N3535" s="94">
        <v>640</v>
      </c>
      <c r="O3535" s="94">
        <f>N3535*M3535</f>
        <v>11520</v>
      </c>
      <c r="P3535" s="40" t="s">
        <v>502</v>
      </c>
      <c r="Q3535" s="40" t="s">
        <v>766</v>
      </c>
      <c r="R3535" s="84" t="s">
        <v>3256</v>
      </c>
      <c r="S3535" s="40">
        <v>100</v>
      </c>
    </row>
    <row r="3536" spans="1:19" s="92" customFormat="1" ht="76.5">
      <c r="A3536" s="5">
        <v>3521</v>
      </c>
      <c r="B3536" s="15" t="s">
        <v>710</v>
      </c>
      <c r="C3536" s="40" t="s">
        <v>711</v>
      </c>
      <c r="D3536" s="40" t="s">
        <v>723</v>
      </c>
      <c r="E3536" s="31" t="s">
        <v>874</v>
      </c>
      <c r="F3536" s="31" t="s">
        <v>874</v>
      </c>
      <c r="G3536" s="31" t="s">
        <v>875</v>
      </c>
      <c r="H3536" s="40" t="s">
        <v>876</v>
      </c>
      <c r="I3536" s="40" t="s">
        <v>3222</v>
      </c>
      <c r="J3536" s="40" t="s">
        <v>3211</v>
      </c>
      <c r="K3536" s="40" t="s">
        <v>591</v>
      </c>
      <c r="L3536" s="40" t="s">
        <v>644</v>
      </c>
      <c r="M3536" s="93">
        <v>1</v>
      </c>
      <c r="N3536" s="94">
        <v>30000</v>
      </c>
      <c r="O3536" s="94">
        <f>N3536*M3536</f>
        <v>30000</v>
      </c>
      <c r="P3536" s="40" t="s">
        <v>698</v>
      </c>
      <c r="Q3536" s="40" t="s">
        <v>1051</v>
      </c>
      <c r="R3536" s="84" t="s">
        <v>3256</v>
      </c>
      <c r="S3536" s="40">
        <v>100</v>
      </c>
    </row>
    <row r="3537" spans="1:19" s="92" customFormat="1" ht="89.25">
      <c r="A3537" s="5">
        <v>3522</v>
      </c>
      <c r="B3537" s="15" t="s">
        <v>710</v>
      </c>
      <c r="C3537" s="40" t="s">
        <v>597</v>
      </c>
      <c r="D3537" s="40" t="s">
        <v>598</v>
      </c>
      <c r="E3537" s="31" t="s">
        <v>599</v>
      </c>
      <c r="F3537" s="31" t="s">
        <v>782</v>
      </c>
      <c r="G3537" s="31" t="s">
        <v>3195</v>
      </c>
      <c r="H3537" s="40" t="s">
        <v>602</v>
      </c>
      <c r="I3537" s="40" t="s">
        <v>3196</v>
      </c>
      <c r="J3537" s="40" t="s">
        <v>3197</v>
      </c>
      <c r="K3537" s="40" t="s">
        <v>591</v>
      </c>
      <c r="L3537" s="11" t="s">
        <v>914</v>
      </c>
      <c r="M3537" s="93">
        <v>1</v>
      </c>
      <c r="N3537" s="94">
        <v>624400</v>
      </c>
      <c r="O3537" s="94">
        <v>624400</v>
      </c>
      <c r="P3537" s="40" t="s">
        <v>502</v>
      </c>
      <c r="Q3537" s="40" t="s">
        <v>766</v>
      </c>
      <c r="R3537" s="84" t="s">
        <v>3255</v>
      </c>
      <c r="S3537" s="40">
        <v>0</v>
      </c>
    </row>
    <row r="3538" spans="1:19" s="92" customFormat="1" ht="89.25">
      <c r="A3538" s="5">
        <v>3523</v>
      </c>
      <c r="B3538" s="15" t="s">
        <v>710</v>
      </c>
      <c r="C3538" s="40" t="s">
        <v>597</v>
      </c>
      <c r="D3538" s="40" t="s">
        <v>598</v>
      </c>
      <c r="E3538" s="31" t="s">
        <v>599</v>
      </c>
      <c r="F3538" s="31" t="s">
        <v>782</v>
      </c>
      <c r="G3538" s="31" t="s">
        <v>3195</v>
      </c>
      <c r="H3538" s="40" t="s">
        <v>602</v>
      </c>
      <c r="I3538" s="40" t="s">
        <v>3196</v>
      </c>
      <c r="J3538" s="40" t="s">
        <v>3197</v>
      </c>
      <c r="K3538" s="40" t="s">
        <v>591</v>
      </c>
      <c r="L3538" s="11" t="s">
        <v>914</v>
      </c>
      <c r="M3538" s="93">
        <v>1</v>
      </c>
      <c r="N3538" s="94">
        <v>624400</v>
      </c>
      <c r="O3538" s="94">
        <v>624400</v>
      </c>
      <c r="P3538" s="40" t="s">
        <v>502</v>
      </c>
      <c r="Q3538" s="40" t="s">
        <v>766</v>
      </c>
      <c r="R3538" s="84" t="s">
        <v>3255</v>
      </c>
      <c r="S3538" s="40">
        <v>0</v>
      </c>
    </row>
    <row r="3539" spans="1:19" s="92" customFormat="1" ht="51">
      <c r="A3539" s="5">
        <v>3524</v>
      </c>
      <c r="B3539" s="15" t="s">
        <v>710</v>
      </c>
      <c r="C3539" s="40" t="s">
        <v>597</v>
      </c>
      <c r="D3539" s="11" t="s">
        <v>850</v>
      </c>
      <c r="E3539" s="76" t="s">
        <v>1736</v>
      </c>
      <c r="F3539" s="76" t="s">
        <v>851</v>
      </c>
      <c r="G3539" s="76" t="s">
        <v>1737</v>
      </c>
      <c r="H3539" s="76" t="s">
        <v>852</v>
      </c>
      <c r="I3539" s="76" t="s">
        <v>3199</v>
      </c>
      <c r="J3539" s="76" t="s">
        <v>3200</v>
      </c>
      <c r="K3539" s="40" t="s">
        <v>591</v>
      </c>
      <c r="L3539" s="11" t="s">
        <v>914</v>
      </c>
      <c r="M3539" s="97">
        <v>1</v>
      </c>
      <c r="N3539" s="94">
        <f>10000*5</f>
        <v>50000</v>
      </c>
      <c r="O3539" s="94">
        <f>N3539</f>
        <v>50000</v>
      </c>
      <c r="P3539" s="40" t="s">
        <v>698</v>
      </c>
      <c r="Q3539" s="40" t="s">
        <v>766</v>
      </c>
      <c r="R3539" s="84" t="s">
        <v>3255</v>
      </c>
      <c r="S3539" s="40">
        <v>0</v>
      </c>
    </row>
    <row r="3540" spans="1:19" s="92" customFormat="1" ht="51">
      <c r="A3540" s="5">
        <v>3525</v>
      </c>
      <c r="B3540" s="15" t="s">
        <v>710</v>
      </c>
      <c r="C3540" s="40" t="s">
        <v>597</v>
      </c>
      <c r="D3540" s="40" t="s">
        <v>2594</v>
      </c>
      <c r="E3540" s="31" t="s">
        <v>2618</v>
      </c>
      <c r="F3540" s="31" t="s">
        <v>2595</v>
      </c>
      <c r="G3540" s="31" t="s">
        <v>2618</v>
      </c>
      <c r="H3540" s="40" t="s">
        <v>2595</v>
      </c>
      <c r="I3540" s="40" t="s">
        <v>3201</v>
      </c>
      <c r="J3540" s="40" t="s">
        <v>3202</v>
      </c>
      <c r="K3540" s="40" t="s">
        <v>591</v>
      </c>
      <c r="L3540" s="11" t="s">
        <v>914</v>
      </c>
      <c r="M3540" s="93">
        <v>1</v>
      </c>
      <c r="N3540" s="94">
        <f>10500*3</f>
        <v>31500</v>
      </c>
      <c r="O3540" s="94">
        <f>N3540</f>
        <v>31500</v>
      </c>
      <c r="P3540" s="40" t="s">
        <v>3116</v>
      </c>
      <c r="Q3540" s="40" t="s">
        <v>766</v>
      </c>
      <c r="R3540" s="84" t="s">
        <v>3255</v>
      </c>
      <c r="S3540" s="40">
        <v>30</v>
      </c>
    </row>
    <row r="3541" spans="1:19" s="92" customFormat="1" ht="89.25">
      <c r="A3541" s="5">
        <v>3526</v>
      </c>
      <c r="B3541" s="15" t="s">
        <v>710</v>
      </c>
      <c r="C3541" s="40" t="s">
        <v>711</v>
      </c>
      <c r="D3541" s="40" t="s">
        <v>976</v>
      </c>
      <c r="E3541" s="31" t="s">
        <v>730</v>
      </c>
      <c r="F3541" s="31" t="s">
        <v>731</v>
      </c>
      <c r="G3541" s="31" t="s">
        <v>977</v>
      </c>
      <c r="H3541" s="40" t="s">
        <v>978</v>
      </c>
      <c r="I3541" s="40" t="s">
        <v>3221</v>
      </c>
      <c r="J3541" s="40" t="s">
        <v>3204</v>
      </c>
      <c r="K3541" s="40" t="s">
        <v>591</v>
      </c>
      <c r="L3541" s="40" t="s">
        <v>644</v>
      </c>
      <c r="M3541" s="93">
        <v>2</v>
      </c>
      <c r="N3541" s="94">
        <f>O3541/M3541</f>
        <v>0</v>
      </c>
      <c r="O3541" s="94">
        <f>53600-53600</f>
        <v>0</v>
      </c>
      <c r="P3541" s="40" t="s">
        <v>698</v>
      </c>
      <c r="Q3541" s="40" t="s">
        <v>1051</v>
      </c>
      <c r="R3541" s="84" t="s">
        <v>3255</v>
      </c>
      <c r="S3541" s="40">
        <v>100</v>
      </c>
    </row>
    <row r="3542" spans="1:19" s="92" customFormat="1" ht="63.75">
      <c r="A3542" s="5">
        <v>3527</v>
      </c>
      <c r="B3542" s="15" t="s">
        <v>710</v>
      </c>
      <c r="C3542" s="40" t="s">
        <v>711</v>
      </c>
      <c r="D3542" s="40" t="s">
        <v>744</v>
      </c>
      <c r="E3542" s="31" t="s">
        <v>745</v>
      </c>
      <c r="F3542" s="31" t="s">
        <v>109</v>
      </c>
      <c r="G3542" s="31" t="s">
        <v>746</v>
      </c>
      <c r="H3542" s="40" t="s">
        <v>3205</v>
      </c>
      <c r="I3542" s="40" t="s">
        <v>3206</v>
      </c>
      <c r="J3542" s="40" t="s">
        <v>3207</v>
      </c>
      <c r="K3542" s="40" t="s">
        <v>591</v>
      </c>
      <c r="L3542" s="40" t="s">
        <v>644</v>
      </c>
      <c r="M3542" s="93">
        <f>6-2</f>
        <v>4</v>
      </c>
      <c r="N3542" s="94">
        <f>O3542/M3542</f>
        <v>4000</v>
      </c>
      <c r="O3542" s="94">
        <f>24000-8000</f>
        <v>16000</v>
      </c>
      <c r="P3542" s="40" t="s">
        <v>502</v>
      </c>
      <c r="Q3542" s="40" t="s">
        <v>1051</v>
      </c>
      <c r="R3542" s="84" t="s">
        <v>3255</v>
      </c>
      <c r="S3542" s="40">
        <v>100</v>
      </c>
    </row>
    <row r="3543" spans="1:19" s="92" customFormat="1" ht="51">
      <c r="A3543" s="5">
        <v>3528</v>
      </c>
      <c r="B3543" s="15" t="s">
        <v>710</v>
      </c>
      <c r="C3543" s="40" t="s">
        <v>711</v>
      </c>
      <c r="D3543" s="98" t="s">
        <v>422</v>
      </c>
      <c r="E3543" s="76" t="s">
        <v>423</v>
      </c>
      <c r="F3543" s="76" t="s">
        <v>427</v>
      </c>
      <c r="G3543" s="76" t="s">
        <v>837</v>
      </c>
      <c r="H3543" s="76" t="s">
        <v>425</v>
      </c>
      <c r="I3543" s="76" t="s">
        <v>3208</v>
      </c>
      <c r="J3543" s="76" t="s">
        <v>3209</v>
      </c>
      <c r="K3543" s="76" t="s">
        <v>591</v>
      </c>
      <c r="L3543" s="11" t="s">
        <v>909</v>
      </c>
      <c r="M3543" s="53">
        <v>18</v>
      </c>
      <c r="N3543" s="94">
        <v>640</v>
      </c>
      <c r="O3543" s="94">
        <f>N3543*M3543</f>
        <v>11520</v>
      </c>
      <c r="P3543" s="40" t="s">
        <v>502</v>
      </c>
      <c r="Q3543" s="40" t="s">
        <v>766</v>
      </c>
      <c r="R3543" s="84" t="s">
        <v>3255</v>
      </c>
      <c r="S3543" s="40">
        <v>100</v>
      </c>
    </row>
    <row r="3544" spans="1:19" s="92" customFormat="1" ht="76.5">
      <c r="A3544" s="5">
        <v>3529</v>
      </c>
      <c r="B3544" s="15" t="s">
        <v>710</v>
      </c>
      <c r="C3544" s="40" t="s">
        <v>711</v>
      </c>
      <c r="D3544" s="40" t="s">
        <v>723</v>
      </c>
      <c r="E3544" s="31" t="s">
        <v>874</v>
      </c>
      <c r="F3544" s="31" t="s">
        <v>874</v>
      </c>
      <c r="G3544" s="31" t="s">
        <v>875</v>
      </c>
      <c r="H3544" s="40" t="s">
        <v>876</v>
      </c>
      <c r="I3544" s="40" t="s">
        <v>3222</v>
      </c>
      <c r="J3544" s="40" t="s">
        <v>3211</v>
      </c>
      <c r="K3544" s="40" t="s">
        <v>591</v>
      </c>
      <c r="L3544" s="40" t="s">
        <v>644</v>
      </c>
      <c r="M3544" s="93">
        <v>1</v>
      </c>
      <c r="N3544" s="94">
        <v>30000</v>
      </c>
      <c r="O3544" s="94">
        <f>N3544*M3544</f>
        <v>30000</v>
      </c>
      <c r="P3544" s="40" t="s">
        <v>698</v>
      </c>
      <c r="Q3544" s="40" t="s">
        <v>1051</v>
      </c>
      <c r="R3544" s="84" t="s">
        <v>3255</v>
      </c>
      <c r="S3544" s="40">
        <v>100</v>
      </c>
    </row>
    <row r="3545" spans="1:19" s="92" customFormat="1" ht="89.25">
      <c r="A3545" s="5">
        <v>3530</v>
      </c>
      <c r="B3545" s="15" t="s">
        <v>710</v>
      </c>
      <c r="C3545" s="40" t="s">
        <v>597</v>
      </c>
      <c r="D3545" s="40" t="s">
        <v>598</v>
      </c>
      <c r="E3545" s="31" t="s">
        <v>599</v>
      </c>
      <c r="F3545" s="31" t="s">
        <v>782</v>
      </c>
      <c r="G3545" s="31" t="s">
        <v>3195</v>
      </c>
      <c r="H3545" s="40" t="s">
        <v>602</v>
      </c>
      <c r="I3545" s="40" t="s">
        <v>3196</v>
      </c>
      <c r="J3545" s="40" t="s">
        <v>3197</v>
      </c>
      <c r="K3545" s="40" t="s">
        <v>591</v>
      </c>
      <c r="L3545" s="11" t="s">
        <v>914</v>
      </c>
      <c r="M3545" s="93">
        <v>1</v>
      </c>
      <c r="N3545" s="94">
        <v>624400</v>
      </c>
      <c r="O3545" s="94">
        <v>624400</v>
      </c>
      <c r="P3545" s="40" t="s">
        <v>502</v>
      </c>
      <c r="Q3545" s="40" t="s">
        <v>766</v>
      </c>
      <c r="R3545" s="84" t="s">
        <v>3258</v>
      </c>
      <c r="S3545" s="40">
        <v>0</v>
      </c>
    </row>
    <row r="3546" spans="1:19" s="92" customFormat="1" ht="89.25">
      <c r="A3546" s="5">
        <v>3531</v>
      </c>
      <c r="B3546" s="15" t="s">
        <v>710</v>
      </c>
      <c r="C3546" s="40" t="s">
        <v>597</v>
      </c>
      <c r="D3546" s="40" t="s">
        <v>598</v>
      </c>
      <c r="E3546" s="31" t="s">
        <v>599</v>
      </c>
      <c r="F3546" s="31" t="s">
        <v>782</v>
      </c>
      <c r="G3546" s="31" t="s">
        <v>3195</v>
      </c>
      <c r="H3546" s="40" t="s">
        <v>602</v>
      </c>
      <c r="I3546" s="40" t="s">
        <v>3196</v>
      </c>
      <c r="J3546" s="40" t="s">
        <v>3197</v>
      </c>
      <c r="K3546" s="40" t="s">
        <v>591</v>
      </c>
      <c r="L3546" s="11" t="s">
        <v>914</v>
      </c>
      <c r="M3546" s="93">
        <v>1</v>
      </c>
      <c r="N3546" s="94">
        <v>624400</v>
      </c>
      <c r="O3546" s="94">
        <v>624400</v>
      </c>
      <c r="P3546" s="40" t="s">
        <v>502</v>
      </c>
      <c r="Q3546" s="40" t="s">
        <v>766</v>
      </c>
      <c r="R3546" s="84" t="s">
        <v>3258</v>
      </c>
      <c r="S3546" s="40">
        <v>0</v>
      </c>
    </row>
    <row r="3547" spans="1:19" s="92" customFormat="1" ht="51">
      <c r="A3547" s="5">
        <v>3532</v>
      </c>
      <c r="B3547" s="15" t="s">
        <v>710</v>
      </c>
      <c r="C3547" s="40" t="s">
        <v>597</v>
      </c>
      <c r="D3547" s="11" t="s">
        <v>850</v>
      </c>
      <c r="E3547" s="76" t="s">
        <v>1736</v>
      </c>
      <c r="F3547" s="76" t="s">
        <v>851</v>
      </c>
      <c r="G3547" s="76" t="s">
        <v>1737</v>
      </c>
      <c r="H3547" s="76" t="s">
        <v>852</v>
      </c>
      <c r="I3547" s="76" t="s">
        <v>3199</v>
      </c>
      <c r="J3547" s="76" t="s">
        <v>3200</v>
      </c>
      <c r="K3547" s="40" t="s">
        <v>591</v>
      </c>
      <c r="L3547" s="11" t="s">
        <v>914</v>
      </c>
      <c r="M3547" s="97">
        <v>1</v>
      </c>
      <c r="N3547" s="94">
        <f>10000*5</f>
        <v>50000</v>
      </c>
      <c r="O3547" s="94">
        <f>N3547</f>
        <v>50000</v>
      </c>
      <c r="P3547" s="40" t="s">
        <v>698</v>
      </c>
      <c r="Q3547" s="40" t="s">
        <v>766</v>
      </c>
      <c r="R3547" s="84" t="s">
        <v>3258</v>
      </c>
      <c r="S3547" s="40">
        <v>0</v>
      </c>
    </row>
    <row r="3548" spans="1:19" s="92" customFormat="1" ht="51">
      <c r="A3548" s="5">
        <v>3533</v>
      </c>
      <c r="B3548" s="15" t="s">
        <v>710</v>
      </c>
      <c r="C3548" s="40" t="s">
        <v>597</v>
      </c>
      <c r="D3548" s="40" t="s">
        <v>2594</v>
      </c>
      <c r="E3548" s="31" t="s">
        <v>2618</v>
      </c>
      <c r="F3548" s="31" t="s">
        <v>2595</v>
      </c>
      <c r="G3548" s="31" t="s">
        <v>2618</v>
      </c>
      <c r="H3548" s="40" t="s">
        <v>2595</v>
      </c>
      <c r="I3548" s="40" t="s">
        <v>3201</v>
      </c>
      <c r="J3548" s="40" t="s">
        <v>3202</v>
      </c>
      <c r="K3548" s="40" t="s">
        <v>591</v>
      </c>
      <c r="L3548" s="11" t="s">
        <v>914</v>
      </c>
      <c r="M3548" s="93">
        <v>1</v>
      </c>
      <c r="N3548" s="94">
        <f>10500*3</f>
        <v>31500</v>
      </c>
      <c r="O3548" s="94">
        <f>N3548</f>
        <v>31500</v>
      </c>
      <c r="P3548" s="40" t="s">
        <v>3116</v>
      </c>
      <c r="Q3548" s="40" t="s">
        <v>766</v>
      </c>
      <c r="R3548" s="84" t="s">
        <v>3258</v>
      </c>
      <c r="S3548" s="40">
        <v>30</v>
      </c>
    </row>
    <row r="3549" spans="1:19" s="92" customFormat="1" ht="89.25">
      <c r="A3549" s="5">
        <v>3534</v>
      </c>
      <c r="B3549" s="15" t="s">
        <v>710</v>
      </c>
      <c r="C3549" s="40" t="s">
        <v>711</v>
      </c>
      <c r="D3549" s="40" t="s">
        <v>976</v>
      </c>
      <c r="E3549" s="31" t="s">
        <v>730</v>
      </c>
      <c r="F3549" s="31" t="s">
        <v>731</v>
      </c>
      <c r="G3549" s="31" t="s">
        <v>977</v>
      </c>
      <c r="H3549" s="40" t="s">
        <v>978</v>
      </c>
      <c r="I3549" s="40" t="s">
        <v>3221</v>
      </c>
      <c r="J3549" s="40" t="s">
        <v>3204</v>
      </c>
      <c r="K3549" s="40" t="s">
        <v>591</v>
      </c>
      <c r="L3549" s="40" t="s">
        <v>644</v>
      </c>
      <c r="M3549" s="93">
        <v>2</v>
      </c>
      <c r="N3549" s="94">
        <v>26800</v>
      </c>
      <c r="O3549" s="94">
        <f>N3549*M3549</f>
        <v>53600</v>
      </c>
      <c r="P3549" s="40" t="s">
        <v>3116</v>
      </c>
      <c r="Q3549" s="40" t="s">
        <v>1051</v>
      </c>
      <c r="R3549" s="84" t="s">
        <v>3258</v>
      </c>
      <c r="S3549" s="40">
        <v>100</v>
      </c>
    </row>
    <row r="3550" spans="1:19" s="92" customFormat="1" ht="63.75">
      <c r="A3550" s="5">
        <v>3535</v>
      </c>
      <c r="B3550" s="15" t="s">
        <v>710</v>
      </c>
      <c r="C3550" s="40" t="s">
        <v>711</v>
      </c>
      <c r="D3550" s="40" t="s">
        <v>744</v>
      </c>
      <c r="E3550" s="31" t="s">
        <v>745</v>
      </c>
      <c r="F3550" s="31" t="s">
        <v>109</v>
      </c>
      <c r="G3550" s="31" t="s">
        <v>746</v>
      </c>
      <c r="H3550" s="40" t="s">
        <v>3205</v>
      </c>
      <c r="I3550" s="40" t="s">
        <v>3206</v>
      </c>
      <c r="J3550" s="40" t="s">
        <v>3207</v>
      </c>
      <c r="K3550" s="40" t="s">
        <v>591</v>
      </c>
      <c r="L3550" s="40" t="s">
        <v>644</v>
      </c>
      <c r="M3550" s="93">
        <f>6-2</f>
        <v>4</v>
      </c>
      <c r="N3550" s="94">
        <f>O3550/M3550</f>
        <v>4000</v>
      </c>
      <c r="O3550" s="94">
        <f>24000-8000</f>
        <v>16000</v>
      </c>
      <c r="P3550" s="40" t="s">
        <v>502</v>
      </c>
      <c r="Q3550" s="40" t="s">
        <v>1051</v>
      </c>
      <c r="R3550" s="84" t="s">
        <v>3258</v>
      </c>
      <c r="S3550" s="40">
        <v>100</v>
      </c>
    </row>
    <row r="3551" spans="1:19" s="92" customFormat="1" ht="51">
      <c r="A3551" s="5">
        <v>3536</v>
      </c>
      <c r="B3551" s="15" t="s">
        <v>710</v>
      </c>
      <c r="C3551" s="40" t="s">
        <v>711</v>
      </c>
      <c r="D3551" s="98" t="s">
        <v>422</v>
      </c>
      <c r="E3551" s="76" t="s">
        <v>423</v>
      </c>
      <c r="F3551" s="76" t="s">
        <v>427</v>
      </c>
      <c r="G3551" s="76" t="s">
        <v>837</v>
      </c>
      <c r="H3551" s="76" t="s">
        <v>425</v>
      </c>
      <c r="I3551" s="76" t="s">
        <v>3208</v>
      </c>
      <c r="J3551" s="76" t="s">
        <v>3209</v>
      </c>
      <c r="K3551" s="76" t="s">
        <v>591</v>
      </c>
      <c r="L3551" s="11" t="s">
        <v>909</v>
      </c>
      <c r="M3551" s="53">
        <v>18</v>
      </c>
      <c r="N3551" s="94">
        <v>640</v>
      </c>
      <c r="O3551" s="94">
        <f>N3551*M3551</f>
        <v>11520</v>
      </c>
      <c r="P3551" s="40" t="s">
        <v>502</v>
      </c>
      <c r="Q3551" s="40" t="s">
        <v>766</v>
      </c>
      <c r="R3551" s="84" t="s">
        <v>3258</v>
      </c>
      <c r="S3551" s="40">
        <v>100</v>
      </c>
    </row>
    <row r="3552" spans="1:19" s="92" customFormat="1" ht="76.5">
      <c r="A3552" s="5">
        <v>3537</v>
      </c>
      <c r="B3552" s="15" t="s">
        <v>710</v>
      </c>
      <c r="C3552" s="40" t="s">
        <v>711</v>
      </c>
      <c r="D3552" s="40" t="s">
        <v>723</v>
      </c>
      <c r="E3552" s="31" t="s">
        <v>874</v>
      </c>
      <c r="F3552" s="31" t="s">
        <v>874</v>
      </c>
      <c r="G3552" s="31" t="s">
        <v>875</v>
      </c>
      <c r="H3552" s="40" t="s">
        <v>876</v>
      </c>
      <c r="I3552" s="40" t="s">
        <v>3222</v>
      </c>
      <c r="J3552" s="40" t="s">
        <v>3211</v>
      </c>
      <c r="K3552" s="40" t="s">
        <v>591</v>
      </c>
      <c r="L3552" s="40" t="s">
        <v>644</v>
      </c>
      <c r="M3552" s="93">
        <v>1</v>
      </c>
      <c r="N3552" s="94">
        <v>30000</v>
      </c>
      <c r="O3552" s="94">
        <f>N3552*M3552</f>
        <v>30000</v>
      </c>
      <c r="P3552" s="40" t="s">
        <v>3116</v>
      </c>
      <c r="Q3552" s="40" t="s">
        <v>1051</v>
      </c>
      <c r="R3552" s="84" t="s">
        <v>3258</v>
      </c>
      <c r="S3552" s="40">
        <v>100</v>
      </c>
    </row>
    <row r="3553" spans="1:19" s="92" customFormat="1" ht="89.25">
      <c r="A3553" s="5">
        <v>3538</v>
      </c>
      <c r="B3553" s="15" t="s">
        <v>710</v>
      </c>
      <c r="C3553" s="40" t="s">
        <v>597</v>
      </c>
      <c r="D3553" s="40" t="s">
        <v>598</v>
      </c>
      <c r="E3553" s="31" t="s">
        <v>599</v>
      </c>
      <c r="F3553" s="31" t="s">
        <v>782</v>
      </c>
      <c r="G3553" s="31" t="s">
        <v>3195</v>
      </c>
      <c r="H3553" s="40" t="s">
        <v>602</v>
      </c>
      <c r="I3553" s="40" t="s">
        <v>3196</v>
      </c>
      <c r="J3553" s="40" t="s">
        <v>3197</v>
      </c>
      <c r="K3553" s="40" t="s">
        <v>591</v>
      </c>
      <c r="L3553" s="11" t="s">
        <v>914</v>
      </c>
      <c r="M3553" s="93">
        <v>1</v>
      </c>
      <c r="N3553" s="94">
        <v>624400</v>
      </c>
      <c r="O3553" s="94">
        <v>624400</v>
      </c>
      <c r="P3553" s="40" t="s">
        <v>502</v>
      </c>
      <c r="Q3553" s="40" t="s">
        <v>766</v>
      </c>
      <c r="R3553" s="84" t="s">
        <v>3254</v>
      </c>
      <c r="S3553" s="40">
        <v>0</v>
      </c>
    </row>
    <row r="3554" spans="1:19" s="92" customFormat="1" ht="89.25">
      <c r="A3554" s="5">
        <v>3539</v>
      </c>
      <c r="B3554" s="15" t="s">
        <v>710</v>
      </c>
      <c r="C3554" s="40" t="s">
        <v>597</v>
      </c>
      <c r="D3554" s="40" t="s">
        <v>598</v>
      </c>
      <c r="E3554" s="31" t="s">
        <v>599</v>
      </c>
      <c r="F3554" s="31" t="s">
        <v>782</v>
      </c>
      <c r="G3554" s="31" t="s">
        <v>3195</v>
      </c>
      <c r="H3554" s="40" t="s">
        <v>602</v>
      </c>
      <c r="I3554" s="40" t="s">
        <v>3196</v>
      </c>
      <c r="J3554" s="40" t="s">
        <v>3197</v>
      </c>
      <c r="K3554" s="40" t="s">
        <v>591</v>
      </c>
      <c r="L3554" s="11" t="s">
        <v>914</v>
      </c>
      <c r="M3554" s="93">
        <v>1</v>
      </c>
      <c r="N3554" s="94">
        <v>624400</v>
      </c>
      <c r="O3554" s="94">
        <v>624400</v>
      </c>
      <c r="P3554" s="40" t="s">
        <v>502</v>
      </c>
      <c r="Q3554" s="40" t="s">
        <v>766</v>
      </c>
      <c r="R3554" s="84" t="s">
        <v>3254</v>
      </c>
      <c r="S3554" s="40">
        <v>0</v>
      </c>
    </row>
    <row r="3555" spans="1:19" s="92" customFormat="1" ht="51">
      <c r="A3555" s="5">
        <v>3540</v>
      </c>
      <c r="B3555" s="15" t="s">
        <v>710</v>
      </c>
      <c r="C3555" s="40" t="s">
        <v>597</v>
      </c>
      <c r="D3555" s="11" t="s">
        <v>850</v>
      </c>
      <c r="E3555" s="76" t="s">
        <v>1736</v>
      </c>
      <c r="F3555" s="76" t="s">
        <v>851</v>
      </c>
      <c r="G3555" s="76" t="s">
        <v>1737</v>
      </c>
      <c r="H3555" s="76" t="s">
        <v>852</v>
      </c>
      <c r="I3555" s="76" t="s">
        <v>3199</v>
      </c>
      <c r="J3555" s="76" t="s">
        <v>3200</v>
      </c>
      <c r="K3555" s="40" t="s">
        <v>591</v>
      </c>
      <c r="L3555" s="11" t="s">
        <v>914</v>
      </c>
      <c r="M3555" s="97">
        <v>1</v>
      </c>
      <c r="N3555" s="94">
        <f>10000*5</f>
        <v>50000</v>
      </c>
      <c r="O3555" s="94">
        <f>N3555</f>
        <v>50000</v>
      </c>
      <c r="P3555" s="40" t="s">
        <v>698</v>
      </c>
      <c r="Q3555" s="40" t="s">
        <v>766</v>
      </c>
      <c r="R3555" s="84" t="s">
        <v>3254</v>
      </c>
      <c r="S3555" s="40">
        <v>0</v>
      </c>
    </row>
    <row r="3556" spans="1:19" s="92" customFormat="1" ht="51">
      <c r="A3556" s="5">
        <v>3541</v>
      </c>
      <c r="B3556" s="15" t="s">
        <v>710</v>
      </c>
      <c r="C3556" s="40" t="s">
        <v>597</v>
      </c>
      <c r="D3556" s="40" t="s">
        <v>2594</v>
      </c>
      <c r="E3556" s="31" t="s">
        <v>2618</v>
      </c>
      <c r="F3556" s="31" t="s">
        <v>2595</v>
      </c>
      <c r="G3556" s="31" t="s">
        <v>2618</v>
      </c>
      <c r="H3556" s="40" t="s">
        <v>2595</v>
      </c>
      <c r="I3556" s="40" t="s">
        <v>3201</v>
      </c>
      <c r="J3556" s="40" t="s">
        <v>3202</v>
      </c>
      <c r="K3556" s="40" t="s">
        <v>591</v>
      </c>
      <c r="L3556" s="11" t="s">
        <v>914</v>
      </c>
      <c r="M3556" s="93">
        <v>1</v>
      </c>
      <c r="N3556" s="94">
        <f>10500*3</f>
        <v>31500</v>
      </c>
      <c r="O3556" s="94">
        <f>N3556</f>
        <v>31500</v>
      </c>
      <c r="P3556" s="40" t="s">
        <v>3116</v>
      </c>
      <c r="Q3556" s="40" t="s">
        <v>766</v>
      </c>
      <c r="R3556" s="84" t="s">
        <v>3254</v>
      </c>
      <c r="S3556" s="40">
        <v>30</v>
      </c>
    </row>
    <row r="3557" spans="1:19" s="92" customFormat="1" ht="89.25">
      <c r="A3557" s="5">
        <v>3542</v>
      </c>
      <c r="B3557" s="15" t="s">
        <v>710</v>
      </c>
      <c r="C3557" s="40" t="s">
        <v>711</v>
      </c>
      <c r="D3557" s="40" t="s">
        <v>976</v>
      </c>
      <c r="E3557" s="31" t="s">
        <v>730</v>
      </c>
      <c r="F3557" s="31" t="s">
        <v>731</v>
      </c>
      <c r="G3557" s="31" t="s">
        <v>977</v>
      </c>
      <c r="H3557" s="40" t="s">
        <v>978</v>
      </c>
      <c r="I3557" s="40" t="s">
        <v>3221</v>
      </c>
      <c r="J3557" s="40" t="s">
        <v>3204</v>
      </c>
      <c r="K3557" s="40" t="s">
        <v>591</v>
      </c>
      <c r="L3557" s="40" t="s">
        <v>644</v>
      </c>
      <c r="M3557" s="93">
        <v>2</v>
      </c>
      <c r="N3557" s="94">
        <f>O3557/M3557</f>
        <v>0</v>
      </c>
      <c r="O3557" s="94">
        <f>53600-53600</f>
        <v>0</v>
      </c>
      <c r="P3557" s="40" t="s">
        <v>698</v>
      </c>
      <c r="Q3557" s="40" t="s">
        <v>1051</v>
      </c>
      <c r="R3557" s="84" t="s">
        <v>3254</v>
      </c>
      <c r="S3557" s="40">
        <v>100</v>
      </c>
    </row>
    <row r="3558" spans="1:19" s="92" customFormat="1" ht="63.75">
      <c r="A3558" s="5">
        <v>3543</v>
      </c>
      <c r="B3558" s="15" t="s">
        <v>710</v>
      </c>
      <c r="C3558" s="40" t="s">
        <v>711</v>
      </c>
      <c r="D3558" s="40" t="s">
        <v>744</v>
      </c>
      <c r="E3558" s="31" t="s">
        <v>745</v>
      </c>
      <c r="F3558" s="31" t="s">
        <v>109</v>
      </c>
      <c r="G3558" s="31" t="s">
        <v>746</v>
      </c>
      <c r="H3558" s="40" t="s">
        <v>3205</v>
      </c>
      <c r="I3558" s="40" t="s">
        <v>3206</v>
      </c>
      <c r="J3558" s="40" t="s">
        <v>3207</v>
      </c>
      <c r="K3558" s="40" t="s">
        <v>591</v>
      </c>
      <c r="L3558" s="40" t="s">
        <v>644</v>
      </c>
      <c r="M3558" s="93">
        <f>6-2</f>
        <v>4</v>
      </c>
      <c r="N3558" s="94">
        <f>O3558/M3558</f>
        <v>4000</v>
      </c>
      <c r="O3558" s="94">
        <f>24000-8000</f>
        <v>16000</v>
      </c>
      <c r="P3558" s="40" t="s">
        <v>502</v>
      </c>
      <c r="Q3558" s="40" t="s">
        <v>1051</v>
      </c>
      <c r="R3558" s="84" t="s">
        <v>3254</v>
      </c>
      <c r="S3558" s="40">
        <v>100</v>
      </c>
    </row>
    <row r="3559" spans="1:19" s="92" customFormat="1" ht="51">
      <c r="A3559" s="5">
        <v>3544</v>
      </c>
      <c r="B3559" s="15" t="s">
        <v>710</v>
      </c>
      <c r="C3559" s="40" t="s">
        <v>711</v>
      </c>
      <c r="D3559" s="98" t="s">
        <v>422</v>
      </c>
      <c r="E3559" s="76" t="s">
        <v>423</v>
      </c>
      <c r="F3559" s="76" t="s">
        <v>427</v>
      </c>
      <c r="G3559" s="76" t="s">
        <v>837</v>
      </c>
      <c r="H3559" s="76" t="s">
        <v>425</v>
      </c>
      <c r="I3559" s="76" t="s">
        <v>3208</v>
      </c>
      <c r="J3559" s="76" t="s">
        <v>3209</v>
      </c>
      <c r="K3559" s="76" t="s">
        <v>591</v>
      </c>
      <c r="L3559" s="11" t="s">
        <v>909</v>
      </c>
      <c r="M3559" s="53">
        <v>18</v>
      </c>
      <c r="N3559" s="94">
        <v>640</v>
      </c>
      <c r="O3559" s="94">
        <f>N3559*M3559</f>
        <v>11520</v>
      </c>
      <c r="P3559" s="40" t="s">
        <v>502</v>
      </c>
      <c r="Q3559" s="40" t="s">
        <v>766</v>
      </c>
      <c r="R3559" s="84" t="s">
        <v>3254</v>
      </c>
      <c r="S3559" s="40">
        <v>100</v>
      </c>
    </row>
    <row r="3560" spans="1:19" s="92" customFormat="1" ht="76.5">
      <c r="A3560" s="5">
        <v>3545</v>
      </c>
      <c r="B3560" s="15" t="s">
        <v>710</v>
      </c>
      <c r="C3560" s="40" t="s">
        <v>711</v>
      </c>
      <c r="D3560" s="40" t="s">
        <v>723</v>
      </c>
      <c r="E3560" s="31" t="s">
        <v>874</v>
      </c>
      <c r="F3560" s="31" t="s">
        <v>874</v>
      </c>
      <c r="G3560" s="31" t="s">
        <v>875</v>
      </c>
      <c r="H3560" s="40" t="s">
        <v>876</v>
      </c>
      <c r="I3560" s="40" t="s">
        <v>3222</v>
      </c>
      <c r="J3560" s="40" t="s">
        <v>3211</v>
      </c>
      <c r="K3560" s="40" t="s">
        <v>591</v>
      </c>
      <c r="L3560" s="40" t="s">
        <v>644</v>
      </c>
      <c r="M3560" s="93">
        <v>1</v>
      </c>
      <c r="N3560" s="94">
        <v>30000</v>
      </c>
      <c r="O3560" s="94">
        <f>N3560*M3560</f>
        <v>30000</v>
      </c>
      <c r="P3560" s="40" t="s">
        <v>698</v>
      </c>
      <c r="Q3560" s="40" t="s">
        <v>1051</v>
      </c>
      <c r="R3560" s="84" t="s">
        <v>3254</v>
      </c>
      <c r="S3560" s="40">
        <v>100</v>
      </c>
    </row>
    <row r="3561" spans="1:19" s="92" customFormat="1" ht="51">
      <c r="A3561" s="5">
        <v>3546</v>
      </c>
      <c r="B3561" s="15" t="s">
        <v>710</v>
      </c>
      <c r="C3561" s="40" t="s">
        <v>597</v>
      </c>
      <c r="D3561" s="40" t="s">
        <v>3128</v>
      </c>
      <c r="E3561" s="31" t="s">
        <v>2620</v>
      </c>
      <c r="F3561" s="31" t="s">
        <v>1304</v>
      </c>
      <c r="G3561" s="31" t="s">
        <v>3129</v>
      </c>
      <c r="H3561" s="40" t="s">
        <v>3130</v>
      </c>
      <c r="I3561" s="40" t="s">
        <v>3131</v>
      </c>
      <c r="J3561" s="40" t="s">
        <v>3132</v>
      </c>
      <c r="K3561" s="40" t="s">
        <v>591</v>
      </c>
      <c r="L3561" s="11" t="s">
        <v>914</v>
      </c>
      <c r="M3561" s="93">
        <v>1</v>
      </c>
      <c r="N3561" s="94">
        <f>59000*11</f>
        <v>649000</v>
      </c>
      <c r="O3561" s="94">
        <f>N3561*M3561</f>
        <v>649000</v>
      </c>
      <c r="P3561" s="40" t="s">
        <v>3116</v>
      </c>
      <c r="Q3561" s="40" t="s">
        <v>766</v>
      </c>
      <c r="R3561" s="84" t="s">
        <v>3525</v>
      </c>
      <c r="S3561" s="40">
        <v>50</v>
      </c>
    </row>
    <row r="3562" spans="1:19" s="92" customFormat="1" ht="76.5">
      <c r="A3562" s="5">
        <v>3547</v>
      </c>
      <c r="B3562" s="15" t="s">
        <v>710</v>
      </c>
      <c r="C3562" s="40" t="s">
        <v>3117</v>
      </c>
      <c r="D3562" s="40" t="s">
        <v>532</v>
      </c>
      <c r="E3562" s="31" t="s">
        <v>3133</v>
      </c>
      <c r="F3562" s="31" t="s">
        <v>534</v>
      </c>
      <c r="G3562" s="31" t="s">
        <v>3133</v>
      </c>
      <c r="H3562" s="31" t="s">
        <v>534</v>
      </c>
      <c r="I3562" s="40" t="s">
        <v>3134</v>
      </c>
      <c r="J3562" s="40" t="s">
        <v>3135</v>
      </c>
      <c r="K3562" s="40" t="s">
        <v>591</v>
      </c>
      <c r="L3562" s="11" t="s">
        <v>914</v>
      </c>
      <c r="M3562" s="93">
        <v>1</v>
      </c>
      <c r="N3562" s="94">
        <f>11*30000</f>
        <v>330000</v>
      </c>
      <c r="O3562" s="94">
        <f>N3562*M3562</f>
        <v>330000</v>
      </c>
      <c r="P3562" s="40" t="s">
        <v>3116</v>
      </c>
      <c r="Q3562" s="40" t="s">
        <v>1051</v>
      </c>
      <c r="R3562" s="84" t="s">
        <v>3525</v>
      </c>
      <c r="S3562" s="40">
        <v>50</v>
      </c>
    </row>
    <row r="3563" spans="1:19" s="92" customFormat="1" ht="51">
      <c r="A3563" s="5">
        <v>3548</v>
      </c>
      <c r="B3563" s="15" t="s">
        <v>710</v>
      </c>
      <c r="C3563" s="40" t="s">
        <v>2433</v>
      </c>
      <c r="D3563" s="40" t="s">
        <v>3136</v>
      </c>
      <c r="E3563" s="40" t="s">
        <v>466</v>
      </c>
      <c r="F3563" s="40" t="s">
        <v>25</v>
      </c>
      <c r="G3563" s="40" t="s">
        <v>3212</v>
      </c>
      <c r="H3563" s="40" t="s">
        <v>467</v>
      </c>
      <c r="I3563" s="40" t="s">
        <v>3137</v>
      </c>
      <c r="J3563" s="40" t="s">
        <v>3138</v>
      </c>
      <c r="K3563" s="40" t="s">
        <v>591</v>
      </c>
      <c r="L3563" s="95" t="s">
        <v>644</v>
      </c>
      <c r="M3563" s="93">
        <f>5*22</f>
        <v>110</v>
      </c>
      <c r="N3563" s="94">
        <v>40</v>
      </c>
      <c r="O3563" s="94">
        <f>N3563*M3563</f>
        <v>4400</v>
      </c>
      <c r="P3563" s="40" t="s">
        <v>3139</v>
      </c>
      <c r="Q3563" s="40" t="s">
        <v>766</v>
      </c>
      <c r="R3563" s="84" t="s">
        <v>3525</v>
      </c>
      <c r="S3563" s="40">
        <v>0</v>
      </c>
    </row>
    <row r="3564" spans="1:19" s="92" customFormat="1" ht="51">
      <c r="A3564" s="5">
        <v>3549</v>
      </c>
      <c r="B3564" s="15" t="s">
        <v>710</v>
      </c>
      <c r="C3564" s="40" t="s">
        <v>2433</v>
      </c>
      <c r="D3564" s="40" t="s">
        <v>3140</v>
      </c>
      <c r="E3564" s="40" t="s">
        <v>3141</v>
      </c>
      <c r="F3564" s="40" t="s">
        <v>3142</v>
      </c>
      <c r="G3564" s="40" t="s">
        <v>3213</v>
      </c>
      <c r="H3564" s="40" t="s">
        <v>3214</v>
      </c>
      <c r="I3564" s="40" t="s">
        <v>3143</v>
      </c>
      <c r="J3564" s="40" t="s">
        <v>3144</v>
      </c>
      <c r="K3564" s="40" t="s">
        <v>591</v>
      </c>
      <c r="L3564" s="95" t="s">
        <v>644</v>
      </c>
      <c r="M3564" s="93">
        <f>22*2</f>
        <v>44</v>
      </c>
      <c r="N3564" s="94">
        <v>170</v>
      </c>
      <c r="O3564" s="94">
        <f t="shared" ref="O3564:O3581" si="84">N3564*M3564</f>
        <v>7480</v>
      </c>
      <c r="P3564" s="40" t="s">
        <v>3139</v>
      </c>
      <c r="Q3564" s="40" t="s">
        <v>766</v>
      </c>
      <c r="R3564" s="84" t="s">
        <v>3525</v>
      </c>
      <c r="S3564" s="40">
        <v>0</v>
      </c>
    </row>
    <row r="3565" spans="1:19" s="92" customFormat="1" ht="51">
      <c r="A3565" s="5">
        <v>3550</v>
      </c>
      <c r="B3565" s="15" t="s">
        <v>710</v>
      </c>
      <c r="C3565" s="40" t="s">
        <v>2433</v>
      </c>
      <c r="D3565" s="40" t="s">
        <v>452</v>
      </c>
      <c r="E3565" s="40" t="s">
        <v>453</v>
      </c>
      <c r="F3565" s="40" t="s">
        <v>454</v>
      </c>
      <c r="G3565" s="40" t="s">
        <v>455</v>
      </c>
      <c r="H3565" s="40" t="s">
        <v>456</v>
      </c>
      <c r="I3565" s="40" t="s">
        <v>3145</v>
      </c>
      <c r="J3565" s="40" t="s">
        <v>3146</v>
      </c>
      <c r="K3565" s="40" t="s">
        <v>591</v>
      </c>
      <c r="L3565" s="95" t="s">
        <v>480</v>
      </c>
      <c r="M3565" s="93">
        <f>5*22</f>
        <v>110</v>
      </c>
      <c r="N3565" s="94">
        <v>155</v>
      </c>
      <c r="O3565" s="94">
        <f t="shared" si="84"/>
        <v>17050</v>
      </c>
      <c r="P3565" s="40" t="s">
        <v>3139</v>
      </c>
      <c r="Q3565" s="40" t="s">
        <v>766</v>
      </c>
      <c r="R3565" s="84" t="s">
        <v>3525</v>
      </c>
      <c r="S3565" s="40">
        <v>0</v>
      </c>
    </row>
    <row r="3566" spans="1:19" s="92" customFormat="1" ht="51">
      <c r="A3566" s="5">
        <v>3551</v>
      </c>
      <c r="B3566" s="15" t="s">
        <v>710</v>
      </c>
      <c r="C3566" s="40" t="s">
        <v>2433</v>
      </c>
      <c r="D3566" s="40" t="s">
        <v>452</v>
      </c>
      <c r="E3566" s="40" t="s">
        <v>453</v>
      </c>
      <c r="F3566" s="40" t="s">
        <v>454</v>
      </c>
      <c r="G3566" s="40" t="s">
        <v>455</v>
      </c>
      <c r="H3566" s="40" t="s">
        <v>456</v>
      </c>
      <c r="I3566" s="40" t="s">
        <v>3147</v>
      </c>
      <c r="J3566" s="40" t="s">
        <v>3148</v>
      </c>
      <c r="K3566" s="40" t="s">
        <v>591</v>
      </c>
      <c r="L3566" s="95" t="s">
        <v>480</v>
      </c>
      <c r="M3566" s="93">
        <f>5*22</f>
        <v>110</v>
      </c>
      <c r="N3566" s="94">
        <v>200</v>
      </c>
      <c r="O3566" s="94">
        <f t="shared" si="84"/>
        <v>22000</v>
      </c>
      <c r="P3566" s="40" t="s">
        <v>3139</v>
      </c>
      <c r="Q3566" s="40" t="s">
        <v>766</v>
      </c>
      <c r="R3566" s="84" t="s">
        <v>3525</v>
      </c>
      <c r="S3566" s="40">
        <v>0</v>
      </c>
    </row>
    <row r="3567" spans="1:19" s="92" customFormat="1" ht="51">
      <c r="A3567" s="5">
        <v>3552</v>
      </c>
      <c r="B3567" s="15" t="s">
        <v>710</v>
      </c>
      <c r="C3567" s="40" t="s">
        <v>2433</v>
      </c>
      <c r="D3567" s="40" t="s">
        <v>432</v>
      </c>
      <c r="E3567" s="40" t="s">
        <v>433</v>
      </c>
      <c r="F3567" s="40" t="s">
        <v>434</v>
      </c>
      <c r="G3567" s="40" t="s">
        <v>435</v>
      </c>
      <c r="H3567" s="40" t="s">
        <v>436</v>
      </c>
      <c r="I3567" s="40" t="s">
        <v>3149</v>
      </c>
      <c r="J3567" s="40" t="s">
        <v>3150</v>
      </c>
      <c r="K3567" s="40" t="s">
        <v>591</v>
      </c>
      <c r="L3567" s="95" t="s">
        <v>644</v>
      </c>
      <c r="M3567" s="93">
        <f>5*22</f>
        <v>110</v>
      </c>
      <c r="N3567" s="94">
        <v>250</v>
      </c>
      <c r="O3567" s="94">
        <f t="shared" si="84"/>
        <v>27500</v>
      </c>
      <c r="P3567" s="40" t="s">
        <v>3139</v>
      </c>
      <c r="Q3567" s="40" t="s">
        <v>766</v>
      </c>
      <c r="R3567" s="84" t="s">
        <v>3525</v>
      </c>
      <c r="S3567" s="40">
        <v>0</v>
      </c>
    </row>
    <row r="3568" spans="1:19" s="92" customFormat="1" ht="51">
      <c r="A3568" s="5">
        <v>3553</v>
      </c>
      <c r="B3568" s="15" t="s">
        <v>710</v>
      </c>
      <c r="C3568" s="40" t="s">
        <v>2433</v>
      </c>
      <c r="D3568" s="40" t="s">
        <v>447</v>
      </c>
      <c r="E3568" s="40" t="s">
        <v>24</v>
      </c>
      <c r="F3568" s="40" t="s">
        <v>24</v>
      </c>
      <c r="G3568" s="40" t="s">
        <v>3215</v>
      </c>
      <c r="H3568" s="40" t="s">
        <v>448</v>
      </c>
      <c r="I3568" s="40" t="s">
        <v>3151</v>
      </c>
      <c r="J3568" s="40" t="s">
        <v>3152</v>
      </c>
      <c r="K3568" s="40" t="s">
        <v>591</v>
      </c>
      <c r="L3568" s="95" t="s">
        <v>644</v>
      </c>
      <c r="M3568" s="93">
        <f>22*3</f>
        <v>66</v>
      </c>
      <c r="N3568" s="94">
        <v>250</v>
      </c>
      <c r="O3568" s="94">
        <f t="shared" si="84"/>
        <v>16500</v>
      </c>
      <c r="P3568" s="40" t="s">
        <v>3139</v>
      </c>
      <c r="Q3568" s="40" t="s">
        <v>766</v>
      </c>
      <c r="R3568" s="84" t="s">
        <v>3525</v>
      </c>
      <c r="S3568" s="40">
        <v>0</v>
      </c>
    </row>
    <row r="3569" spans="1:19" s="92" customFormat="1" ht="51">
      <c r="A3569" s="5">
        <v>3554</v>
      </c>
      <c r="B3569" s="15" t="s">
        <v>710</v>
      </c>
      <c r="C3569" s="40" t="s">
        <v>2433</v>
      </c>
      <c r="D3569" s="40" t="s">
        <v>449</v>
      </c>
      <c r="E3569" s="40" t="s">
        <v>450</v>
      </c>
      <c r="F3569" s="40" t="s">
        <v>450</v>
      </c>
      <c r="G3569" s="40" t="s">
        <v>3216</v>
      </c>
      <c r="H3569" s="40" t="s">
        <v>451</v>
      </c>
      <c r="I3569" s="40" t="s">
        <v>3153</v>
      </c>
      <c r="J3569" s="40" t="s">
        <v>3154</v>
      </c>
      <c r="K3569" s="40" t="s">
        <v>591</v>
      </c>
      <c r="L3569" s="95" t="s">
        <v>480</v>
      </c>
      <c r="M3569" s="93">
        <f>22*3</f>
        <v>66</v>
      </c>
      <c r="N3569" s="94">
        <v>250</v>
      </c>
      <c r="O3569" s="94">
        <f t="shared" si="84"/>
        <v>16500</v>
      </c>
      <c r="P3569" s="40" t="s">
        <v>3139</v>
      </c>
      <c r="Q3569" s="40" t="s">
        <v>766</v>
      </c>
      <c r="R3569" s="84" t="s">
        <v>3525</v>
      </c>
      <c r="S3569" s="40">
        <v>0</v>
      </c>
    </row>
    <row r="3570" spans="1:19" s="92" customFormat="1" ht="51">
      <c r="A3570" s="5">
        <v>3555</v>
      </c>
      <c r="B3570" s="15" t="s">
        <v>710</v>
      </c>
      <c r="C3570" s="40" t="s">
        <v>2433</v>
      </c>
      <c r="D3570" s="40" t="s">
        <v>3155</v>
      </c>
      <c r="E3570" s="40" t="s">
        <v>3156</v>
      </c>
      <c r="F3570" s="40" t="s">
        <v>3157</v>
      </c>
      <c r="G3570" s="40" t="s">
        <v>3217</v>
      </c>
      <c r="H3570" s="40" t="s">
        <v>3218</v>
      </c>
      <c r="I3570" s="40" t="s">
        <v>3158</v>
      </c>
      <c r="J3570" s="40" t="s">
        <v>3159</v>
      </c>
      <c r="K3570" s="40" t="s">
        <v>591</v>
      </c>
      <c r="L3570" s="95" t="s">
        <v>644</v>
      </c>
      <c r="M3570" s="93">
        <f>22*2</f>
        <v>44</v>
      </c>
      <c r="N3570" s="94">
        <v>150</v>
      </c>
      <c r="O3570" s="94">
        <f t="shared" si="84"/>
        <v>6600</v>
      </c>
      <c r="P3570" s="40" t="s">
        <v>3139</v>
      </c>
      <c r="Q3570" s="40" t="s">
        <v>766</v>
      </c>
      <c r="R3570" s="84" t="s">
        <v>3525</v>
      </c>
      <c r="S3570" s="40">
        <v>0</v>
      </c>
    </row>
    <row r="3571" spans="1:19" s="92" customFormat="1" ht="51">
      <c r="A3571" s="5">
        <v>3556</v>
      </c>
      <c r="B3571" s="15" t="s">
        <v>710</v>
      </c>
      <c r="C3571" s="40" t="s">
        <v>2433</v>
      </c>
      <c r="D3571" s="40" t="s">
        <v>437</v>
      </c>
      <c r="E3571" s="40" t="s">
        <v>20</v>
      </c>
      <c r="F3571" s="40" t="s">
        <v>20</v>
      </c>
      <c r="G3571" s="40" t="s">
        <v>438</v>
      </c>
      <c r="H3571" s="40" t="s">
        <v>439</v>
      </c>
      <c r="I3571" s="40" t="s">
        <v>3160</v>
      </c>
      <c r="J3571" s="40" t="s">
        <v>3161</v>
      </c>
      <c r="K3571" s="40" t="s">
        <v>591</v>
      </c>
      <c r="L3571" s="95" t="s">
        <v>644</v>
      </c>
      <c r="M3571" s="93">
        <f>5*22</f>
        <v>110</v>
      </c>
      <c r="N3571" s="94">
        <v>100</v>
      </c>
      <c r="O3571" s="94">
        <f t="shared" si="84"/>
        <v>11000</v>
      </c>
      <c r="P3571" s="40" t="s">
        <v>3139</v>
      </c>
      <c r="Q3571" s="40" t="s">
        <v>766</v>
      </c>
      <c r="R3571" s="84" t="s">
        <v>3525</v>
      </c>
      <c r="S3571" s="40">
        <v>0</v>
      </c>
    </row>
    <row r="3572" spans="1:19" s="92" customFormat="1" ht="51">
      <c r="A3572" s="5">
        <v>3557</v>
      </c>
      <c r="B3572" s="15" t="s">
        <v>710</v>
      </c>
      <c r="C3572" s="40" t="s">
        <v>2433</v>
      </c>
      <c r="D3572" s="40" t="s">
        <v>3162</v>
      </c>
      <c r="E3572" s="40" t="s">
        <v>3163</v>
      </c>
      <c r="F3572" s="40" t="s">
        <v>3164</v>
      </c>
      <c r="G3572" s="31" t="s">
        <v>3219</v>
      </c>
      <c r="H3572" s="40" t="s">
        <v>3220</v>
      </c>
      <c r="I3572" s="40" t="s">
        <v>3165</v>
      </c>
      <c r="J3572" s="40" t="s">
        <v>3166</v>
      </c>
      <c r="K3572" s="40" t="s">
        <v>591</v>
      </c>
      <c r="L3572" s="95" t="s">
        <v>480</v>
      </c>
      <c r="M3572" s="93">
        <f>5*22</f>
        <v>110</v>
      </c>
      <c r="N3572" s="94">
        <v>500</v>
      </c>
      <c r="O3572" s="94">
        <f t="shared" si="84"/>
        <v>55000</v>
      </c>
      <c r="P3572" s="40" t="s">
        <v>3139</v>
      </c>
      <c r="Q3572" s="40" t="s">
        <v>766</v>
      </c>
      <c r="R3572" s="84" t="s">
        <v>3525</v>
      </c>
      <c r="S3572" s="40">
        <v>0</v>
      </c>
    </row>
    <row r="3573" spans="1:19" s="92" customFormat="1" ht="51">
      <c r="A3573" s="5">
        <v>3558</v>
      </c>
      <c r="B3573" s="15" t="s">
        <v>710</v>
      </c>
      <c r="C3573" s="40" t="s">
        <v>2433</v>
      </c>
      <c r="D3573" s="40" t="s">
        <v>440</v>
      </c>
      <c r="E3573" s="40" t="s">
        <v>21</v>
      </c>
      <c r="F3573" s="40" t="s">
        <v>21</v>
      </c>
      <c r="G3573" s="31" t="s">
        <v>441</v>
      </c>
      <c r="H3573" s="40" t="s">
        <v>442</v>
      </c>
      <c r="I3573" s="40" t="s">
        <v>3167</v>
      </c>
      <c r="J3573" s="40" t="s">
        <v>3168</v>
      </c>
      <c r="K3573" s="40" t="s">
        <v>591</v>
      </c>
      <c r="L3573" s="95" t="s">
        <v>644</v>
      </c>
      <c r="M3573" s="93">
        <f t="shared" ref="M3573:M3578" si="85">1*22</f>
        <v>22</v>
      </c>
      <c r="N3573" s="94">
        <v>1500</v>
      </c>
      <c r="O3573" s="94">
        <f t="shared" si="84"/>
        <v>33000</v>
      </c>
      <c r="P3573" s="40" t="s">
        <v>3139</v>
      </c>
      <c r="Q3573" s="40" t="s">
        <v>766</v>
      </c>
      <c r="R3573" s="84" t="s">
        <v>3525</v>
      </c>
      <c r="S3573" s="40">
        <v>0</v>
      </c>
    </row>
    <row r="3574" spans="1:19" s="92" customFormat="1" ht="127.5">
      <c r="A3574" s="5">
        <v>3559</v>
      </c>
      <c r="B3574" s="15" t="s">
        <v>710</v>
      </c>
      <c r="C3574" s="40" t="s">
        <v>2433</v>
      </c>
      <c r="D3574" s="40" t="s">
        <v>470</v>
      </c>
      <c r="E3574" s="40" t="s">
        <v>27</v>
      </c>
      <c r="F3574" s="40" t="s">
        <v>27</v>
      </c>
      <c r="G3574" s="31" t="s">
        <v>471</v>
      </c>
      <c r="H3574" s="40" t="s">
        <v>472</v>
      </c>
      <c r="I3574" s="40" t="s">
        <v>3169</v>
      </c>
      <c r="J3574" s="40" t="s">
        <v>3170</v>
      </c>
      <c r="K3574" s="40" t="s">
        <v>591</v>
      </c>
      <c r="L3574" s="95" t="s">
        <v>644</v>
      </c>
      <c r="M3574" s="93">
        <f t="shared" si="85"/>
        <v>22</v>
      </c>
      <c r="N3574" s="94">
        <v>3500</v>
      </c>
      <c r="O3574" s="94">
        <f t="shared" si="84"/>
        <v>77000</v>
      </c>
      <c r="P3574" s="40" t="s">
        <v>3139</v>
      </c>
      <c r="Q3574" s="40" t="s">
        <v>766</v>
      </c>
      <c r="R3574" s="84" t="s">
        <v>3525</v>
      </c>
      <c r="S3574" s="40">
        <v>0</v>
      </c>
    </row>
    <row r="3575" spans="1:19" s="92" customFormat="1" ht="76.5">
      <c r="A3575" s="5">
        <v>3560</v>
      </c>
      <c r="B3575" s="15" t="s">
        <v>710</v>
      </c>
      <c r="C3575" s="40" t="s">
        <v>2433</v>
      </c>
      <c r="D3575" s="40" t="s">
        <v>3171</v>
      </c>
      <c r="E3575" s="40" t="s">
        <v>3172</v>
      </c>
      <c r="F3575" s="40" t="s">
        <v>3172</v>
      </c>
      <c r="G3575" s="40" t="s">
        <v>3173</v>
      </c>
      <c r="H3575" s="40" t="s">
        <v>3174</v>
      </c>
      <c r="I3575" s="40" t="s">
        <v>3175</v>
      </c>
      <c r="J3575" s="40" t="s">
        <v>3176</v>
      </c>
      <c r="K3575" s="40" t="s">
        <v>591</v>
      </c>
      <c r="L3575" s="95" t="s">
        <v>644</v>
      </c>
      <c r="M3575" s="93">
        <f t="shared" si="85"/>
        <v>22</v>
      </c>
      <c r="N3575" s="94">
        <v>150</v>
      </c>
      <c r="O3575" s="94">
        <f t="shared" si="84"/>
        <v>3300</v>
      </c>
      <c r="P3575" s="40" t="s">
        <v>3139</v>
      </c>
      <c r="Q3575" s="40" t="s">
        <v>766</v>
      </c>
      <c r="R3575" s="84" t="s">
        <v>3525</v>
      </c>
      <c r="S3575" s="40">
        <v>0</v>
      </c>
    </row>
    <row r="3576" spans="1:19" s="92" customFormat="1" ht="51">
      <c r="A3576" s="5">
        <v>3561</v>
      </c>
      <c r="B3576" s="15" t="s">
        <v>710</v>
      </c>
      <c r="C3576" s="40" t="s">
        <v>2433</v>
      </c>
      <c r="D3576" s="40" t="s">
        <v>457</v>
      </c>
      <c r="E3576" s="40" t="s">
        <v>17</v>
      </c>
      <c r="F3576" s="40" t="s">
        <v>17</v>
      </c>
      <c r="G3576" s="40" t="s">
        <v>3177</v>
      </c>
      <c r="H3576" s="40" t="s">
        <v>458</v>
      </c>
      <c r="I3576" s="40" t="s">
        <v>3178</v>
      </c>
      <c r="J3576" s="40" t="s">
        <v>3179</v>
      </c>
      <c r="K3576" s="40" t="s">
        <v>591</v>
      </c>
      <c r="L3576" s="95" t="s">
        <v>644</v>
      </c>
      <c r="M3576" s="93">
        <f t="shared" si="85"/>
        <v>22</v>
      </c>
      <c r="N3576" s="94">
        <v>600</v>
      </c>
      <c r="O3576" s="94">
        <f t="shared" si="84"/>
        <v>13200</v>
      </c>
      <c r="P3576" s="40" t="s">
        <v>3139</v>
      </c>
      <c r="Q3576" s="40" t="s">
        <v>766</v>
      </c>
      <c r="R3576" s="84" t="s">
        <v>3525</v>
      </c>
      <c r="S3576" s="40">
        <v>0</v>
      </c>
    </row>
    <row r="3577" spans="1:19" s="92" customFormat="1" ht="51">
      <c r="A3577" s="5">
        <v>3562</v>
      </c>
      <c r="B3577" s="15" t="s">
        <v>710</v>
      </c>
      <c r="C3577" s="40" t="s">
        <v>2433</v>
      </c>
      <c r="D3577" s="40" t="s">
        <v>457</v>
      </c>
      <c r="E3577" s="40" t="s">
        <v>17</v>
      </c>
      <c r="F3577" s="40" t="s">
        <v>17</v>
      </c>
      <c r="G3577" s="40" t="s">
        <v>3177</v>
      </c>
      <c r="H3577" s="40" t="s">
        <v>458</v>
      </c>
      <c r="I3577" s="40" t="s">
        <v>3180</v>
      </c>
      <c r="J3577" s="40" t="s">
        <v>3181</v>
      </c>
      <c r="K3577" s="40" t="s">
        <v>591</v>
      </c>
      <c r="L3577" s="95" t="s">
        <v>644</v>
      </c>
      <c r="M3577" s="93">
        <f t="shared" si="85"/>
        <v>22</v>
      </c>
      <c r="N3577" s="94">
        <v>800</v>
      </c>
      <c r="O3577" s="94">
        <f t="shared" si="84"/>
        <v>17600</v>
      </c>
      <c r="P3577" s="40" t="s">
        <v>3139</v>
      </c>
      <c r="Q3577" s="40" t="s">
        <v>766</v>
      </c>
      <c r="R3577" s="84" t="s">
        <v>3525</v>
      </c>
      <c r="S3577" s="40">
        <v>0</v>
      </c>
    </row>
    <row r="3578" spans="1:19" s="92" customFormat="1" ht="51">
      <c r="A3578" s="5">
        <v>3563</v>
      </c>
      <c r="B3578" s="15" t="s">
        <v>710</v>
      </c>
      <c r="C3578" s="40" t="s">
        <v>2433</v>
      </c>
      <c r="D3578" s="40" t="s">
        <v>476</v>
      </c>
      <c r="E3578" s="40" t="s">
        <v>477</v>
      </c>
      <c r="F3578" s="40" t="s">
        <v>28</v>
      </c>
      <c r="G3578" s="40" t="s">
        <v>478</v>
      </c>
      <c r="H3578" s="40" t="s">
        <v>479</v>
      </c>
      <c r="I3578" s="40" t="s">
        <v>3182</v>
      </c>
      <c r="J3578" s="40" t="s">
        <v>3183</v>
      </c>
      <c r="K3578" s="40" t="s">
        <v>591</v>
      </c>
      <c r="L3578" s="95" t="s">
        <v>644</v>
      </c>
      <c r="M3578" s="93">
        <f t="shared" si="85"/>
        <v>22</v>
      </c>
      <c r="N3578" s="94">
        <v>1500</v>
      </c>
      <c r="O3578" s="94">
        <f t="shared" si="84"/>
        <v>33000</v>
      </c>
      <c r="P3578" s="40" t="s">
        <v>3139</v>
      </c>
      <c r="Q3578" s="40" t="s">
        <v>766</v>
      </c>
      <c r="R3578" s="84" t="s">
        <v>3525</v>
      </c>
      <c r="S3578" s="40">
        <v>0</v>
      </c>
    </row>
    <row r="3579" spans="1:19" s="92" customFormat="1" ht="51">
      <c r="A3579" s="5">
        <v>3564</v>
      </c>
      <c r="B3579" s="15" t="s">
        <v>710</v>
      </c>
      <c r="C3579" s="40" t="s">
        <v>2433</v>
      </c>
      <c r="D3579" s="40" t="s">
        <v>468</v>
      </c>
      <c r="E3579" s="40" t="s">
        <v>3184</v>
      </c>
      <c r="F3579" s="40" t="s">
        <v>26</v>
      </c>
      <c r="G3579" s="40" t="s">
        <v>3185</v>
      </c>
      <c r="H3579" s="40" t="s">
        <v>469</v>
      </c>
      <c r="I3579" s="40" t="s">
        <v>3186</v>
      </c>
      <c r="J3579" s="40" t="s">
        <v>3187</v>
      </c>
      <c r="K3579" s="40" t="s">
        <v>591</v>
      </c>
      <c r="L3579" s="95" t="s">
        <v>644</v>
      </c>
      <c r="M3579" s="93">
        <f>5*22</f>
        <v>110</v>
      </c>
      <c r="N3579" s="94">
        <v>250</v>
      </c>
      <c r="O3579" s="94">
        <f t="shared" si="84"/>
        <v>27500</v>
      </c>
      <c r="P3579" s="40" t="s">
        <v>3139</v>
      </c>
      <c r="Q3579" s="40" t="s">
        <v>766</v>
      </c>
      <c r="R3579" s="84" t="s">
        <v>3525</v>
      </c>
      <c r="S3579" s="40">
        <v>0</v>
      </c>
    </row>
    <row r="3580" spans="1:19" s="92" customFormat="1" ht="51">
      <c r="A3580" s="5">
        <v>3565</v>
      </c>
      <c r="B3580" s="15" t="s">
        <v>710</v>
      </c>
      <c r="C3580" s="40" t="s">
        <v>2433</v>
      </c>
      <c r="D3580" s="40" t="s">
        <v>443</v>
      </c>
      <c r="E3580" s="40" t="s">
        <v>444</v>
      </c>
      <c r="F3580" s="40" t="s">
        <v>444</v>
      </c>
      <c r="G3580" s="40" t="s">
        <v>445</v>
      </c>
      <c r="H3580" s="40" t="s">
        <v>446</v>
      </c>
      <c r="I3580" s="40" t="s">
        <v>3188</v>
      </c>
      <c r="J3580" s="40" t="s">
        <v>3189</v>
      </c>
      <c r="K3580" s="40" t="s">
        <v>591</v>
      </c>
      <c r="L3580" s="95" t="s">
        <v>644</v>
      </c>
      <c r="M3580" s="93">
        <f>5*22</f>
        <v>110</v>
      </c>
      <c r="N3580" s="94">
        <v>500</v>
      </c>
      <c r="O3580" s="94">
        <f t="shared" si="84"/>
        <v>55000</v>
      </c>
      <c r="P3580" s="40" t="s">
        <v>3139</v>
      </c>
      <c r="Q3580" s="40" t="s">
        <v>766</v>
      </c>
      <c r="R3580" s="84" t="s">
        <v>3525</v>
      </c>
      <c r="S3580" s="40">
        <v>0</v>
      </c>
    </row>
    <row r="3581" spans="1:19" s="92" customFormat="1" ht="51">
      <c r="A3581" s="5">
        <v>3566</v>
      </c>
      <c r="B3581" s="15" t="s">
        <v>710</v>
      </c>
      <c r="C3581" s="40" t="s">
        <v>711</v>
      </c>
      <c r="D3581" s="40" t="s">
        <v>3190</v>
      </c>
      <c r="E3581" s="31" t="s">
        <v>3191</v>
      </c>
      <c r="F3581" s="31" t="s">
        <v>3192</v>
      </c>
      <c r="G3581" s="40" t="s">
        <v>3264</v>
      </c>
      <c r="H3581" s="40" t="s">
        <v>3264</v>
      </c>
      <c r="I3581" s="31" t="s">
        <v>3193</v>
      </c>
      <c r="J3581" s="31" t="s">
        <v>3194</v>
      </c>
      <c r="K3581" s="40" t="s">
        <v>591</v>
      </c>
      <c r="L3581" s="95" t="s">
        <v>644</v>
      </c>
      <c r="M3581" s="93">
        <f>1*22</f>
        <v>22</v>
      </c>
      <c r="N3581" s="94">
        <v>1200</v>
      </c>
      <c r="O3581" s="94">
        <f t="shared" si="84"/>
        <v>26400</v>
      </c>
      <c r="P3581" s="40" t="s">
        <v>3139</v>
      </c>
      <c r="Q3581" s="40" t="s">
        <v>766</v>
      </c>
      <c r="R3581" s="84" t="s">
        <v>3525</v>
      </c>
      <c r="S3581" s="40">
        <v>0</v>
      </c>
    </row>
    <row r="3582" spans="1:19" s="92" customFormat="1" ht="89.25">
      <c r="A3582" s="5">
        <v>3567</v>
      </c>
      <c r="B3582" s="15" t="s">
        <v>710</v>
      </c>
      <c r="C3582" s="40" t="s">
        <v>597</v>
      </c>
      <c r="D3582" s="40" t="s">
        <v>598</v>
      </c>
      <c r="E3582" s="31" t="s">
        <v>599</v>
      </c>
      <c r="F3582" s="31" t="s">
        <v>782</v>
      </c>
      <c r="G3582" s="31" t="s">
        <v>3195</v>
      </c>
      <c r="H3582" s="40" t="s">
        <v>602</v>
      </c>
      <c r="I3582" s="40" t="s">
        <v>3196</v>
      </c>
      <c r="J3582" s="40" t="s">
        <v>3197</v>
      </c>
      <c r="K3582" s="40" t="s">
        <v>591</v>
      </c>
      <c r="L3582" s="11" t="s">
        <v>914</v>
      </c>
      <c r="M3582" s="93">
        <v>1</v>
      </c>
      <c r="N3582" s="94">
        <v>624400</v>
      </c>
      <c r="O3582" s="94">
        <v>624400</v>
      </c>
      <c r="P3582" s="40" t="s">
        <v>502</v>
      </c>
      <c r="Q3582" s="40" t="s">
        <v>766</v>
      </c>
      <c r="R3582" s="84" t="s">
        <v>3524</v>
      </c>
      <c r="S3582" s="40">
        <v>0</v>
      </c>
    </row>
    <row r="3583" spans="1:19" s="92" customFormat="1" ht="89.25">
      <c r="A3583" s="5">
        <v>3568</v>
      </c>
      <c r="B3583" s="15" t="s">
        <v>710</v>
      </c>
      <c r="C3583" s="40" t="s">
        <v>597</v>
      </c>
      <c r="D3583" s="40" t="s">
        <v>598</v>
      </c>
      <c r="E3583" s="31" t="s">
        <v>599</v>
      </c>
      <c r="F3583" s="31" t="s">
        <v>782</v>
      </c>
      <c r="G3583" s="31" t="s">
        <v>3195</v>
      </c>
      <c r="H3583" s="40" t="s">
        <v>602</v>
      </c>
      <c r="I3583" s="40" t="s">
        <v>3196</v>
      </c>
      <c r="J3583" s="40" t="s">
        <v>3197</v>
      </c>
      <c r="K3583" s="40" t="s">
        <v>591</v>
      </c>
      <c r="L3583" s="11" t="s">
        <v>914</v>
      </c>
      <c r="M3583" s="93">
        <v>1</v>
      </c>
      <c r="N3583" s="94">
        <f>O3583/M3583</f>
        <v>446000</v>
      </c>
      <c r="O3583" s="94">
        <f>624400-178400</f>
        <v>446000</v>
      </c>
      <c r="P3583" s="40" t="s">
        <v>699</v>
      </c>
      <c r="Q3583" s="40" t="s">
        <v>766</v>
      </c>
      <c r="R3583" s="84" t="s">
        <v>3524</v>
      </c>
      <c r="S3583" s="40">
        <v>0</v>
      </c>
    </row>
    <row r="3584" spans="1:19" s="92" customFormat="1" ht="51">
      <c r="A3584" s="5">
        <v>3569</v>
      </c>
      <c r="B3584" s="15" t="s">
        <v>710</v>
      </c>
      <c r="C3584" s="40" t="s">
        <v>597</v>
      </c>
      <c r="D3584" s="11" t="s">
        <v>850</v>
      </c>
      <c r="E3584" s="76" t="s">
        <v>1736</v>
      </c>
      <c r="F3584" s="76" t="s">
        <v>851</v>
      </c>
      <c r="G3584" s="76" t="s">
        <v>1737</v>
      </c>
      <c r="H3584" s="76" t="s">
        <v>852</v>
      </c>
      <c r="I3584" s="76" t="s">
        <v>3199</v>
      </c>
      <c r="J3584" s="76" t="s">
        <v>3200</v>
      </c>
      <c r="K3584" s="40" t="s">
        <v>591</v>
      </c>
      <c r="L3584" s="11" t="s">
        <v>914</v>
      </c>
      <c r="M3584" s="97">
        <v>1</v>
      </c>
      <c r="N3584" s="94">
        <f>10000*5</f>
        <v>50000</v>
      </c>
      <c r="O3584" s="94">
        <f>N3584</f>
        <v>50000</v>
      </c>
      <c r="P3584" s="40" t="s">
        <v>698</v>
      </c>
      <c r="Q3584" s="40" t="s">
        <v>766</v>
      </c>
      <c r="R3584" s="84" t="s">
        <v>3524</v>
      </c>
      <c r="S3584" s="40">
        <v>0</v>
      </c>
    </row>
    <row r="3585" spans="1:19" s="92" customFormat="1" ht="51">
      <c r="A3585" s="5">
        <v>3570</v>
      </c>
      <c r="B3585" s="15" t="s">
        <v>710</v>
      </c>
      <c r="C3585" s="40" t="s">
        <v>597</v>
      </c>
      <c r="D3585" s="40" t="s">
        <v>2594</v>
      </c>
      <c r="E3585" s="31" t="s">
        <v>2618</v>
      </c>
      <c r="F3585" s="31" t="s">
        <v>2595</v>
      </c>
      <c r="G3585" s="31" t="s">
        <v>2618</v>
      </c>
      <c r="H3585" s="40" t="s">
        <v>2595</v>
      </c>
      <c r="I3585" s="40" t="s">
        <v>3201</v>
      </c>
      <c r="J3585" s="40" t="s">
        <v>3202</v>
      </c>
      <c r="K3585" s="40" t="s">
        <v>591</v>
      </c>
      <c r="L3585" s="11" t="s">
        <v>914</v>
      </c>
      <c r="M3585" s="93">
        <v>1</v>
      </c>
      <c r="N3585" s="94">
        <f>10500*3</f>
        <v>31500</v>
      </c>
      <c r="O3585" s="94">
        <f>N3585</f>
        <v>31500</v>
      </c>
      <c r="P3585" s="40" t="s">
        <v>3116</v>
      </c>
      <c r="Q3585" s="40" t="s">
        <v>766</v>
      </c>
      <c r="R3585" s="84" t="s">
        <v>3524</v>
      </c>
      <c r="S3585" s="40">
        <v>30</v>
      </c>
    </row>
    <row r="3586" spans="1:19" s="92" customFormat="1" ht="89.25">
      <c r="A3586" s="5">
        <v>3571</v>
      </c>
      <c r="B3586" s="15" t="s">
        <v>710</v>
      </c>
      <c r="C3586" s="40" t="s">
        <v>711</v>
      </c>
      <c r="D3586" s="40" t="s">
        <v>976</v>
      </c>
      <c r="E3586" s="31" t="s">
        <v>730</v>
      </c>
      <c r="F3586" s="31" t="s">
        <v>731</v>
      </c>
      <c r="G3586" s="31" t="s">
        <v>977</v>
      </c>
      <c r="H3586" s="40" t="s">
        <v>978</v>
      </c>
      <c r="I3586" s="40" t="s">
        <v>3221</v>
      </c>
      <c r="J3586" s="40" t="s">
        <v>3204</v>
      </c>
      <c r="K3586" s="40" t="s">
        <v>591</v>
      </c>
      <c r="L3586" s="40" t="s">
        <v>644</v>
      </c>
      <c r="M3586" s="93">
        <v>2</v>
      </c>
      <c r="N3586" s="94">
        <v>26800</v>
      </c>
      <c r="O3586" s="94">
        <f>N3586*M3586</f>
        <v>53600</v>
      </c>
      <c r="P3586" s="40" t="s">
        <v>3116</v>
      </c>
      <c r="Q3586" s="40" t="s">
        <v>1051</v>
      </c>
      <c r="R3586" s="84" t="s">
        <v>3524</v>
      </c>
      <c r="S3586" s="40">
        <v>100</v>
      </c>
    </row>
    <row r="3587" spans="1:19" s="92" customFormat="1" ht="63.75">
      <c r="A3587" s="5">
        <v>3572</v>
      </c>
      <c r="B3587" s="15" t="s">
        <v>710</v>
      </c>
      <c r="C3587" s="40" t="s">
        <v>711</v>
      </c>
      <c r="D3587" s="40" t="s">
        <v>744</v>
      </c>
      <c r="E3587" s="31" t="s">
        <v>745</v>
      </c>
      <c r="F3587" s="31" t="s">
        <v>109</v>
      </c>
      <c r="G3587" s="31" t="s">
        <v>746</v>
      </c>
      <c r="H3587" s="40" t="s">
        <v>3205</v>
      </c>
      <c r="I3587" s="40" t="s">
        <v>3206</v>
      </c>
      <c r="J3587" s="40" t="s">
        <v>3207</v>
      </c>
      <c r="K3587" s="40" t="s">
        <v>591</v>
      </c>
      <c r="L3587" s="40" t="s">
        <v>644</v>
      </c>
      <c r="M3587" s="93">
        <v>6</v>
      </c>
      <c r="N3587" s="94">
        <v>4000</v>
      </c>
      <c r="O3587" s="94">
        <f>M3587*N3587</f>
        <v>24000</v>
      </c>
      <c r="P3587" s="40" t="s">
        <v>3116</v>
      </c>
      <c r="Q3587" s="40" t="s">
        <v>1051</v>
      </c>
      <c r="R3587" s="84" t="s">
        <v>3524</v>
      </c>
      <c r="S3587" s="40">
        <v>100</v>
      </c>
    </row>
    <row r="3588" spans="1:19" s="92" customFormat="1" ht="51">
      <c r="A3588" s="5">
        <v>3573</v>
      </c>
      <c r="B3588" s="15" t="s">
        <v>710</v>
      </c>
      <c r="C3588" s="40" t="s">
        <v>711</v>
      </c>
      <c r="D3588" s="98" t="s">
        <v>422</v>
      </c>
      <c r="E3588" s="76" t="s">
        <v>423</v>
      </c>
      <c r="F3588" s="76" t="s">
        <v>427</v>
      </c>
      <c r="G3588" s="76" t="s">
        <v>837</v>
      </c>
      <c r="H3588" s="76" t="s">
        <v>425</v>
      </c>
      <c r="I3588" s="76" t="s">
        <v>3208</v>
      </c>
      <c r="J3588" s="76" t="s">
        <v>3209</v>
      </c>
      <c r="K3588" s="76" t="s">
        <v>591</v>
      </c>
      <c r="L3588" s="11" t="s">
        <v>909</v>
      </c>
      <c r="M3588" s="53">
        <v>18</v>
      </c>
      <c r="N3588" s="94">
        <v>640</v>
      </c>
      <c r="O3588" s="94">
        <f>N3588*M3588</f>
        <v>11520</v>
      </c>
      <c r="P3588" s="40" t="s">
        <v>3116</v>
      </c>
      <c r="Q3588" s="40" t="s">
        <v>766</v>
      </c>
      <c r="R3588" s="84" t="s">
        <v>3524</v>
      </c>
      <c r="S3588" s="40">
        <v>100</v>
      </c>
    </row>
    <row r="3589" spans="1:19" s="92" customFormat="1" ht="76.5">
      <c r="A3589" s="5">
        <v>3574</v>
      </c>
      <c r="B3589" s="15" t="s">
        <v>710</v>
      </c>
      <c r="C3589" s="40" t="s">
        <v>711</v>
      </c>
      <c r="D3589" s="40" t="s">
        <v>723</v>
      </c>
      <c r="E3589" s="31" t="s">
        <v>874</v>
      </c>
      <c r="F3589" s="31" t="s">
        <v>874</v>
      </c>
      <c r="G3589" s="31" t="s">
        <v>875</v>
      </c>
      <c r="H3589" s="40" t="s">
        <v>876</v>
      </c>
      <c r="I3589" s="40" t="s">
        <v>3222</v>
      </c>
      <c r="J3589" s="40" t="s">
        <v>3211</v>
      </c>
      <c r="K3589" s="40" t="s">
        <v>591</v>
      </c>
      <c r="L3589" s="40" t="s">
        <v>644</v>
      </c>
      <c r="M3589" s="93">
        <v>1</v>
      </c>
      <c r="N3589" s="94">
        <v>30000</v>
      </c>
      <c r="O3589" s="94">
        <f>N3589*M3589</f>
        <v>30000</v>
      </c>
      <c r="P3589" s="40" t="s">
        <v>3116</v>
      </c>
      <c r="Q3589" s="40" t="s">
        <v>1051</v>
      </c>
      <c r="R3589" s="84" t="s">
        <v>3524</v>
      </c>
      <c r="S3589" s="40">
        <v>100</v>
      </c>
    </row>
    <row r="3590" spans="1:19" s="92" customFormat="1" ht="89.25">
      <c r="A3590" s="5">
        <v>3575</v>
      </c>
      <c r="B3590" s="15" t="s">
        <v>710</v>
      </c>
      <c r="C3590" s="40" t="s">
        <v>597</v>
      </c>
      <c r="D3590" s="40" t="s">
        <v>598</v>
      </c>
      <c r="E3590" s="31" t="s">
        <v>599</v>
      </c>
      <c r="F3590" s="31" t="s">
        <v>782</v>
      </c>
      <c r="G3590" s="31" t="s">
        <v>3195</v>
      </c>
      <c r="H3590" s="40" t="s">
        <v>602</v>
      </c>
      <c r="I3590" s="40" t="s">
        <v>3196</v>
      </c>
      <c r="J3590" s="40" t="s">
        <v>3197</v>
      </c>
      <c r="K3590" s="40" t="s">
        <v>591</v>
      </c>
      <c r="L3590" s="11" t="s">
        <v>914</v>
      </c>
      <c r="M3590" s="93">
        <v>1</v>
      </c>
      <c r="N3590" s="94">
        <v>624400</v>
      </c>
      <c r="O3590" s="94">
        <v>624400</v>
      </c>
      <c r="P3590" s="40" t="s">
        <v>502</v>
      </c>
      <c r="Q3590" s="40" t="s">
        <v>766</v>
      </c>
      <c r="R3590" s="84" t="s">
        <v>3523</v>
      </c>
      <c r="S3590" s="40">
        <v>0</v>
      </c>
    </row>
    <row r="3591" spans="1:19" s="92" customFormat="1" ht="89.25">
      <c r="A3591" s="5">
        <v>3576</v>
      </c>
      <c r="B3591" s="15" t="s">
        <v>710</v>
      </c>
      <c r="C3591" s="40" t="s">
        <v>597</v>
      </c>
      <c r="D3591" s="40" t="s">
        <v>598</v>
      </c>
      <c r="E3591" s="31" t="s">
        <v>599</v>
      </c>
      <c r="F3591" s="31" t="s">
        <v>782</v>
      </c>
      <c r="G3591" s="31" t="s">
        <v>3195</v>
      </c>
      <c r="H3591" s="40" t="s">
        <v>602</v>
      </c>
      <c r="I3591" s="40" t="s">
        <v>3196</v>
      </c>
      <c r="J3591" s="40" t="s">
        <v>3197</v>
      </c>
      <c r="K3591" s="40" t="s">
        <v>591</v>
      </c>
      <c r="L3591" s="11" t="s">
        <v>914</v>
      </c>
      <c r="M3591" s="93">
        <v>1</v>
      </c>
      <c r="N3591" s="94">
        <v>624400</v>
      </c>
      <c r="O3591" s="94">
        <v>624400</v>
      </c>
      <c r="P3591" s="40" t="s">
        <v>502</v>
      </c>
      <c r="Q3591" s="40" t="s">
        <v>766</v>
      </c>
      <c r="R3591" s="84" t="s">
        <v>3523</v>
      </c>
      <c r="S3591" s="40">
        <v>0</v>
      </c>
    </row>
    <row r="3592" spans="1:19" s="92" customFormat="1" ht="51">
      <c r="A3592" s="5">
        <v>3577</v>
      </c>
      <c r="B3592" s="15" t="s">
        <v>710</v>
      </c>
      <c r="C3592" s="40" t="s">
        <v>597</v>
      </c>
      <c r="D3592" s="11" t="s">
        <v>850</v>
      </c>
      <c r="E3592" s="76" t="s">
        <v>1736</v>
      </c>
      <c r="F3592" s="76" t="s">
        <v>851</v>
      </c>
      <c r="G3592" s="76" t="s">
        <v>1737</v>
      </c>
      <c r="H3592" s="76" t="s">
        <v>852</v>
      </c>
      <c r="I3592" s="76" t="s">
        <v>3199</v>
      </c>
      <c r="J3592" s="76" t="s">
        <v>3200</v>
      </c>
      <c r="K3592" s="40" t="s">
        <v>591</v>
      </c>
      <c r="L3592" s="11" t="s">
        <v>914</v>
      </c>
      <c r="M3592" s="97">
        <v>1</v>
      </c>
      <c r="N3592" s="94">
        <f>10000*5</f>
        <v>50000</v>
      </c>
      <c r="O3592" s="94">
        <f>N3592</f>
        <v>50000</v>
      </c>
      <c r="P3592" s="40" t="s">
        <v>698</v>
      </c>
      <c r="Q3592" s="40" t="s">
        <v>766</v>
      </c>
      <c r="R3592" s="84" t="s">
        <v>3523</v>
      </c>
      <c r="S3592" s="40">
        <v>0</v>
      </c>
    </row>
    <row r="3593" spans="1:19" s="92" customFormat="1" ht="51">
      <c r="A3593" s="5">
        <v>3578</v>
      </c>
      <c r="B3593" s="15" t="s">
        <v>710</v>
      </c>
      <c r="C3593" s="40" t="s">
        <v>597</v>
      </c>
      <c r="D3593" s="40" t="s">
        <v>2594</v>
      </c>
      <c r="E3593" s="31" t="s">
        <v>2618</v>
      </c>
      <c r="F3593" s="31" t="s">
        <v>2595</v>
      </c>
      <c r="G3593" s="31" t="s">
        <v>2618</v>
      </c>
      <c r="H3593" s="40" t="s">
        <v>2595</v>
      </c>
      <c r="I3593" s="40" t="s">
        <v>3201</v>
      </c>
      <c r="J3593" s="40" t="s">
        <v>3202</v>
      </c>
      <c r="K3593" s="40" t="s">
        <v>591</v>
      </c>
      <c r="L3593" s="11" t="s">
        <v>914</v>
      </c>
      <c r="M3593" s="93">
        <v>1</v>
      </c>
      <c r="N3593" s="94">
        <f>10500*3</f>
        <v>31500</v>
      </c>
      <c r="O3593" s="94">
        <f>N3593</f>
        <v>31500</v>
      </c>
      <c r="P3593" s="40" t="s">
        <v>3116</v>
      </c>
      <c r="Q3593" s="40" t="s">
        <v>766</v>
      </c>
      <c r="R3593" s="84" t="s">
        <v>3523</v>
      </c>
      <c r="S3593" s="40">
        <v>30</v>
      </c>
    </row>
    <row r="3594" spans="1:19" s="92" customFormat="1" ht="89.25">
      <c r="A3594" s="5">
        <v>3579</v>
      </c>
      <c r="B3594" s="15" t="s">
        <v>710</v>
      </c>
      <c r="C3594" s="40" t="s">
        <v>711</v>
      </c>
      <c r="D3594" s="40" t="s">
        <v>976</v>
      </c>
      <c r="E3594" s="31" t="s">
        <v>730</v>
      </c>
      <c r="F3594" s="31" t="s">
        <v>731</v>
      </c>
      <c r="G3594" s="31" t="s">
        <v>977</v>
      </c>
      <c r="H3594" s="40" t="s">
        <v>978</v>
      </c>
      <c r="I3594" s="40" t="s">
        <v>3221</v>
      </c>
      <c r="J3594" s="40" t="s">
        <v>3204</v>
      </c>
      <c r="K3594" s="40" t="s">
        <v>591</v>
      </c>
      <c r="L3594" s="40" t="s">
        <v>644</v>
      </c>
      <c r="M3594" s="93">
        <v>2</v>
      </c>
      <c r="N3594" s="94">
        <v>26800</v>
      </c>
      <c r="O3594" s="94">
        <f>N3594*M3594</f>
        <v>53600</v>
      </c>
      <c r="P3594" s="40" t="s">
        <v>3116</v>
      </c>
      <c r="Q3594" s="40" t="s">
        <v>1051</v>
      </c>
      <c r="R3594" s="84" t="s">
        <v>3523</v>
      </c>
      <c r="S3594" s="40">
        <v>100</v>
      </c>
    </row>
    <row r="3595" spans="1:19" s="92" customFormat="1" ht="63.75">
      <c r="A3595" s="5">
        <v>3580</v>
      </c>
      <c r="B3595" s="15" t="s">
        <v>710</v>
      </c>
      <c r="C3595" s="40" t="s">
        <v>711</v>
      </c>
      <c r="D3595" s="40" t="s">
        <v>744</v>
      </c>
      <c r="E3595" s="31" t="s">
        <v>745</v>
      </c>
      <c r="F3595" s="31" t="s">
        <v>109</v>
      </c>
      <c r="G3595" s="31" t="s">
        <v>746</v>
      </c>
      <c r="H3595" s="40" t="s">
        <v>3205</v>
      </c>
      <c r="I3595" s="40" t="s">
        <v>3206</v>
      </c>
      <c r="J3595" s="40" t="s">
        <v>3207</v>
      </c>
      <c r="K3595" s="40" t="s">
        <v>591</v>
      </c>
      <c r="L3595" s="40" t="s">
        <v>644</v>
      </c>
      <c r="M3595" s="93">
        <v>6</v>
      </c>
      <c r="N3595" s="94">
        <v>4000</v>
      </c>
      <c r="O3595" s="94">
        <f>M3595*N3595</f>
        <v>24000</v>
      </c>
      <c r="P3595" s="40" t="s">
        <v>3116</v>
      </c>
      <c r="Q3595" s="40" t="s">
        <v>1051</v>
      </c>
      <c r="R3595" s="84" t="s">
        <v>3523</v>
      </c>
      <c r="S3595" s="40">
        <v>100</v>
      </c>
    </row>
    <row r="3596" spans="1:19" s="92" customFormat="1" ht="51">
      <c r="A3596" s="5">
        <v>3581</v>
      </c>
      <c r="B3596" s="15" t="s">
        <v>710</v>
      </c>
      <c r="C3596" s="40" t="s">
        <v>711</v>
      </c>
      <c r="D3596" s="98" t="s">
        <v>422</v>
      </c>
      <c r="E3596" s="76" t="s">
        <v>423</v>
      </c>
      <c r="F3596" s="76" t="s">
        <v>427</v>
      </c>
      <c r="G3596" s="76" t="s">
        <v>837</v>
      </c>
      <c r="H3596" s="76" t="s">
        <v>425</v>
      </c>
      <c r="I3596" s="76" t="s">
        <v>3208</v>
      </c>
      <c r="J3596" s="76" t="s">
        <v>3209</v>
      </c>
      <c r="K3596" s="76" t="s">
        <v>591</v>
      </c>
      <c r="L3596" s="11" t="s">
        <v>909</v>
      </c>
      <c r="M3596" s="53">
        <v>18</v>
      </c>
      <c r="N3596" s="94">
        <v>640</v>
      </c>
      <c r="O3596" s="94">
        <f>N3596*M3596</f>
        <v>11520</v>
      </c>
      <c r="P3596" s="40" t="s">
        <v>3116</v>
      </c>
      <c r="Q3596" s="40" t="s">
        <v>766</v>
      </c>
      <c r="R3596" s="84" t="s">
        <v>3523</v>
      </c>
      <c r="S3596" s="40">
        <v>100</v>
      </c>
    </row>
    <row r="3597" spans="1:19" s="92" customFormat="1" ht="76.5">
      <c r="A3597" s="5">
        <v>3582</v>
      </c>
      <c r="B3597" s="15" t="s">
        <v>710</v>
      </c>
      <c r="C3597" s="40" t="s">
        <v>711</v>
      </c>
      <c r="D3597" s="40" t="s">
        <v>723</v>
      </c>
      <c r="E3597" s="31" t="s">
        <v>874</v>
      </c>
      <c r="F3597" s="31" t="s">
        <v>874</v>
      </c>
      <c r="G3597" s="31" t="s">
        <v>875</v>
      </c>
      <c r="H3597" s="40" t="s">
        <v>876</v>
      </c>
      <c r="I3597" s="40" t="s">
        <v>3222</v>
      </c>
      <c r="J3597" s="40" t="s">
        <v>3211</v>
      </c>
      <c r="K3597" s="40" t="s">
        <v>591</v>
      </c>
      <c r="L3597" s="40" t="s">
        <v>644</v>
      </c>
      <c r="M3597" s="93">
        <v>1</v>
      </c>
      <c r="N3597" s="94">
        <v>30000</v>
      </c>
      <c r="O3597" s="94">
        <f>N3597*M3597</f>
        <v>30000</v>
      </c>
      <c r="P3597" s="40" t="s">
        <v>3116</v>
      </c>
      <c r="Q3597" s="40" t="s">
        <v>1051</v>
      </c>
      <c r="R3597" s="84" t="s">
        <v>3523</v>
      </c>
      <c r="S3597" s="40">
        <v>100</v>
      </c>
    </row>
    <row r="3598" spans="1:19" s="92" customFormat="1" ht="89.25">
      <c r="A3598" s="5">
        <v>3583</v>
      </c>
      <c r="B3598" s="15" t="s">
        <v>710</v>
      </c>
      <c r="C3598" s="40" t="s">
        <v>597</v>
      </c>
      <c r="D3598" s="40" t="s">
        <v>598</v>
      </c>
      <c r="E3598" s="31" t="s">
        <v>599</v>
      </c>
      <c r="F3598" s="31" t="s">
        <v>782</v>
      </c>
      <c r="G3598" s="31" t="s">
        <v>3195</v>
      </c>
      <c r="H3598" s="40" t="s">
        <v>602</v>
      </c>
      <c r="I3598" s="40" t="s">
        <v>3223</v>
      </c>
      <c r="J3598" s="40" t="s">
        <v>3197</v>
      </c>
      <c r="K3598" s="40" t="s">
        <v>591</v>
      </c>
      <c r="L3598" s="11" t="s">
        <v>914</v>
      </c>
      <c r="M3598" s="93">
        <v>1</v>
      </c>
      <c r="N3598" s="94">
        <v>624400</v>
      </c>
      <c r="O3598" s="94">
        <v>624400</v>
      </c>
      <c r="P3598" s="40" t="s">
        <v>502</v>
      </c>
      <c r="Q3598" s="40" t="s">
        <v>766</v>
      </c>
      <c r="R3598" s="84" t="s">
        <v>3522</v>
      </c>
      <c r="S3598" s="40">
        <v>0</v>
      </c>
    </row>
    <row r="3599" spans="1:19" s="92" customFormat="1" ht="89.25">
      <c r="A3599" s="5">
        <v>3584</v>
      </c>
      <c r="B3599" s="15" t="s">
        <v>710</v>
      </c>
      <c r="C3599" s="40" t="s">
        <v>597</v>
      </c>
      <c r="D3599" s="40" t="s">
        <v>598</v>
      </c>
      <c r="E3599" s="31" t="s">
        <v>599</v>
      </c>
      <c r="F3599" s="31" t="s">
        <v>782</v>
      </c>
      <c r="G3599" s="31" t="s">
        <v>3195</v>
      </c>
      <c r="H3599" s="40" t="s">
        <v>602</v>
      </c>
      <c r="I3599" s="40" t="s">
        <v>3223</v>
      </c>
      <c r="J3599" s="40" t="s">
        <v>3197</v>
      </c>
      <c r="K3599" s="40" t="s">
        <v>591</v>
      </c>
      <c r="L3599" s="11" t="s">
        <v>914</v>
      </c>
      <c r="M3599" s="93">
        <v>1</v>
      </c>
      <c r="N3599" s="94">
        <v>624400</v>
      </c>
      <c r="O3599" s="94">
        <v>624400</v>
      </c>
      <c r="P3599" s="40" t="s">
        <v>502</v>
      </c>
      <c r="Q3599" s="40" t="s">
        <v>766</v>
      </c>
      <c r="R3599" s="84" t="s">
        <v>3522</v>
      </c>
      <c r="S3599" s="40">
        <v>0</v>
      </c>
    </row>
    <row r="3600" spans="1:19" s="92" customFormat="1" ht="51">
      <c r="A3600" s="5">
        <v>3585</v>
      </c>
      <c r="B3600" s="15" t="s">
        <v>710</v>
      </c>
      <c r="C3600" s="40" t="s">
        <v>597</v>
      </c>
      <c r="D3600" s="11" t="s">
        <v>850</v>
      </c>
      <c r="E3600" s="76" t="s">
        <v>1736</v>
      </c>
      <c r="F3600" s="76" t="s">
        <v>851</v>
      </c>
      <c r="G3600" s="76" t="s">
        <v>1737</v>
      </c>
      <c r="H3600" s="76" t="s">
        <v>852</v>
      </c>
      <c r="I3600" s="76" t="s">
        <v>3199</v>
      </c>
      <c r="J3600" s="76" t="s">
        <v>3200</v>
      </c>
      <c r="K3600" s="40" t="s">
        <v>591</v>
      </c>
      <c r="L3600" s="11" t="s">
        <v>914</v>
      </c>
      <c r="M3600" s="97">
        <v>1</v>
      </c>
      <c r="N3600" s="94">
        <f>10000*5</f>
        <v>50000</v>
      </c>
      <c r="O3600" s="94">
        <f>N3600</f>
        <v>50000</v>
      </c>
      <c r="P3600" s="40" t="s">
        <v>698</v>
      </c>
      <c r="Q3600" s="40" t="s">
        <v>766</v>
      </c>
      <c r="R3600" s="84" t="s">
        <v>3522</v>
      </c>
      <c r="S3600" s="40">
        <v>0</v>
      </c>
    </row>
    <row r="3601" spans="1:19" s="92" customFormat="1" ht="51">
      <c r="A3601" s="5">
        <v>3586</v>
      </c>
      <c r="B3601" s="15" t="s">
        <v>710</v>
      </c>
      <c r="C3601" s="40" t="s">
        <v>597</v>
      </c>
      <c r="D3601" s="40" t="s">
        <v>2594</v>
      </c>
      <c r="E3601" s="31" t="s">
        <v>2618</v>
      </c>
      <c r="F3601" s="31" t="s">
        <v>2595</v>
      </c>
      <c r="G3601" s="31" t="s">
        <v>2618</v>
      </c>
      <c r="H3601" s="40" t="s">
        <v>2595</v>
      </c>
      <c r="I3601" s="40" t="s">
        <v>3201</v>
      </c>
      <c r="J3601" s="40" t="s">
        <v>3202</v>
      </c>
      <c r="K3601" s="40" t="s">
        <v>591</v>
      </c>
      <c r="L3601" s="11" t="s">
        <v>914</v>
      </c>
      <c r="M3601" s="93">
        <v>1</v>
      </c>
      <c r="N3601" s="94">
        <f>10500*3</f>
        <v>31500</v>
      </c>
      <c r="O3601" s="94">
        <f>N3601</f>
        <v>31500</v>
      </c>
      <c r="P3601" s="40" t="s">
        <v>3116</v>
      </c>
      <c r="Q3601" s="40" t="s">
        <v>766</v>
      </c>
      <c r="R3601" s="84" t="s">
        <v>3522</v>
      </c>
      <c r="S3601" s="40">
        <v>30</v>
      </c>
    </row>
    <row r="3602" spans="1:19" s="92" customFormat="1" ht="89.25">
      <c r="A3602" s="5">
        <v>3587</v>
      </c>
      <c r="B3602" s="15" t="s">
        <v>710</v>
      </c>
      <c r="C3602" s="40" t="s">
        <v>711</v>
      </c>
      <c r="D3602" s="40" t="s">
        <v>976</v>
      </c>
      <c r="E3602" s="31" t="s">
        <v>730</v>
      </c>
      <c r="F3602" s="31" t="s">
        <v>731</v>
      </c>
      <c r="G3602" s="31" t="s">
        <v>977</v>
      </c>
      <c r="H3602" s="40" t="s">
        <v>978</v>
      </c>
      <c r="I3602" s="40" t="s">
        <v>3221</v>
      </c>
      <c r="J3602" s="40" t="s">
        <v>3204</v>
      </c>
      <c r="K3602" s="40" t="s">
        <v>591</v>
      </c>
      <c r="L3602" s="40" t="s">
        <v>644</v>
      </c>
      <c r="M3602" s="93">
        <v>2</v>
      </c>
      <c r="N3602" s="94">
        <v>26800</v>
      </c>
      <c r="O3602" s="94">
        <f>N3602*M3602</f>
        <v>53600</v>
      </c>
      <c r="P3602" s="40" t="s">
        <v>3116</v>
      </c>
      <c r="Q3602" s="40" t="s">
        <v>1051</v>
      </c>
      <c r="R3602" s="84" t="s">
        <v>3522</v>
      </c>
      <c r="S3602" s="40">
        <v>100</v>
      </c>
    </row>
    <row r="3603" spans="1:19" s="92" customFormat="1" ht="63.75">
      <c r="A3603" s="5">
        <v>3588</v>
      </c>
      <c r="B3603" s="15" t="s">
        <v>710</v>
      </c>
      <c r="C3603" s="40" t="s">
        <v>711</v>
      </c>
      <c r="D3603" s="40" t="s">
        <v>744</v>
      </c>
      <c r="E3603" s="31" t="s">
        <v>745</v>
      </c>
      <c r="F3603" s="31" t="s">
        <v>109</v>
      </c>
      <c r="G3603" s="31" t="s">
        <v>746</v>
      </c>
      <c r="H3603" s="40" t="s">
        <v>3205</v>
      </c>
      <c r="I3603" s="40" t="s">
        <v>3206</v>
      </c>
      <c r="J3603" s="40" t="s">
        <v>3207</v>
      </c>
      <c r="K3603" s="40" t="s">
        <v>591</v>
      </c>
      <c r="L3603" s="40" t="s">
        <v>644</v>
      </c>
      <c r="M3603" s="93">
        <v>6</v>
      </c>
      <c r="N3603" s="94">
        <v>4000</v>
      </c>
      <c r="O3603" s="94">
        <f>M3603*N3603</f>
        <v>24000</v>
      </c>
      <c r="P3603" s="40" t="s">
        <v>3116</v>
      </c>
      <c r="Q3603" s="40" t="s">
        <v>1051</v>
      </c>
      <c r="R3603" s="84" t="s">
        <v>3522</v>
      </c>
      <c r="S3603" s="40">
        <v>100</v>
      </c>
    </row>
    <row r="3604" spans="1:19" s="92" customFormat="1" ht="51">
      <c r="A3604" s="5">
        <v>3589</v>
      </c>
      <c r="B3604" s="15" t="s">
        <v>710</v>
      </c>
      <c r="C3604" s="40" t="s">
        <v>711</v>
      </c>
      <c r="D3604" s="98" t="s">
        <v>422</v>
      </c>
      <c r="E3604" s="76" t="s">
        <v>423</v>
      </c>
      <c r="F3604" s="76" t="s">
        <v>427</v>
      </c>
      <c r="G3604" s="76" t="s">
        <v>837</v>
      </c>
      <c r="H3604" s="76" t="s">
        <v>425</v>
      </c>
      <c r="I3604" s="76" t="s">
        <v>3208</v>
      </c>
      <c r="J3604" s="76" t="s">
        <v>3209</v>
      </c>
      <c r="K3604" s="76" t="s">
        <v>591</v>
      </c>
      <c r="L3604" s="11" t="s">
        <v>909</v>
      </c>
      <c r="M3604" s="53">
        <v>18</v>
      </c>
      <c r="N3604" s="94">
        <v>640</v>
      </c>
      <c r="O3604" s="94">
        <f>N3604*M3604</f>
        <v>11520</v>
      </c>
      <c r="P3604" s="40" t="s">
        <v>3116</v>
      </c>
      <c r="Q3604" s="40" t="s">
        <v>766</v>
      </c>
      <c r="R3604" s="84" t="s">
        <v>3522</v>
      </c>
      <c r="S3604" s="40">
        <v>100</v>
      </c>
    </row>
    <row r="3605" spans="1:19" s="92" customFormat="1" ht="76.5">
      <c r="A3605" s="5">
        <v>3590</v>
      </c>
      <c r="B3605" s="15" t="s">
        <v>710</v>
      </c>
      <c r="C3605" s="40" t="s">
        <v>711</v>
      </c>
      <c r="D3605" s="40" t="s">
        <v>723</v>
      </c>
      <c r="E3605" s="31" t="s">
        <v>874</v>
      </c>
      <c r="F3605" s="31" t="s">
        <v>874</v>
      </c>
      <c r="G3605" s="31" t="s">
        <v>875</v>
      </c>
      <c r="H3605" s="40" t="s">
        <v>876</v>
      </c>
      <c r="I3605" s="40" t="s">
        <v>3222</v>
      </c>
      <c r="J3605" s="40" t="s">
        <v>3211</v>
      </c>
      <c r="K3605" s="40" t="s">
        <v>591</v>
      </c>
      <c r="L3605" s="40" t="s">
        <v>644</v>
      </c>
      <c r="M3605" s="93">
        <v>1</v>
      </c>
      <c r="N3605" s="94">
        <v>30000</v>
      </c>
      <c r="O3605" s="94">
        <f>N3605*M3605</f>
        <v>30000</v>
      </c>
      <c r="P3605" s="40" t="s">
        <v>3116</v>
      </c>
      <c r="Q3605" s="40" t="s">
        <v>1051</v>
      </c>
      <c r="R3605" s="84" t="s">
        <v>3522</v>
      </c>
      <c r="S3605" s="40">
        <v>100</v>
      </c>
    </row>
    <row r="3606" spans="1:19" s="92" customFormat="1" ht="89.25">
      <c r="A3606" s="5">
        <v>3591</v>
      </c>
      <c r="B3606" s="15" t="s">
        <v>710</v>
      </c>
      <c r="C3606" s="40" t="s">
        <v>597</v>
      </c>
      <c r="D3606" s="40" t="s">
        <v>598</v>
      </c>
      <c r="E3606" s="31" t="s">
        <v>599</v>
      </c>
      <c r="F3606" s="31" t="s">
        <v>782</v>
      </c>
      <c r="G3606" s="31" t="s">
        <v>3195</v>
      </c>
      <c r="H3606" s="40" t="s">
        <v>602</v>
      </c>
      <c r="I3606" s="40" t="s">
        <v>3223</v>
      </c>
      <c r="J3606" s="40" t="s">
        <v>3197</v>
      </c>
      <c r="K3606" s="40" t="s">
        <v>591</v>
      </c>
      <c r="L3606" s="11" t="s">
        <v>914</v>
      </c>
      <c r="M3606" s="93">
        <v>1</v>
      </c>
      <c r="N3606" s="94">
        <f>O3606/M3606</f>
        <v>446000</v>
      </c>
      <c r="O3606" s="94">
        <f>624400-178400</f>
        <v>446000</v>
      </c>
      <c r="P3606" s="40" t="s">
        <v>699</v>
      </c>
      <c r="Q3606" s="40" t="s">
        <v>766</v>
      </c>
      <c r="R3606" s="84" t="s">
        <v>3521</v>
      </c>
      <c r="S3606" s="40">
        <v>0</v>
      </c>
    </row>
    <row r="3607" spans="1:19" s="92" customFormat="1" ht="89.25">
      <c r="A3607" s="5">
        <v>3592</v>
      </c>
      <c r="B3607" s="15" t="s">
        <v>710</v>
      </c>
      <c r="C3607" s="40" t="s">
        <v>597</v>
      </c>
      <c r="D3607" s="40" t="s">
        <v>598</v>
      </c>
      <c r="E3607" s="31" t="s">
        <v>599</v>
      </c>
      <c r="F3607" s="31" t="s">
        <v>782</v>
      </c>
      <c r="G3607" s="31" t="s">
        <v>3195</v>
      </c>
      <c r="H3607" s="40" t="s">
        <v>602</v>
      </c>
      <c r="I3607" s="40" t="s">
        <v>3223</v>
      </c>
      <c r="J3607" s="40" t="s">
        <v>3197</v>
      </c>
      <c r="K3607" s="40" t="s">
        <v>591</v>
      </c>
      <c r="L3607" s="11" t="s">
        <v>914</v>
      </c>
      <c r="M3607" s="93">
        <v>1</v>
      </c>
      <c r="N3607" s="94">
        <v>624400</v>
      </c>
      <c r="O3607" s="94">
        <v>624400</v>
      </c>
      <c r="P3607" s="40" t="s">
        <v>502</v>
      </c>
      <c r="Q3607" s="40" t="s">
        <v>766</v>
      </c>
      <c r="R3607" s="84" t="s">
        <v>3521</v>
      </c>
      <c r="S3607" s="40">
        <v>0</v>
      </c>
    </row>
    <row r="3608" spans="1:19" s="92" customFormat="1" ht="51">
      <c r="A3608" s="5">
        <v>3593</v>
      </c>
      <c r="B3608" s="15" t="s">
        <v>710</v>
      </c>
      <c r="C3608" s="40" t="s">
        <v>597</v>
      </c>
      <c r="D3608" s="11" t="s">
        <v>850</v>
      </c>
      <c r="E3608" s="76" t="s">
        <v>1736</v>
      </c>
      <c r="F3608" s="76" t="s">
        <v>851</v>
      </c>
      <c r="G3608" s="76" t="s">
        <v>1737</v>
      </c>
      <c r="H3608" s="76" t="s">
        <v>852</v>
      </c>
      <c r="I3608" s="76" t="s">
        <v>3199</v>
      </c>
      <c r="J3608" s="76" t="s">
        <v>3200</v>
      </c>
      <c r="K3608" s="40" t="s">
        <v>591</v>
      </c>
      <c r="L3608" s="11" t="s">
        <v>914</v>
      </c>
      <c r="M3608" s="97">
        <v>1</v>
      </c>
      <c r="N3608" s="94">
        <f>10000*5</f>
        <v>50000</v>
      </c>
      <c r="O3608" s="94">
        <f>N3608</f>
        <v>50000</v>
      </c>
      <c r="P3608" s="40" t="s">
        <v>698</v>
      </c>
      <c r="Q3608" s="40" t="s">
        <v>766</v>
      </c>
      <c r="R3608" s="84" t="s">
        <v>3521</v>
      </c>
      <c r="S3608" s="40">
        <v>0</v>
      </c>
    </row>
    <row r="3609" spans="1:19" s="92" customFormat="1" ht="51">
      <c r="A3609" s="5">
        <v>3594</v>
      </c>
      <c r="B3609" s="15" t="s">
        <v>710</v>
      </c>
      <c r="C3609" s="40" t="s">
        <v>597</v>
      </c>
      <c r="D3609" s="40" t="s">
        <v>2594</v>
      </c>
      <c r="E3609" s="31" t="s">
        <v>2618</v>
      </c>
      <c r="F3609" s="31" t="s">
        <v>2595</v>
      </c>
      <c r="G3609" s="31" t="s">
        <v>2618</v>
      </c>
      <c r="H3609" s="40" t="s">
        <v>2595</v>
      </c>
      <c r="I3609" s="40" t="s">
        <v>3201</v>
      </c>
      <c r="J3609" s="40" t="s">
        <v>3202</v>
      </c>
      <c r="K3609" s="40" t="s">
        <v>591</v>
      </c>
      <c r="L3609" s="11" t="s">
        <v>914</v>
      </c>
      <c r="M3609" s="93">
        <v>1</v>
      </c>
      <c r="N3609" s="94">
        <f>10500*3</f>
        <v>31500</v>
      </c>
      <c r="O3609" s="94">
        <f>N3609</f>
        <v>31500</v>
      </c>
      <c r="P3609" s="40" t="s">
        <v>3116</v>
      </c>
      <c r="Q3609" s="40" t="s">
        <v>766</v>
      </c>
      <c r="R3609" s="84" t="s">
        <v>3521</v>
      </c>
      <c r="S3609" s="40">
        <v>30</v>
      </c>
    </row>
    <row r="3610" spans="1:19" s="92" customFormat="1" ht="89.25">
      <c r="A3610" s="5">
        <v>3595</v>
      </c>
      <c r="B3610" s="15" t="s">
        <v>710</v>
      </c>
      <c r="C3610" s="40" t="s">
        <v>711</v>
      </c>
      <c r="D3610" s="40" t="s">
        <v>976</v>
      </c>
      <c r="E3610" s="31" t="s">
        <v>730</v>
      </c>
      <c r="F3610" s="31" t="s">
        <v>731</v>
      </c>
      <c r="G3610" s="31" t="s">
        <v>977</v>
      </c>
      <c r="H3610" s="40" t="s">
        <v>978</v>
      </c>
      <c r="I3610" s="40" t="s">
        <v>3221</v>
      </c>
      <c r="J3610" s="40" t="s">
        <v>3204</v>
      </c>
      <c r="K3610" s="40" t="s">
        <v>591</v>
      </c>
      <c r="L3610" s="40" t="s">
        <v>644</v>
      </c>
      <c r="M3610" s="93">
        <v>2</v>
      </c>
      <c r="N3610" s="94">
        <v>26800</v>
      </c>
      <c r="O3610" s="94">
        <f>N3610*M3610</f>
        <v>53600</v>
      </c>
      <c r="P3610" s="40" t="s">
        <v>3116</v>
      </c>
      <c r="Q3610" s="40" t="s">
        <v>1051</v>
      </c>
      <c r="R3610" s="84" t="s">
        <v>3521</v>
      </c>
      <c r="S3610" s="40">
        <v>100</v>
      </c>
    </row>
    <row r="3611" spans="1:19" s="92" customFormat="1" ht="63.75">
      <c r="A3611" s="5">
        <v>3596</v>
      </c>
      <c r="B3611" s="15" t="s">
        <v>710</v>
      </c>
      <c r="C3611" s="40" t="s">
        <v>711</v>
      </c>
      <c r="D3611" s="40" t="s">
        <v>744</v>
      </c>
      <c r="E3611" s="31" t="s">
        <v>745</v>
      </c>
      <c r="F3611" s="31" t="s">
        <v>109</v>
      </c>
      <c r="G3611" s="31" t="s">
        <v>746</v>
      </c>
      <c r="H3611" s="40" t="s">
        <v>3205</v>
      </c>
      <c r="I3611" s="40" t="s">
        <v>3206</v>
      </c>
      <c r="J3611" s="40" t="s">
        <v>3207</v>
      </c>
      <c r="K3611" s="40" t="s">
        <v>591</v>
      </c>
      <c r="L3611" s="40" t="s">
        <v>644</v>
      </c>
      <c r="M3611" s="93">
        <v>6</v>
      </c>
      <c r="N3611" s="94">
        <v>4000</v>
      </c>
      <c r="O3611" s="94">
        <f>M3611*N3611</f>
        <v>24000</v>
      </c>
      <c r="P3611" s="40" t="s">
        <v>3116</v>
      </c>
      <c r="Q3611" s="40" t="s">
        <v>1051</v>
      </c>
      <c r="R3611" s="84" t="s">
        <v>3521</v>
      </c>
      <c r="S3611" s="40">
        <v>100</v>
      </c>
    </row>
    <row r="3612" spans="1:19" s="92" customFormat="1" ht="51">
      <c r="A3612" s="5">
        <v>3597</v>
      </c>
      <c r="B3612" s="15" t="s">
        <v>710</v>
      </c>
      <c r="C3612" s="40" t="s">
        <v>711</v>
      </c>
      <c r="D3612" s="98" t="s">
        <v>422</v>
      </c>
      <c r="E3612" s="76" t="s">
        <v>423</v>
      </c>
      <c r="F3612" s="76" t="s">
        <v>427</v>
      </c>
      <c r="G3612" s="76" t="s">
        <v>837</v>
      </c>
      <c r="H3612" s="76" t="s">
        <v>425</v>
      </c>
      <c r="I3612" s="76" t="s">
        <v>3208</v>
      </c>
      <c r="J3612" s="76" t="s">
        <v>3209</v>
      </c>
      <c r="K3612" s="76" t="s">
        <v>591</v>
      </c>
      <c r="L3612" s="11" t="s">
        <v>909</v>
      </c>
      <c r="M3612" s="53">
        <v>18</v>
      </c>
      <c r="N3612" s="94">
        <v>640</v>
      </c>
      <c r="O3612" s="94">
        <f>N3612*M3612</f>
        <v>11520</v>
      </c>
      <c r="P3612" s="40" t="s">
        <v>3116</v>
      </c>
      <c r="Q3612" s="40" t="s">
        <v>766</v>
      </c>
      <c r="R3612" s="84" t="s">
        <v>3521</v>
      </c>
      <c r="S3612" s="40">
        <v>100</v>
      </c>
    </row>
    <row r="3613" spans="1:19" s="92" customFormat="1" ht="76.5">
      <c r="A3613" s="5">
        <v>3598</v>
      </c>
      <c r="B3613" s="15" t="s">
        <v>710</v>
      </c>
      <c r="C3613" s="40" t="s">
        <v>711</v>
      </c>
      <c r="D3613" s="40" t="s">
        <v>723</v>
      </c>
      <c r="E3613" s="31" t="s">
        <v>874</v>
      </c>
      <c r="F3613" s="31" t="s">
        <v>874</v>
      </c>
      <c r="G3613" s="31" t="s">
        <v>875</v>
      </c>
      <c r="H3613" s="40" t="s">
        <v>876</v>
      </c>
      <c r="I3613" s="40" t="s">
        <v>3222</v>
      </c>
      <c r="J3613" s="40" t="s">
        <v>3211</v>
      </c>
      <c r="K3613" s="40" t="s">
        <v>591</v>
      </c>
      <c r="L3613" s="40" t="s">
        <v>644</v>
      </c>
      <c r="M3613" s="93">
        <v>1</v>
      </c>
      <c r="N3613" s="94">
        <v>30000</v>
      </c>
      <c r="O3613" s="94">
        <f>N3613*M3613</f>
        <v>30000</v>
      </c>
      <c r="P3613" s="40" t="s">
        <v>3116</v>
      </c>
      <c r="Q3613" s="40" t="s">
        <v>1051</v>
      </c>
      <c r="R3613" s="84" t="s">
        <v>3521</v>
      </c>
      <c r="S3613" s="40">
        <v>100</v>
      </c>
    </row>
    <row r="3614" spans="1:19" s="92" customFormat="1" ht="89.25">
      <c r="A3614" s="5">
        <v>3599</v>
      </c>
      <c r="B3614" s="15" t="s">
        <v>710</v>
      </c>
      <c r="C3614" s="40" t="s">
        <v>597</v>
      </c>
      <c r="D3614" s="40" t="s">
        <v>598</v>
      </c>
      <c r="E3614" s="31" t="s">
        <v>599</v>
      </c>
      <c r="F3614" s="31" t="s">
        <v>782</v>
      </c>
      <c r="G3614" s="31" t="s">
        <v>3195</v>
      </c>
      <c r="H3614" s="40" t="s">
        <v>602</v>
      </c>
      <c r="I3614" s="40" t="s">
        <v>3223</v>
      </c>
      <c r="J3614" s="40" t="s">
        <v>3197</v>
      </c>
      <c r="K3614" s="40" t="s">
        <v>591</v>
      </c>
      <c r="L3614" s="11" t="s">
        <v>914</v>
      </c>
      <c r="M3614" s="93">
        <v>1</v>
      </c>
      <c r="N3614" s="94">
        <v>624400</v>
      </c>
      <c r="O3614" s="94">
        <v>624400</v>
      </c>
      <c r="P3614" s="40" t="s">
        <v>502</v>
      </c>
      <c r="Q3614" s="40" t="s">
        <v>766</v>
      </c>
      <c r="R3614" s="84" t="s">
        <v>3520</v>
      </c>
      <c r="S3614" s="40">
        <v>0</v>
      </c>
    </row>
    <row r="3615" spans="1:19" s="92" customFormat="1" ht="89.25">
      <c r="A3615" s="5">
        <v>3600</v>
      </c>
      <c r="B3615" s="15" t="s">
        <v>710</v>
      </c>
      <c r="C3615" s="40" t="s">
        <v>597</v>
      </c>
      <c r="D3615" s="40" t="s">
        <v>598</v>
      </c>
      <c r="E3615" s="31" t="s">
        <v>599</v>
      </c>
      <c r="F3615" s="31" t="s">
        <v>782</v>
      </c>
      <c r="G3615" s="31" t="s">
        <v>3195</v>
      </c>
      <c r="H3615" s="40" t="s">
        <v>602</v>
      </c>
      <c r="I3615" s="40" t="s">
        <v>3223</v>
      </c>
      <c r="J3615" s="40" t="s">
        <v>3197</v>
      </c>
      <c r="K3615" s="40" t="s">
        <v>591</v>
      </c>
      <c r="L3615" s="11" t="s">
        <v>914</v>
      </c>
      <c r="M3615" s="93">
        <v>1</v>
      </c>
      <c r="N3615" s="94">
        <f>O3615/M3615</f>
        <v>446000</v>
      </c>
      <c r="O3615" s="94">
        <f>624400-178400</f>
        <v>446000</v>
      </c>
      <c r="P3615" s="40" t="s">
        <v>699</v>
      </c>
      <c r="Q3615" s="40" t="s">
        <v>766</v>
      </c>
      <c r="R3615" s="84" t="s">
        <v>3520</v>
      </c>
      <c r="S3615" s="40">
        <v>0</v>
      </c>
    </row>
    <row r="3616" spans="1:19" s="92" customFormat="1" ht="51">
      <c r="A3616" s="5">
        <v>3601</v>
      </c>
      <c r="B3616" s="15" t="s">
        <v>710</v>
      </c>
      <c r="C3616" s="40" t="s">
        <v>597</v>
      </c>
      <c r="D3616" s="11" t="s">
        <v>850</v>
      </c>
      <c r="E3616" s="76" t="s">
        <v>1736</v>
      </c>
      <c r="F3616" s="76" t="s">
        <v>851</v>
      </c>
      <c r="G3616" s="76" t="s">
        <v>1737</v>
      </c>
      <c r="H3616" s="76" t="s">
        <v>852</v>
      </c>
      <c r="I3616" s="76" t="s">
        <v>3199</v>
      </c>
      <c r="J3616" s="76" t="s">
        <v>3200</v>
      </c>
      <c r="K3616" s="40" t="s">
        <v>591</v>
      </c>
      <c r="L3616" s="11" t="s">
        <v>914</v>
      </c>
      <c r="M3616" s="97">
        <v>1</v>
      </c>
      <c r="N3616" s="94">
        <f>10000*5</f>
        <v>50000</v>
      </c>
      <c r="O3616" s="94">
        <f>N3616</f>
        <v>50000</v>
      </c>
      <c r="P3616" s="40" t="s">
        <v>698</v>
      </c>
      <c r="Q3616" s="40" t="s">
        <v>766</v>
      </c>
      <c r="R3616" s="84" t="s">
        <v>3520</v>
      </c>
      <c r="S3616" s="40">
        <v>0</v>
      </c>
    </row>
    <row r="3617" spans="1:19" s="92" customFormat="1" ht="51">
      <c r="A3617" s="5">
        <v>3602</v>
      </c>
      <c r="B3617" s="15" t="s">
        <v>710</v>
      </c>
      <c r="C3617" s="40" t="s">
        <v>597</v>
      </c>
      <c r="D3617" s="40" t="s">
        <v>2594</v>
      </c>
      <c r="E3617" s="31" t="s">
        <v>2618</v>
      </c>
      <c r="F3617" s="31" t="s">
        <v>2595</v>
      </c>
      <c r="G3617" s="31" t="s">
        <v>2618</v>
      </c>
      <c r="H3617" s="40" t="s">
        <v>2595</v>
      </c>
      <c r="I3617" s="40" t="s">
        <v>3201</v>
      </c>
      <c r="J3617" s="40" t="s">
        <v>3202</v>
      </c>
      <c r="K3617" s="40" t="s">
        <v>591</v>
      </c>
      <c r="L3617" s="11" t="s">
        <v>914</v>
      </c>
      <c r="M3617" s="93">
        <v>1</v>
      </c>
      <c r="N3617" s="94">
        <f>10500*3</f>
        <v>31500</v>
      </c>
      <c r="O3617" s="94">
        <f>N3617</f>
        <v>31500</v>
      </c>
      <c r="P3617" s="40" t="s">
        <v>3116</v>
      </c>
      <c r="Q3617" s="40" t="s">
        <v>766</v>
      </c>
      <c r="R3617" s="84" t="s">
        <v>3520</v>
      </c>
      <c r="S3617" s="40">
        <v>30</v>
      </c>
    </row>
    <row r="3618" spans="1:19" s="92" customFormat="1" ht="89.25">
      <c r="A3618" s="5">
        <v>3603</v>
      </c>
      <c r="B3618" s="15" t="s">
        <v>710</v>
      </c>
      <c r="C3618" s="40" t="s">
        <v>711</v>
      </c>
      <c r="D3618" s="40" t="s">
        <v>976</v>
      </c>
      <c r="E3618" s="31" t="s">
        <v>730</v>
      </c>
      <c r="F3618" s="31" t="s">
        <v>731</v>
      </c>
      <c r="G3618" s="31" t="s">
        <v>977</v>
      </c>
      <c r="H3618" s="40" t="s">
        <v>978</v>
      </c>
      <c r="I3618" s="40" t="s">
        <v>3221</v>
      </c>
      <c r="J3618" s="40" t="s">
        <v>3204</v>
      </c>
      <c r="K3618" s="40" t="s">
        <v>591</v>
      </c>
      <c r="L3618" s="40" t="s">
        <v>644</v>
      </c>
      <c r="M3618" s="93">
        <v>2</v>
      </c>
      <c r="N3618" s="94">
        <v>26800</v>
      </c>
      <c r="O3618" s="94">
        <f>N3618*M3618</f>
        <v>53600</v>
      </c>
      <c r="P3618" s="40" t="s">
        <v>3116</v>
      </c>
      <c r="Q3618" s="40" t="s">
        <v>1051</v>
      </c>
      <c r="R3618" s="84" t="s">
        <v>3520</v>
      </c>
      <c r="S3618" s="40">
        <v>100</v>
      </c>
    </row>
    <row r="3619" spans="1:19" s="92" customFormat="1" ht="63.75">
      <c r="A3619" s="5">
        <v>3604</v>
      </c>
      <c r="B3619" s="15" t="s">
        <v>710</v>
      </c>
      <c r="C3619" s="40" t="s">
        <v>711</v>
      </c>
      <c r="D3619" s="40" t="s">
        <v>744</v>
      </c>
      <c r="E3619" s="31" t="s">
        <v>745</v>
      </c>
      <c r="F3619" s="31" t="s">
        <v>109</v>
      </c>
      <c r="G3619" s="31" t="s">
        <v>746</v>
      </c>
      <c r="H3619" s="40" t="s">
        <v>3205</v>
      </c>
      <c r="I3619" s="40" t="s">
        <v>3206</v>
      </c>
      <c r="J3619" s="40" t="s">
        <v>3207</v>
      </c>
      <c r="K3619" s="40" t="s">
        <v>591</v>
      </c>
      <c r="L3619" s="40" t="s">
        <v>644</v>
      </c>
      <c r="M3619" s="93">
        <v>6</v>
      </c>
      <c r="N3619" s="94">
        <v>4000</v>
      </c>
      <c r="O3619" s="94">
        <f>M3619*N3619</f>
        <v>24000</v>
      </c>
      <c r="P3619" s="40" t="s">
        <v>3116</v>
      </c>
      <c r="Q3619" s="40" t="s">
        <v>1051</v>
      </c>
      <c r="R3619" s="84" t="s">
        <v>3520</v>
      </c>
      <c r="S3619" s="40">
        <v>100</v>
      </c>
    </row>
    <row r="3620" spans="1:19" s="92" customFormat="1" ht="51">
      <c r="A3620" s="5">
        <v>3605</v>
      </c>
      <c r="B3620" s="15" t="s">
        <v>710</v>
      </c>
      <c r="C3620" s="40" t="s">
        <v>711</v>
      </c>
      <c r="D3620" s="98" t="s">
        <v>422</v>
      </c>
      <c r="E3620" s="76" t="s">
        <v>423</v>
      </c>
      <c r="F3620" s="76" t="s">
        <v>427</v>
      </c>
      <c r="G3620" s="76" t="s">
        <v>837</v>
      </c>
      <c r="H3620" s="76" t="s">
        <v>425</v>
      </c>
      <c r="I3620" s="76" t="s">
        <v>3208</v>
      </c>
      <c r="J3620" s="76" t="s">
        <v>3209</v>
      </c>
      <c r="K3620" s="76" t="s">
        <v>591</v>
      </c>
      <c r="L3620" s="11" t="s">
        <v>909</v>
      </c>
      <c r="M3620" s="53">
        <v>18</v>
      </c>
      <c r="N3620" s="94">
        <v>640</v>
      </c>
      <c r="O3620" s="94">
        <f>N3620*M3620</f>
        <v>11520</v>
      </c>
      <c r="P3620" s="40" t="s">
        <v>3116</v>
      </c>
      <c r="Q3620" s="40" t="s">
        <v>766</v>
      </c>
      <c r="R3620" s="84" t="s">
        <v>3520</v>
      </c>
      <c r="S3620" s="40">
        <v>100</v>
      </c>
    </row>
    <row r="3621" spans="1:19" s="92" customFormat="1" ht="76.5">
      <c r="A3621" s="5">
        <v>3606</v>
      </c>
      <c r="B3621" s="15" t="s">
        <v>710</v>
      </c>
      <c r="C3621" s="40" t="s">
        <v>711</v>
      </c>
      <c r="D3621" s="40" t="s">
        <v>723</v>
      </c>
      <c r="E3621" s="31" t="s">
        <v>874</v>
      </c>
      <c r="F3621" s="31" t="s">
        <v>874</v>
      </c>
      <c r="G3621" s="31" t="s">
        <v>875</v>
      </c>
      <c r="H3621" s="40" t="s">
        <v>876</v>
      </c>
      <c r="I3621" s="40" t="s">
        <v>3222</v>
      </c>
      <c r="J3621" s="40" t="s">
        <v>3211</v>
      </c>
      <c r="K3621" s="40" t="s">
        <v>591</v>
      </c>
      <c r="L3621" s="40" t="s">
        <v>644</v>
      </c>
      <c r="M3621" s="93">
        <v>1</v>
      </c>
      <c r="N3621" s="94">
        <v>30000</v>
      </c>
      <c r="O3621" s="94">
        <f>N3621*M3621</f>
        <v>30000</v>
      </c>
      <c r="P3621" s="40" t="s">
        <v>3116</v>
      </c>
      <c r="Q3621" s="40" t="s">
        <v>1051</v>
      </c>
      <c r="R3621" s="84" t="s">
        <v>3520</v>
      </c>
      <c r="S3621" s="40">
        <v>100</v>
      </c>
    </row>
    <row r="3622" spans="1:19" s="92" customFormat="1" ht="89.25">
      <c r="A3622" s="5">
        <v>3607</v>
      </c>
      <c r="B3622" s="15" t="s">
        <v>710</v>
      </c>
      <c r="C3622" s="40" t="s">
        <v>597</v>
      </c>
      <c r="D3622" s="40" t="s">
        <v>598</v>
      </c>
      <c r="E3622" s="31" t="s">
        <v>599</v>
      </c>
      <c r="F3622" s="31" t="s">
        <v>782</v>
      </c>
      <c r="G3622" s="31" t="s">
        <v>3195</v>
      </c>
      <c r="H3622" s="40" t="s">
        <v>602</v>
      </c>
      <c r="I3622" s="40" t="s">
        <v>3223</v>
      </c>
      <c r="J3622" s="40" t="s">
        <v>3197</v>
      </c>
      <c r="K3622" s="40" t="s">
        <v>591</v>
      </c>
      <c r="L3622" s="11" t="s">
        <v>914</v>
      </c>
      <c r="M3622" s="93">
        <v>1</v>
      </c>
      <c r="N3622" s="94">
        <v>624400</v>
      </c>
      <c r="O3622" s="94">
        <v>624400</v>
      </c>
      <c r="P3622" s="40" t="s">
        <v>502</v>
      </c>
      <c r="Q3622" s="40" t="s">
        <v>766</v>
      </c>
      <c r="R3622" s="84" t="s">
        <v>3519</v>
      </c>
      <c r="S3622" s="40">
        <v>0</v>
      </c>
    </row>
    <row r="3623" spans="1:19" s="92" customFormat="1" ht="89.25">
      <c r="A3623" s="5">
        <v>3608</v>
      </c>
      <c r="B3623" s="15" t="s">
        <v>710</v>
      </c>
      <c r="C3623" s="40" t="s">
        <v>597</v>
      </c>
      <c r="D3623" s="40" t="s">
        <v>598</v>
      </c>
      <c r="E3623" s="31" t="s">
        <v>599</v>
      </c>
      <c r="F3623" s="31" t="s">
        <v>782</v>
      </c>
      <c r="G3623" s="31" t="s">
        <v>3195</v>
      </c>
      <c r="H3623" s="40" t="s">
        <v>602</v>
      </c>
      <c r="I3623" s="40" t="s">
        <v>3223</v>
      </c>
      <c r="J3623" s="40" t="s">
        <v>3197</v>
      </c>
      <c r="K3623" s="40" t="s">
        <v>591</v>
      </c>
      <c r="L3623" s="11" t="s">
        <v>914</v>
      </c>
      <c r="M3623" s="93">
        <v>1</v>
      </c>
      <c r="N3623" s="94">
        <v>624400</v>
      </c>
      <c r="O3623" s="94">
        <v>624400</v>
      </c>
      <c r="P3623" s="40" t="s">
        <v>502</v>
      </c>
      <c r="Q3623" s="40" t="s">
        <v>766</v>
      </c>
      <c r="R3623" s="84" t="s">
        <v>3519</v>
      </c>
      <c r="S3623" s="40">
        <v>0</v>
      </c>
    </row>
    <row r="3624" spans="1:19" s="92" customFormat="1" ht="51">
      <c r="A3624" s="5">
        <v>3609</v>
      </c>
      <c r="B3624" s="15" t="s">
        <v>710</v>
      </c>
      <c r="C3624" s="40" t="s">
        <v>597</v>
      </c>
      <c r="D3624" s="11" t="s">
        <v>850</v>
      </c>
      <c r="E3624" s="76" t="s">
        <v>1736</v>
      </c>
      <c r="F3624" s="76" t="s">
        <v>851</v>
      </c>
      <c r="G3624" s="76" t="s">
        <v>1737</v>
      </c>
      <c r="H3624" s="76" t="s">
        <v>852</v>
      </c>
      <c r="I3624" s="76" t="s">
        <v>3199</v>
      </c>
      <c r="J3624" s="76" t="s">
        <v>3200</v>
      </c>
      <c r="K3624" s="40" t="s">
        <v>591</v>
      </c>
      <c r="L3624" s="11" t="s">
        <v>914</v>
      </c>
      <c r="M3624" s="97">
        <v>1</v>
      </c>
      <c r="N3624" s="94">
        <f>10000*5</f>
        <v>50000</v>
      </c>
      <c r="O3624" s="94">
        <f>N3624</f>
        <v>50000</v>
      </c>
      <c r="P3624" s="40" t="s">
        <v>698</v>
      </c>
      <c r="Q3624" s="40" t="s">
        <v>766</v>
      </c>
      <c r="R3624" s="84" t="s">
        <v>3519</v>
      </c>
      <c r="S3624" s="40">
        <v>0</v>
      </c>
    </row>
    <row r="3625" spans="1:19" s="92" customFormat="1" ht="51">
      <c r="A3625" s="5">
        <v>3610</v>
      </c>
      <c r="B3625" s="15" t="s">
        <v>710</v>
      </c>
      <c r="C3625" s="40" t="s">
        <v>597</v>
      </c>
      <c r="D3625" s="40" t="s">
        <v>2594</v>
      </c>
      <c r="E3625" s="31" t="s">
        <v>2618</v>
      </c>
      <c r="F3625" s="31" t="s">
        <v>2595</v>
      </c>
      <c r="G3625" s="31" t="s">
        <v>2618</v>
      </c>
      <c r="H3625" s="40" t="s">
        <v>2595</v>
      </c>
      <c r="I3625" s="40" t="s">
        <v>3201</v>
      </c>
      <c r="J3625" s="40" t="s">
        <v>3202</v>
      </c>
      <c r="K3625" s="40" t="s">
        <v>591</v>
      </c>
      <c r="L3625" s="11" t="s">
        <v>914</v>
      </c>
      <c r="M3625" s="93">
        <v>1</v>
      </c>
      <c r="N3625" s="94">
        <f>10500*3</f>
        <v>31500</v>
      </c>
      <c r="O3625" s="94">
        <f>N3625</f>
        <v>31500</v>
      </c>
      <c r="P3625" s="40" t="s">
        <v>3116</v>
      </c>
      <c r="Q3625" s="40" t="s">
        <v>766</v>
      </c>
      <c r="R3625" s="84" t="s">
        <v>3519</v>
      </c>
      <c r="S3625" s="40">
        <v>30</v>
      </c>
    </row>
    <row r="3626" spans="1:19" s="92" customFormat="1" ht="89.25">
      <c r="A3626" s="5">
        <v>3611</v>
      </c>
      <c r="B3626" s="15" t="s">
        <v>710</v>
      </c>
      <c r="C3626" s="40" t="s">
        <v>711</v>
      </c>
      <c r="D3626" s="40" t="s">
        <v>976</v>
      </c>
      <c r="E3626" s="31" t="s">
        <v>730</v>
      </c>
      <c r="F3626" s="31" t="s">
        <v>731</v>
      </c>
      <c r="G3626" s="31" t="s">
        <v>977</v>
      </c>
      <c r="H3626" s="40" t="s">
        <v>978</v>
      </c>
      <c r="I3626" s="40" t="s">
        <v>3221</v>
      </c>
      <c r="J3626" s="40" t="s">
        <v>3204</v>
      </c>
      <c r="K3626" s="40" t="s">
        <v>591</v>
      </c>
      <c r="L3626" s="40" t="s">
        <v>644</v>
      </c>
      <c r="M3626" s="93">
        <v>2</v>
      </c>
      <c r="N3626" s="94">
        <v>26800</v>
      </c>
      <c r="O3626" s="94">
        <f>N3626*M3626</f>
        <v>53600</v>
      </c>
      <c r="P3626" s="40" t="s">
        <v>3116</v>
      </c>
      <c r="Q3626" s="40" t="s">
        <v>1051</v>
      </c>
      <c r="R3626" s="84" t="s">
        <v>3519</v>
      </c>
      <c r="S3626" s="40">
        <v>100</v>
      </c>
    </row>
    <row r="3627" spans="1:19" s="92" customFormat="1" ht="63.75">
      <c r="A3627" s="5">
        <v>3612</v>
      </c>
      <c r="B3627" s="15" t="s">
        <v>710</v>
      </c>
      <c r="C3627" s="40" t="s">
        <v>711</v>
      </c>
      <c r="D3627" s="40" t="s">
        <v>744</v>
      </c>
      <c r="E3627" s="31" t="s">
        <v>745</v>
      </c>
      <c r="F3627" s="31" t="s">
        <v>109</v>
      </c>
      <c r="G3627" s="31" t="s">
        <v>746</v>
      </c>
      <c r="H3627" s="40" t="s">
        <v>3205</v>
      </c>
      <c r="I3627" s="40" t="s">
        <v>3206</v>
      </c>
      <c r="J3627" s="40" t="s">
        <v>3207</v>
      </c>
      <c r="K3627" s="40" t="s">
        <v>591</v>
      </c>
      <c r="L3627" s="40" t="s">
        <v>644</v>
      </c>
      <c r="M3627" s="93">
        <v>6</v>
      </c>
      <c r="N3627" s="94">
        <v>4000</v>
      </c>
      <c r="O3627" s="94">
        <f>M3627*N3627</f>
        <v>24000</v>
      </c>
      <c r="P3627" s="40" t="s">
        <v>3116</v>
      </c>
      <c r="Q3627" s="40" t="s">
        <v>1051</v>
      </c>
      <c r="R3627" s="84" t="s">
        <v>3519</v>
      </c>
      <c r="S3627" s="40">
        <v>100</v>
      </c>
    </row>
    <row r="3628" spans="1:19" s="92" customFormat="1" ht="51">
      <c r="A3628" s="5">
        <v>3613</v>
      </c>
      <c r="B3628" s="15" t="s">
        <v>710</v>
      </c>
      <c r="C3628" s="40" t="s">
        <v>711</v>
      </c>
      <c r="D3628" s="98" t="s">
        <v>422</v>
      </c>
      <c r="E3628" s="76" t="s">
        <v>423</v>
      </c>
      <c r="F3628" s="76" t="s">
        <v>427</v>
      </c>
      <c r="G3628" s="76" t="s">
        <v>837</v>
      </c>
      <c r="H3628" s="76" t="s">
        <v>425</v>
      </c>
      <c r="I3628" s="76" t="s">
        <v>3208</v>
      </c>
      <c r="J3628" s="76" t="s">
        <v>3209</v>
      </c>
      <c r="K3628" s="76" t="s">
        <v>591</v>
      </c>
      <c r="L3628" s="11" t="s">
        <v>909</v>
      </c>
      <c r="M3628" s="53">
        <v>18</v>
      </c>
      <c r="N3628" s="94">
        <v>640</v>
      </c>
      <c r="O3628" s="94">
        <f>N3628*M3628</f>
        <v>11520</v>
      </c>
      <c r="P3628" s="40" t="s">
        <v>3116</v>
      </c>
      <c r="Q3628" s="40" t="s">
        <v>766</v>
      </c>
      <c r="R3628" s="84" t="s">
        <v>3519</v>
      </c>
      <c r="S3628" s="40">
        <v>100</v>
      </c>
    </row>
    <row r="3629" spans="1:19" s="92" customFormat="1" ht="76.5">
      <c r="A3629" s="5">
        <v>3614</v>
      </c>
      <c r="B3629" s="15" t="s">
        <v>710</v>
      </c>
      <c r="C3629" s="40" t="s">
        <v>711</v>
      </c>
      <c r="D3629" s="40" t="s">
        <v>723</v>
      </c>
      <c r="E3629" s="31" t="s">
        <v>874</v>
      </c>
      <c r="F3629" s="31" t="s">
        <v>874</v>
      </c>
      <c r="G3629" s="31" t="s">
        <v>875</v>
      </c>
      <c r="H3629" s="40" t="s">
        <v>876</v>
      </c>
      <c r="I3629" s="40" t="s">
        <v>3222</v>
      </c>
      <c r="J3629" s="40" t="s">
        <v>3211</v>
      </c>
      <c r="K3629" s="40" t="s">
        <v>591</v>
      </c>
      <c r="L3629" s="40" t="s">
        <v>644</v>
      </c>
      <c r="M3629" s="93">
        <v>1</v>
      </c>
      <c r="N3629" s="94">
        <v>30000</v>
      </c>
      <c r="O3629" s="94">
        <f>N3629*M3629</f>
        <v>30000</v>
      </c>
      <c r="P3629" s="40" t="s">
        <v>3116</v>
      </c>
      <c r="Q3629" s="40" t="s">
        <v>1051</v>
      </c>
      <c r="R3629" s="84" t="s">
        <v>3519</v>
      </c>
      <c r="S3629" s="40">
        <v>100</v>
      </c>
    </row>
    <row r="3630" spans="1:19" s="92" customFormat="1" ht="89.25">
      <c r="A3630" s="5">
        <v>3615</v>
      </c>
      <c r="B3630" s="15" t="s">
        <v>710</v>
      </c>
      <c r="C3630" s="40" t="s">
        <v>597</v>
      </c>
      <c r="D3630" s="40" t="s">
        <v>598</v>
      </c>
      <c r="E3630" s="31" t="s">
        <v>599</v>
      </c>
      <c r="F3630" s="31" t="s">
        <v>782</v>
      </c>
      <c r="G3630" s="31" t="s">
        <v>3195</v>
      </c>
      <c r="H3630" s="40" t="s">
        <v>602</v>
      </c>
      <c r="I3630" s="40" t="s">
        <v>3223</v>
      </c>
      <c r="J3630" s="40" t="s">
        <v>3197</v>
      </c>
      <c r="K3630" s="40" t="s">
        <v>591</v>
      </c>
      <c r="L3630" s="11" t="s">
        <v>914</v>
      </c>
      <c r="M3630" s="93">
        <v>1</v>
      </c>
      <c r="N3630" s="94">
        <v>624400</v>
      </c>
      <c r="O3630" s="94">
        <v>624400</v>
      </c>
      <c r="P3630" s="40" t="s">
        <v>502</v>
      </c>
      <c r="Q3630" s="40" t="s">
        <v>766</v>
      </c>
      <c r="R3630" s="84" t="s">
        <v>2028</v>
      </c>
      <c r="S3630" s="40">
        <v>0</v>
      </c>
    </row>
    <row r="3631" spans="1:19" s="92" customFormat="1" ht="89.25">
      <c r="A3631" s="5">
        <v>3616</v>
      </c>
      <c r="B3631" s="15" t="s">
        <v>710</v>
      </c>
      <c r="C3631" s="40" t="s">
        <v>597</v>
      </c>
      <c r="D3631" s="40" t="s">
        <v>598</v>
      </c>
      <c r="E3631" s="31" t="s">
        <v>599</v>
      </c>
      <c r="F3631" s="31" t="s">
        <v>782</v>
      </c>
      <c r="G3631" s="31" t="s">
        <v>3195</v>
      </c>
      <c r="H3631" s="40" t="s">
        <v>602</v>
      </c>
      <c r="I3631" s="40" t="s">
        <v>3223</v>
      </c>
      <c r="J3631" s="40" t="s">
        <v>3197</v>
      </c>
      <c r="K3631" s="40" t="s">
        <v>591</v>
      </c>
      <c r="L3631" s="11" t="s">
        <v>914</v>
      </c>
      <c r="M3631" s="93">
        <v>1</v>
      </c>
      <c r="N3631" s="94">
        <v>624400</v>
      </c>
      <c r="O3631" s="94">
        <v>624400</v>
      </c>
      <c r="P3631" s="40" t="s">
        <v>502</v>
      </c>
      <c r="Q3631" s="40" t="s">
        <v>766</v>
      </c>
      <c r="R3631" s="84" t="s">
        <v>2028</v>
      </c>
      <c r="S3631" s="40">
        <v>0</v>
      </c>
    </row>
    <row r="3632" spans="1:19" s="92" customFormat="1" ht="51">
      <c r="A3632" s="5">
        <v>3617</v>
      </c>
      <c r="B3632" s="15" t="s">
        <v>710</v>
      </c>
      <c r="C3632" s="40" t="s">
        <v>597</v>
      </c>
      <c r="D3632" s="11" t="s">
        <v>850</v>
      </c>
      <c r="E3632" s="76" t="s">
        <v>1736</v>
      </c>
      <c r="F3632" s="76" t="s">
        <v>851</v>
      </c>
      <c r="G3632" s="76" t="s">
        <v>1737</v>
      </c>
      <c r="H3632" s="76" t="s">
        <v>852</v>
      </c>
      <c r="I3632" s="76" t="s">
        <v>3199</v>
      </c>
      <c r="J3632" s="76" t="s">
        <v>3200</v>
      </c>
      <c r="K3632" s="40" t="s">
        <v>591</v>
      </c>
      <c r="L3632" s="11" t="s">
        <v>914</v>
      </c>
      <c r="M3632" s="97">
        <v>1</v>
      </c>
      <c r="N3632" s="94">
        <f>10000*5</f>
        <v>50000</v>
      </c>
      <c r="O3632" s="94">
        <f>N3632</f>
        <v>50000</v>
      </c>
      <c r="P3632" s="40" t="s">
        <v>698</v>
      </c>
      <c r="Q3632" s="40" t="s">
        <v>766</v>
      </c>
      <c r="R3632" s="84" t="s">
        <v>2028</v>
      </c>
      <c r="S3632" s="40">
        <v>0</v>
      </c>
    </row>
    <row r="3633" spans="1:19" s="92" customFormat="1" ht="51">
      <c r="A3633" s="5">
        <v>3618</v>
      </c>
      <c r="B3633" s="15" t="s">
        <v>710</v>
      </c>
      <c r="C3633" s="40" t="s">
        <v>597</v>
      </c>
      <c r="D3633" s="40" t="s">
        <v>2594</v>
      </c>
      <c r="E3633" s="31" t="s">
        <v>2618</v>
      </c>
      <c r="F3633" s="31" t="s">
        <v>2595</v>
      </c>
      <c r="G3633" s="31" t="s">
        <v>2618</v>
      </c>
      <c r="H3633" s="40" t="s">
        <v>2595</v>
      </c>
      <c r="I3633" s="40" t="s">
        <v>3201</v>
      </c>
      <c r="J3633" s="40" t="s">
        <v>3202</v>
      </c>
      <c r="K3633" s="40" t="s">
        <v>591</v>
      </c>
      <c r="L3633" s="11" t="s">
        <v>914</v>
      </c>
      <c r="M3633" s="93">
        <v>1</v>
      </c>
      <c r="N3633" s="94">
        <f>10500*3</f>
        <v>31500</v>
      </c>
      <c r="O3633" s="94">
        <f>N3633</f>
        <v>31500</v>
      </c>
      <c r="P3633" s="40" t="s">
        <v>3116</v>
      </c>
      <c r="Q3633" s="40" t="s">
        <v>766</v>
      </c>
      <c r="R3633" s="84" t="s">
        <v>2028</v>
      </c>
      <c r="S3633" s="40">
        <v>30</v>
      </c>
    </row>
    <row r="3634" spans="1:19" s="92" customFormat="1" ht="89.25">
      <c r="A3634" s="5">
        <v>3619</v>
      </c>
      <c r="B3634" s="15" t="s">
        <v>710</v>
      </c>
      <c r="C3634" s="40" t="s">
        <v>711</v>
      </c>
      <c r="D3634" s="40" t="s">
        <v>976</v>
      </c>
      <c r="E3634" s="31" t="s">
        <v>730</v>
      </c>
      <c r="F3634" s="31" t="s">
        <v>731</v>
      </c>
      <c r="G3634" s="31" t="s">
        <v>977</v>
      </c>
      <c r="H3634" s="40" t="s">
        <v>978</v>
      </c>
      <c r="I3634" s="40" t="s">
        <v>3221</v>
      </c>
      <c r="J3634" s="40" t="s">
        <v>3204</v>
      </c>
      <c r="K3634" s="40" t="s">
        <v>591</v>
      </c>
      <c r="L3634" s="40" t="s">
        <v>644</v>
      </c>
      <c r="M3634" s="93">
        <v>2</v>
      </c>
      <c r="N3634" s="94">
        <v>26800</v>
      </c>
      <c r="O3634" s="94">
        <f>N3634*M3634</f>
        <v>53600</v>
      </c>
      <c r="P3634" s="40" t="s">
        <v>3116</v>
      </c>
      <c r="Q3634" s="40" t="s">
        <v>1051</v>
      </c>
      <c r="R3634" s="84" t="s">
        <v>2028</v>
      </c>
      <c r="S3634" s="40">
        <v>100</v>
      </c>
    </row>
    <row r="3635" spans="1:19" s="92" customFormat="1" ht="63.75">
      <c r="A3635" s="5">
        <v>3620</v>
      </c>
      <c r="B3635" s="15" t="s">
        <v>710</v>
      </c>
      <c r="C3635" s="40" t="s">
        <v>711</v>
      </c>
      <c r="D3635" s="40" t="s">
        <v>744</v>
      </c>
      <c r="E3635" s="31" t="s">
        <v>745</v>
      </c>
      <c r="F3635" s="31" t="s">
        <v>109</v>
      </c>
      <c r="G3635" s="31" t="s">
        <v>746</v>
      </c>
      <c r="H3635" s="40" t="s">
        <v>3205</v>
      </c>
      <c r="I3635" s="40" t="s">
        <v>3206</v>
      </c>
      <c r="J3635" s="40" t="s">
        <v>3207</v>
      </c>
      <c r="K3635" s="40" t="s">
        <v>591</v>
      </c>
      <c r="L3635" s="40" t="s">
        <v>644</v>
      </c>
      <c r="M3635" s="93">
        <v>6</v>
      </c>
      <c r="N3635" s="94">
        <v>4000</v>
      </c>
      <c r="O3635" s="94">
        <f>M3635*N3635</f>
        <v>24000</v>
      </c>
      <c r="P3635" s="40" t="s">
        <v>3116</v>
      </c>
      <c r="Q3635" s="40" t="s">
        <v>1051</v>
      </c>
      <c r="R3635" s="84" t="s">
        <v>2028</v>
      </c>
      <c r="S3635" s="40">
        <v>100</v>
      </c>
    </row>
    <row r="3636" spans="1:19" s="92" customFormat="1" ht="51">
      <c r="A3636" s="5">
        <v>3621</v>
      </c>
      <c r="B3636" s="15" t="s">
        <v>710</v>
      </c>
      <c r="C3636" s="40" t="s">
        <v>711</v>
      </c>
      <c r="D3636" s="98" t="s">
        <v>422</v>
      </c>
      <c r="E3636" s="76" t="s">
        <v>423</v>
      </c>
      <c r="F3636" s="76" t="s">
        <v>427</v>
      </c>
      <c r="G3636" s="76" t="s">
        <v>837</v>
      </c>
      <c r="H3636" s="76" t="s">
        <v>425</v>
      </c>
      <c r="I3636" s="76" t="s">
        <v>3208</v>
      </c>
      <c r="J3636" s="76" t="s">
        <v>3209</v>
      </c>
      <c r="K3636" s="76" t="s">
        <v>591</v>
      </c>
      <c r="L3636" s="11" t="s">
        <v>909</v>
      </c>
      <c r="M3636" s="53">
        <v>18</v>
      </c>
      <c r="N3636" s="94">
        <v>640</v>
      </c>
      <c r="O3636" s="94">
        <f>N3636*M3636</f>
        <v>11520</v>
      </c>
      <c r="P3636" s="40" t="s">
        <v>3116</v>
      </c>
      <c r="Q3636" s="40" t="s">
        <v>766</v>
      </c>
      <c r="R3636" s="84" t="s">
        <v>2028</v>
      </c>
      <c r="S3636" s="40">
        <v>100</v>
      </c>
    </row>
    <row r="3637" spans="1:19" s="92" customFormat="1" ht="76.5">
      <c r="A3637" s="5">
        <v>3622</v>
      </c>
      <c r="B3637" s="15" t="s">
        <v>710</v>
      </c>
      <c r="C3637" s="40" t="s">
        <v>711</v>
      </c>
      <c r="D3637" s="40" t="s">
        <v>723</v>
      </c>
      <c r="E3637" s="31" t="s">
        <v>874</v>
      </c>
      <c r="F3637" s="31" t="s">
        <v>874</v>
      </c>
      <c r="G3637" s="31" t="s">
        <v>875</v>
      </c>
      <c r="H3637" s="40" t="s">
        <v>876</v>
      </c>
      <c r="I3637" s="40" t="s">
        <v>3222</v>
      </c>
      <c r="J3637" s="40" t="s">
        <v>3211</v>
      </c>
      <c r="K3637" s="40" t="s">
        <v>591</v>
      </c>
      <c r="L3637" s="40" t="s">
        <v>644</v>
      </c>
      <c r="M3637" s="93">
        <v>1</v>
      </c>
      <c r="N3637" s="94">
        <v>30000</v>
      </c>
      <c r="O3637" s="94">
        <f>N3637*M3637</f>
        <v>30000</v>
      </c>
      <c r="P3637" s="40" t="s">
        <v>3116</v>
      </c>
      <c r="Q3637" s="40" t="s">
        <v>1051</v>
      </c>
      <c r="R3637" s="84" t="s">
        <v>2028</v>
      </c>
      <c r="S3637" s="40">
        <v>100</v>
      </c>
    </row>
    <row r="3638" spans="1:19" s="92" customFormat="1" ht="89.25">
      <c r="A3638" s="5">
        <v>3623</v>
      </c>
      <c r="B3638" s="15" t="s">
        <v>710</v>
      </c>
      <c r="C3638" s="40" t="s">
        <v>597</v>
      </c>
      <c r="D3638" s="40" t="s">
        <v>598</v>
      </c>
      <c r="E3638" s="31" t="s">
        <v>599</v>
      </c>
      <c r="F3638" s="31" t="s">
        <v>782</v>
      </c>
      <c r="G3638" s="31" t="s">
        <v>3195</v>
      </c>
      <c r="H3638" s="40" t="s">
        <v>602</v>
      </c>
      <c r="I3638" s="40" t="s">
        <v>3223</v>
      </c>
      <c r="J3638" s="40" t="s">
        <v>3197</v>
      </c>
      <c r="K3638" s="40" t="s">
        <v>591</v>
      </c>
      <c r="L3638" s="11" t="s">
        <v>914</v>
      </c>
      <c r="M3638" s="93">
        <v>1</v>
      </c>
      <c r="N3638" s="94">
        <v>624400</v>
      </c>
      <c r="O3638" s="94">
        <v>624400</v>
      </c>
      <c r="P3638" s="40" t="s">
        <v>502</v>
      </c>
      <c r="Q3638" s="40" t="s">
        <v>766</v>
      </c>
      <c r="R3638" s="84" t="s">
        <v>3518</v>
      </c>
      <c r="S3638" s="40">
        <v>0</v>
      </c>
    </row>
    <row r="3639" spans="1:19" s="92" customFormat="1" ht="89.25">
      <c r="A3639" s="5">
        <v>3624</v>
      </c>
      <c r="B3639" s="15" t="s">
        <v>710</v>
      </c>
      <c r="C3639" s="40" t="s">
        <v>597</v>
      </c>
      <c r="D3639" s="40" t="s">
        <v>598</v>
      </c>
      <c r="E3639" s="31" t="s">
        <v>599</v>
      </c>
      <c r="F3639" s="31" t="s">
        <v>782</v>
      </c>
      <c r="G3639" s="31" t="s">
        <v>3195</v>
      </c>
      <c r="H3639" s="40" t="s">
        <v>602</v>
      </c>
      <c r="I3639" s="40" t="s">
        <v>3223</v>
      </c>
      <c r="J3639" s="40" t="s">
        <v>3197</v>
      </c>
      <c r="K3639" s="40" t="s">
        <v>591</v>
      </c>
      <c r="L3639" s="11" t="s">
        <v>914</v>
      </c>
      <c r="M3639" s="93">
        <v>1</v>
      </c>
      <c r="N3639" s="94">
        <f>O3639/M3639</f>
        <v>356800</v>
      </c>
      <c r="O3639" s="94">
        <f>624400-178400-89200</f>
        <v>356800</v>
      </c>
      <c r="P3639" s="40" t="s">
        <v>588</v>
      </c>
      <c r="Q3639" s="40" t="s">
        <v>766</v>
      </c>
      <c r="R3639" s="84" t="s">
        <v>3518</v>
      </c>
      <c r="S3639" s="40">
        <v>0</v>
      </c>
    </row>
    <row r="3640" spans="1:19" s="92" customFormat="1" ht="51">
      <c r="A3640" s="5">
        <v>3625</v>
      </c>
      <c r="B3640" s="15" t="s">
        <v>710</v>
      </c>
      <c r="C3640" s="40" t="s">
        <v>597</v>
      </c>
      <c r="D3640" s="11" t="s">
        <v>850</v>
      </c>
      <c r="E3640" s="76" t="s">
        <v>1736</v>
      </c>
      <c r="F3640" s="76" t="s">
        <v>851</v>
      </c>
      <c r="G3640" s="76" t="s">
        <v>1737</v>
      </c>
      <c r="H3640" s="76" t="s">
        <v>852</v>
      </c>
      <c r="I3640" s="76" t="s">
        <v>3199</v>
      </c>
      <c r="J3640" s="76" t="s">
        <v>3200</v>
      </c>
      <c r="K3640" s="40" t="s">
        <v>591</v>
      </c>
      <c r="L3640" s="11" t="s">
        <v>914</v>
      </c>
      <c r="M3640" s="97">
        <v>1</v>
      </c>
      <c r="N3640" s="94">
        <f>10000*5</f>
        <v>50000</v>
      </c>
      <c r="O3640" s="94">
        <f>N3640</f>
        <v>50000</v>
      </c>
      <c r="P3640" s="40" t="s">
        <v>698</v>
      </c>
      <c r="Q3640" s="40" t="s">
        <v>766</v>
      </c>
      <c r="R3640" s="84" t="s">
        <v>3518</v>
      </c>
      <c r="S3640" s="40">
        <v>0</v>
      </c>
    </row>
    <row r="3641" spans="1:19" s="92" customFormat="1" ht="51">
      <c r="A3641" s="5">
        <v>3626</v>
      </c>
      <c r="B3641" s="15" t="s">
        <v>710</v>
      </c>
      <c r="C3641" s="40" t="s">
        <v>597</v>
      </c>
      <c r="D3641" s="40" t="s">
        <v>2594</v>
      </c>
      <c r="E3641" s="31" t="s">
        <v>2618</v>
      </c>
      <c r="F3641" s="31" t="s">
        <v>2595</v>
      </c>
      <c r="G3641" s="31" t="s">
        <v>2618</v>
      </c>
      <c r="H3641" s="40" t="s">
        <v>2595</v>
      </c>
      <c r="I3641" s="40" t="s">
        <v>3201</v>
      </c>
      <c r="J3641" s="40" t="s">
        <v>3202</v>
      </c>
      <c r="K3641" s="40" t="s">
        <v>591</v>
      </c>
      <c r="L3641" s="11" t="s">
        <v>914</v>
      </c>
      <c r="M3641" s="93">
        <v>1</v>
      </c>
      <c r="N3641" s="94">
        <f>10500*3</f>
        <v>31500</v>
      </c>
      <c r="O3641" s="94">
        <f>N3641</f>
        <v>31500</v>
      </c>
      <c r="P3641" s="40" t="s">
        <v>3116</v>
      </c>
      <c r="Q3641" s="40" t="s">
        <v>766</v>
      </c>
      <c r="R3641" s="84" t="s">
        <v>3518</v>
      </c>
      <c r="S3641" s="40">
        <v>30</v>
      </c>
    </row>
    <row r="3642" spans="1:19" s="92" customFormat="1" ht="89.25">
      <c r="A3642" s="5">
        <v>3627</v>
      </c>
      <c r="B3642" s="15" t="s">
        <v>710</v>
      </c>
      <c r="C3642" s="40" t="s">
        <v>711</v>
      </c>
      <c r="D3642" s="40" t="s">
        <v>976</v>
      </c>
      <c r="E3642" s="31" t="s">
        <v>730</v>
      </c>
      <c r="F3642" s="31" t="s">
        <v>731</v>
      </c>
      <c r="G3642" s="31" t="s">
        <v>977</v>
      </c>
      <c r="H3642" s="40" t="s">
        <v>978</v>
      </c>
      <c r="I3642" s="40" t="s">
        <v>3221</v>
      </c>
      <c r="J3642" s="40" t="s">
        <v>3204</v>
      </c>
      <c r="K3642" s="40" t="s">
        <v>591</v>
      </c>
      <c r="L3642" s="40" t="s">
        <v>644</v>
      </c>
      <c r="M3642" s="93">
        <v>2</v>
      </c>
      <c r="N3642" s="94">
        <v>26800</v>
      </c>
      <c r="O3642" s="94">
        <f>N3642*M3642</f>
        <v>53600</v>
      </c>
      <c r="P3642" s="40" t="s">
        <v>3116</v>
      </c>
      <c r="Q3642" s="40" t="s">
        <v>1051</v>
      </c>
      <c r="R3642" s="84" t="s">
        <v>3518</v>
      </c>
      <c r="S3642" s="40">
        <v>100</v>
      </c>
    </row>
    <row r="3643" spans="1:19" s="92" customFormat="1" ht="63.75">
      <c r="A3643" s="5">
        <v>3628</v>
      </c>
      <c r="B3643" s="15" t="s">
        <v>710</v>
      </c>
      <c r="C3643" s="40" t="s">
        <v>711</v>
      </c>
      <c r="D3643" s="40" t="s">
        <v>744</v>
      </c>
      <c r="E3643" s="31" t="s">
        <v>745</v>
      </c>
      <c r="F3643" s="31" t="s">
        <v>109</v>
      </c>
      <c r="G3643" s="31" t="s">
        <v>746</v>
      </c>
      <c r="H3643" s="40" t="s">
        <v>3205</v>
      </c>
      <c r="I3643" s="40" t="s">
        <v>3206</v>
      </c>
      <c r="J3643" s="40" t="s">
        <v>3207</v>
      </c>
      <c r="K3643" s="40" t="s">
        <v>591</v>
      </c>
      <c r="L3643" s="40" t="s">
        <v>644</v>
      </c>
      <c r="M3643" s="93">
        <v>6</v>
      </c>
      <c r="N3643" s="94">
        <v>4000</v>
      </c>
      <c r="O3643" s="94">
        <f>M3643*N3643</f>
        <v>24000</v>
      </c>
      <c r="P3643" s="40" t="s">
        <v>3116</v>
      </c>
      <c r="Q3643" s="40" t="s">
        <v>1051</v>
      </c>
      <c r="R3643" s="84" t="s">
        <v>3518</v>
      </c>
      <c r="S3643" s="40">
        <v>100</v>
      </c>
    </row>
    <row r="3644" spans="1:19" s="92" customFormat="1" ht="51">
      <c r="A3644" s="5">
        <v>3629</v>
      </c>
      <c r="B3644" s="15" t="s">
        <v>710</v>
      </c>
      <c r="C3644" s="40" t="s">
        <v>711</v>
      </c>
      <c r="D3644" s="98" t="s">
        <v>422</v>
      </c>
      <c r="E3644" s="76" t="s">
        <v>423</v>
      </c>
      <c r="F3644" s="76" t="s">
        <v>427</v>
      </c>
      <c r="G3644" s="76" t="s">
        <v>837</v>
      </c>
      <c r="H3644" s="76" t="s">
        <v>425</v>
      </c>
      <c r="I3644" s="76" t="s">
        <v>3208</v>
      </c>
      <c r="J3644" s="76" t="s">
        <v>3209</v>
      </c>
      <c r="K3644" s="76" t="s">
        <v>591</v>
      </c>
      <c r="L3644" s="11" t="s">
        <v>909</v>
      </c>
      <c r="M3644" s="53">
        <v>18</v>
      </c>
      <c r="N3644" s="94">
        <v>640</v>
      </c>
      <c r="O3644" s="94">
        <f>N3644*M3644</f>
        <v>11520</v>
      </c>
      <c r="P3644" s="40" t="s">
        <v>3116</v>
      </c>
      <c r="Q3644" s="40" t="s">
        <v>766</v>
      </c>
      <c r="R3644" s="84" t="s">
        <v>3518</v>
      </c>
      <c r="S3644" s="40">
        <v>100</v>
      </c>
    </row>
    <row r="3645" spans="1:19" s="92" customFormat="1" ht="76.5">
      <c r="A3645" s="5">
        <v>3630</v>
      </c>
      <c r="B3645" s="15" t="s">
        <v>710</v>
      </c>
      <c r="C3645" s="40" t="s">
        <v>711</v>
      </c>
      <c r="D3645" s="40" t="s">
        <v>723</v>
      </c>
      <c r="E3645" s="31" t="s">
        <v>874</v>
      </c>
      <c r="F3645" s="31" t="s">
        <v>874</v>
      </c>
      <c r="G3645" s="31" t="s">
        <v>875</v>
      </c>
      <c r="H3645" s="40" t="s">
        <v>876</v>
      </c>
      <c r="I3645" s="40" t="s">
        <v>3222</v>
      </c>
      <c r="J3645" s="40" t="s">
        <v>3211</v>
      </c>
      <c r="K3645" s="40" t="s">
        <v>591</v>
      </c>
      <c r="L3645" s="40" t="s">
        <v>644</v>
      </c>
      <c r="M3645" s="93">
        <v>1</v>
      </c>
      <c r="N3645" s="94">
        <v>30000</v>
      </c>
      <c r="O3645" s="94">
        <f>N3645*M3645</f>
        <v>30000</v>
      </c>
      <c r="P3645" s="40" t="s">
        <v>3116</v>
      </c>
      <c r="Q3645" s="40" t="s">
        <v>1051</v>
      </c>
      <c r="R3645" s="84" t="s">
        <v>3518</v>
      </c>
      <c r="S3645" s="40">
        <v>100</v>
      </c>
    </row>
    <row r="3646" spans="1:19" s="92" customFormat="1" ht="89.25">
      <c r="A3646" s="5">
        <v>3631</v>
      </c>
      <c r="B3646" s="15" t="s">
        <v>710</v>
      </c>
      <c r="C3646" s="40" t="s">
        <v>597</v>
      </c>
      <c r="D3646" s="40" t="s">
        <v>598</v>
      </c>
      <c r="E3646" s="31" t="s">
        <v>599</v>
      </c>
      <c r="F3646" s="31" t="s">
        <v>782</v>
      </c>
      <c r="G3646" s="31" t="s">
        <v>3195</v>
      </c>
      <c r="H3646" s="40" t="s">
        <v>602</v>
      </c>
      <c r="I3646" s="40" t="s">
        <v>3223</v>
      </c>
      <c r="J3646" s="40" t="s">
        <v>3197</v>
      </c>
      <c r="K3646" s="40" t="s">
        <v>591</v>
      </c>
      <c r="L3646" s="11" t="s">
        <v>914</v>
      </c>
      <c r="M3646" s="93">
        <v>1</v>
      </c>
      <c r="N3646" s="94">
        <v>624400</v>
      </c>
      <c r="O3646" s="94">
        <v>624400</v>
      </c>
      <c r="P3646" s="40" t="s">
        <v>502</v>
      </c>
      <c r="Q3646" s="40" t="s">
        <v>766</v>
      </c>
      <c r="R3646" s="84" t="s">
        <v>3517</v>
      </c>
      <c r="S3646" s="40">
        <v>0</v>
      </c>
    </row>
    <row r="3647" spans="1:19" s="92" customFormat="1" ht="89.25">
      <c r="A3647" s="5">
        <v>3632</v>
      </c>
      <c r="B3647" s="15" t="s">
        <v>710</v>
      </c>
      <c r="C3647" s="40" t="s">
        <v>597</v>
      </c>
      <c r="D3647" s="40" t="s">
        <v>598</v>
      </c>
      <c r="E3647" s="31" t="s">
        <v>599</v>
      </c>
      <c r="F3647" s="31" t="s">
        <v>782</v>
      </c>
      <c r="G3647" s="31" t="s">
        <v>3195</v>
      </c>
      <c r="H3647" s="40" t="s">
        <v>602</v>
      </c>
      <c r="I3647" s="40" t="s">
        <v>3223</v>
      </c>
      <c r="J3647" s="40" t="s">
        <v>3197</v>
      </c>
      <c r="K3647" s="40" t="s">
        <v>591</v>
      </c>
      <c r="L3647" s="11" t="s">
        <v>914</v>
      </c>
      <c r="M3647" s="93">
        <v>1</v>
      </c>
      <c r="N3647" s="94">
        <v>624400</v>
      </c>
      <c r="O3647" s="94">
        <v>624400</v>
      </c>
      <c r="P3647" s="40" t="s">
        <v>502</v>
      </c>
      <c r="Q3647" s="40" t="s">
        <v>766</v>
      </c>
      <c r="R3647" s="84" t="s">
        <v>3517</v>
      </c>
      <c r="S3647" s="40">
        <v>0</v>
      </c>
    </row>
    <row r="3648" spans="1:19" s="92" customFormat="1" ht="51">
      <c r="A3648" s="5">
        <v>3633</v>
      </c>
      <c r="B3648" s="15" t="s">
        <v>710</v>
      </c>
      <c r="C3648" s="40" t="s">
        <v>597</v>
      </c>
      <c r="D3648" s="11" t="s">
        <v>850</v>
      </c>
      <c r="E3648" s="76" t="s">
        <v>1736</v>
      </c>
      <c r="F3648" s="76" t="s">
        <v>851</v>
      </c>
      <c r="G3648" s="76" t="s">
        <v>1737</v>
      </c>
      <c r="H3648" s="76" t="s">
        <v>852</v>
      </c>
      <c r="I3648" s="76" t="s">
        <v>3199</v>
      </c>
      <c r="J3648" s="76" t="s">
        <v>3200</v>
      </c>
      <c r="K3648" s="40" t="s">
        <v>591</v>
      </c>
      <c r="L3648" s="11" t="s">
        <v>914</v>
      </c>
      <c r="M3648" s="97">
        <v>1</v>
      </c>
      <c r="N3648" s="94">
        <f>10000*5</f>
        <v>50000</v>
      </c>
      <c r="O3648" s="94">
        <f>N3648</f>
        <v>50000</v>
      </c>
      <c r="P3648" s="40" t="s">
        <v>698</v>
      </c>
      <c r="Q3648" s="40" t="s">
        <v>766</v>
      </c>
      <c r="R3648" s="84" t="s">
        <v>3517</v>
      </c>
      <c r="S3648" s="40">
        <v>0</v>
      </c>
    </row>
    <row r="3649" spans="1:19" s="92" customFormat="1" ht="51">
      <c r="A3649" s="5">
        <v>3634</v>
      </c>
      <c r="B3649" s="15" t="s">
        <v>710</v>
      </c>
      <c r="C3649" s="40" t="s">
        <v>597</v>
      </c>
      <c r="D3649" s="40" t="s">
        <v>2594</v>
      </c>
      <c r="E3649" s="31" t="s">
        <v>2618</v>
      </c>
      <c r="F3649" s="31" t="s">
        <v>2595</v>
      </c>
      <c r="G3649" s="31" t="s">
        <v>2618</v>
      </c>
      <c r="H3649" s="40" t="s">
        <v>2595</v>
      </c>
      <c r="I3649" s="40" t="s">
        <v>3201</v>
      </c>
      <c r="J3649" s="40" t="s">
        <v>3202</v>
      </c>
      <c r="K3649" s="40" t="s">
        <v>591</v>
      </c>
      <c r="L3649" s="11" t="s">
        <v>914</v>
      </c>
      <c r="M3649" s="93">
        <v>1</v>
      </c>
      <c r="N3649" s="94">
        <f>10500*3</f>
        <v>31500</v>
      </c>
      <c r="O3649" s="94">
        <f>N3649</f>
        <v>31500</v>
      </c>
      <c r="P3649" s="40" t="s">
        <v>3116</v>
      </c>
      <c r="Q3649" s="40" t="s">
        <v>766</v>
      </c>
      <c r="R3649" s="84" t="s">
        <v>3517</v>
      </c>
      <c r="S3649" s="40">
        <v>30</v>
      </c>
    </row>
    <row r="3650" spans="1:19" s="92" customFormat="1" ht="89.25">
      <c r="A3650" s="5">
        <v>3635</v>
      </c>
      <c r="B3650" s="15" t="s">
        <v>710</v>
      </c>
      <c r="C3650" s="40" t="s">
        <v>711</v>
      </c>
      <c r="D3650" s="40" t="s">
        <v>976</v>
      </c>
      <c r="E3650" s="31" t="s">
        <v>730</v>
      </c>
      <c r="F3650" s="31" t="s">
        <v>731</v>
      </c>
      <c r="G3650" s="31" t="s">
        <v>977</v>
      </c>
      <c r="H3650" s="40" t="s">
        <v>978</v>
      </c>
      <c r="I3650" s="40" t="s">
        <v>3221</v>
      </c>
      <c r="J3650" s="40" t="s">
        <v>3204</v>
      </c>
      <c r="K3650" s="40" t="s">
        <v>591</v>
      </c>
      <c r="L3650" s="40" t="s">
        <v>644</v>
      </c>
      <c r="M3650" s="93">
        <v>2</v>
      </c>
      <c r="N3650" s="94">
        <v>26800</v>
      </c>
      <c r="O3650" s="94">
        <f>N3650*M3650</f>
        <v>53600</v>
      </c>
      <c r="P3650" s="40" t="s">
        <v>3116</v>
      </c>
      <c r="Q3650" s="40" t="s">
        <v>1051</v>
      </c>
      <c r="R3650" s="84" t="s">
        <v>3517</v>
      </c>
      <c r="S3650" s="40">
        <v>100</v>
      </c>
    </row>
    <row r="3651" spans="1:19" s="92" customFormat="1" ht="63.75">
      <c r="A3651" s="5">
        <v>3636</v>
      </c>
      <c r="B3651" s="15" t="s">
        <v>710</v>
      </c>
      <c r="C3651" s="40" t="s">
        <v>711</v>
      </c>
      <c r="D3651" s="40" t="s">
        <v>744</v>
      </c>
      <c r="E3651" s="31" t="s">
        <v>745</v>
      </c>
      <c r="F3651" s="31" t="s">
        <v>109</v>
      </c>
      <c r="G3651" s="31" t="s">
        <v>746</v>
      </c>
      <c r="H3651" s="40" t="s">
        <v>3205</v>
      </c>
      <c r="I3651" s="40" t="s">
        <v>3206</v>
      </c>
      <c r="J3651" s="40" t="s">
        <v>3207</v>
      </c>
      <c r="K3651" s="40" t="s">
        <v>591</v>
      </c>
      <c r="L3651" s="40" t="s">
        <v>644</v>
      </c>
      <c r="M3651" s="93">
        <v>6</v>
      </c>
      <c r="N3651" s="94">
        <v>4000</v>
      </c>
      <c r="O3651" s="94">
        <f>M3651*N3651</f>
        <v>24000</v>
      </c>
      <c r="P3651" s="40" t="s">
        <v>3116</v>
      </c>
      <c r="Q3651" s="40" t="s">
        <v>1051</v>
      </c>
      <c r="R3651" s="84" t="s">
        <v>3517</v>
      </c>
      <c r="S3651" s="40">
        <v>100</v>
      </c>
    </row>
    <row r="3652" spans="1:19" s="92" customFormat="1" ht="51">
      <c r="A3652" s="5">
        <v>3637</v>
      </c>
      <c r="B3652" s="15" t="s">
        <v>710</v>
      </c>
      <c r="C3652" s="40" t="s">
        <v>711</v>
      </c>
      <c r="D3652" s="98" t="s">
        <v>422</v>
      </c>
      <c r="E3652" s="76" t="s">
        <v>423</v>
      </c>
      <c r="F3652" s="76" t="s">
        <v>427</v>
      </c>
      <c r="G3652" s="76" t="s">
        <v>837</v>
      </c>
      <c r="H3652" s="76" t="s">
        <v>425</v>
      </c>
      <c r="I3652" s="76" t="s">
        <v>3208</v>
      </c>
      <c r="J3652" s="76" t="s">
        <v>3209</v>
      </c>
      <c r="K3652" s="76" t="s">
        <v>591</v>
      </c>
      <c r="L3652" s="11" t="s">
        <v>909</v>
      </c>
      <c r="M3652" s="53">
        <v>18</v>
      </c>
      <c r="N3652" s="94">
        <v>640</v>
      </c>
      <c r="O3652" s="94">
        <f>N3652*M3652</f>
        <v>11520</v>
      </c>
      <c r="P3652" s="40" t="s">
        <v>3116</v>
      </c>
      <c r="Q3652" s="40" t="s">
        <v>766</v>
      </c>
      <c r="R3652" s="84" t="s">
        <v>3517</v>
      </c>
      <c r="S3652" s="40">
        <v>100</v>
      </c>
    </row>
    <row r="3653" spans="1:19" s="92" customFormat="1" ht="76.5">
      <c r="A3653" s="5">
        <v>3638</v>
      </c>
      <c r="B3653" s="15" t="s">
        <v>710</v>
      </c>
      <c r="C3653" s="40" t="s">
        <v>711</v>
      </c>
      <c r="D3653" s="40" t="s">
        <v>723</v>
      </c>
      <c r="E3653" s="31" t="s">
        <v>874</v>
      </c>
      <c r="F3653" s="31" t="s">
        <v>874</v>
      </c>
      <c r="G3653" s="31" t="s">
        <v>875</v>
      </c>
      <c r="H3653" s="40" t="s">
        <v>876</v>
      </c>
      <c r="I3653" s="40" t="s">
        <v>3222</v>
      </c>
      <c r="J3653" s="40" t="s">
        <v>3211</v>
      </c>
      <c r="K3653" s="40" t="s">
        <v>591</v>
      </c>
      <c r="L3653" s="40" t="s">
        <v>644</v>
      </c>
      <c r="M3653" s="93">
        <v>1</v>
      </c>
      <c r="N3653" s="94">
        <v>30000</v>
      </c>
      <c r="O3653" s="94">
        <f>N3653*M3653</f>
        <v>30000</v>
      </c>
      <c r="P3653" s="40" t="s">
        <v>3116</v>
      </c>
      <c r="Q3653" s="40" t="s">
        <v>1051</v>
      </c>
      <c r="R3653" s="84" t="s">
        <v>3517</v>
      </c>
      <c r="S3653" s="40">
        <v>100</v>
      </c>
    </row>
    <row r="3654" spans="1:19" s="92" customFormat="1" ht="89.25">
      <c r="A3654" s="5">
        <v>3639</v>
      </c>
      <c r="B3654" s="15" t="s">
        <v>710</v>
      </c>
      <c r="C3654" s="40" t="s">
        <v>597</v>
      </c>
      <c r="D3654" s="40" t="s">
        <v>598</v>
      </c>
      <c r="E3654" s="31" t="s">
        <v>599</v>
      </c>
      <c r="F3654" s="31" t="s">
        <v>782</v>
      </c>
      <c r="G3654" s="31" t="s">
        <v>3195</v>
      </c>
      <c r="H3654" s="40" t="s">
        <v>602</v>
      </c>
      <c r="I3654" s="40" t="s">
        <v>3223</v>
      </c>
      <c r="J3654" s="40" t="s">
        <v>3197</v>
      </c>
      <c r="K3654" s="40" t="s">
        <v>591</v>
      </c>
      <c r="L3654" s="11" t="s">
        <v>914</v>
      </c>
      <c r="M3654" s="93">
        <v>1</v>
      </c>
      <c r="N3654" s="94">
        <v>624400</v>
      </c>
      <c r="O3654" s="94">
        <v>624400</v>
      </c>
      <c r="P3654" s="40" t="s">
        <v>502</v>
      </c>
      <c r="Q3654" s="40" t="s">
        <v>766</v>
      </c>
      <c r="R3654" s="84" t="s">
        <v>3516</v>
      </c>
      <c r="S3654" s="40">
        <v>0</v>
      </c>
    </row>
    <row r="3655" spans="1:19" s="92" customFormat="1" ht="89.25">
      <c r="A3655" s="5">
        <v>3640</v>
      </c>
      <c r="B3655" s="15" t="s">
        <v>710</v>
      </c>
      <c r="C3655" s="40" t="s">
        <v>597</v>
      </c>
      <c r="D3655" s="40" t="s">
        <v>598</v>
      </c>
      <c r="E3655" s="31" t="s">
        <v>599</v>
      </c>
      <c r="F3655" s="31" t="s">
        <v>782</v>
      </c>
      <c r="G3655" s="31" t="s">
        <v>3195</v>
      </c>
      <c r="H3655" s="40" t="s">
        <v>602</v>
      </c>
      <c r="I3655" s="40" t="s">
        <v>3223</v>
      </c>
      <c r="J3655" s="40" t="s">
        <v>3197</v>
      </c>
      <c r="K3655" s="40" t="s">
        <v>591</v>
      </c>
      <c r="L3655" s="11" t="s">
        <v>914</v>
      </c>
      <c r="M3655" s="93">
        <v>1</v>
      </c>
      <c r="N3655" s="94">
        <f>O3655/M3655</f>
        <v>356800</v>
      </c>
      <c r="O3655" s="94">
        <f>624400-178400-89200</f>
        <v>356800</v>
      </c>
      <c r="P3655" s="40" t="s">
        <v>588</v>
      </c>
      <c r="Q3655" s="40" t="s">
        <v>766</v>
      </c>
      <c r="R3655" s="84" t="s">
        <v>3516</v>
      </c>
      <c r="S3655" s="40">
        <v>0</v>
      </c>
    </row>
    <row r="3656" spans="1:19" s="92" customFormat="1" ht="51">
      <c r="A3656" s="5">
        <v>3641</v>
      </c>
      <c r="B3656" s="15" t="s">
        <v>710</v>
      </c>
      <c r="C3656" s="40" t="s">
        <v>597</v>
      </c>
      <c r="D3656" s="11" t="s">
        <v>850</v>
      </c>
      <c r="E3656" s="76" t="s">
        <v>1736</v>
      </c>
      <c r="F3656" s="76" t="s">
        <v>851</v>
      </c>
      <c r="G3656" s="76" t="s">
        <v>1737</v>
      </c>
      <c r="H3656" s="76" t="s">
        <v>852</v>
      </c>
      <c r="I3656" s="76" t="s">
        <v>3199</v>
      </c>
      <c r="J3656" s="76" t="s">
        <v>3200</v>
      </c>
      <c r="K3656" s="40" t="s">
        <v>591</v>
      </c>
      <c r="L3656" s="11" t="s">
        <v>914</v>
      </c>
      <c r="M3656" s="97">
        <v>1</v>
      </c>
      <c r="N3656" s="94">
        <f>10000*5</f>
        <v>50000</v>
      </c>
      <c r="O3656" s="94">
        <f>N3656</f>
        <v>50000</v>
      </c>
      <c r="P3656" s="40" t="s">
        <v>698</v>
      </c>
      <c r="Q3656" s="40" t="s">
        <v>766</v>
      </c>
      <c r="R3656" s="84" t="s">
        <v>3516</v>
      </c>
      <c r="S3656" s="40">
        <v>0</v>
      </c>
    </row>
    <row r="3657" spans="1:19" s="92" customFormat="1" ht="51">
      <c r="A3657" s="5">
        <v>3642</v>
      </c>
      <c r="B3657" s="15" t="s">
        <v>710</v>
      </c>
      <c r="C3657" s="40" t="s">
        <v>597</v>
      </c>
      <c r="D3657" s="40" t="s">
        <v>2594</v>
      </c>
      <c r="E3657" s="31" t="s">
        <v>2618</v>
      </c>
      <c r="F3657" s="31" t="s">
        <v>2595</v>
      </c>
      <c r="G3657" s="31" t="s">
        <v>2618</v>
      </c>
      <c r="H3657" s="40" t="s">
        <v>2595</v>
      </c>
      <c r="I3657" s="40" t="s">
        <v>3201</v>
      </c>
      <c r="J3657" s="40" t="s">
        <v>3202</v>
      </c>
      <c r="K3657" s="40" t="s">
        <v>591</v>
      </c>
      <c r="L3657" s="11" t="s">
        <v>914</v>
      </c>
      <c r="M3657" s="93">
        <v>1</v>
      </c>
      <c r="N3657" s="94">
        <f>10500*3</f>
        <v>31500</v>
      </c>
      <c r="O3657" s="94">
        <f>N3657</f>
        <v>31500</v>
      </c>
      <c r="P3657" s="40" t="s">
        <v>3116</v>
      </c>
      <c r="Q3657" s="40" t="s">
        <v>766</v>
      </c>
      <c r="R3657" s="84" t="s">
        <v>3516</v>
      </c>
      <c r="S3657" s="40">
        <v>30</v>
      </c>
    </row>
    <row r="3658" spans="1:19" s="92" customFormat="1" ht="89.25">
      <c r="A3658" s="5">
        <v>3643</v>
      </c>
      <c r="B3658" s="15" t="s">
        <v>710</v>
      </c>
      <c r="C3658" s="40" t="s">
        <v>711</v>
      </c>
      <c r="D3658" s="40" t="s">
        <v>976</v>
      </c>
      <c r="E3658" s="31" t="s">
        <v>730</v>
      </c>
      <c r="F3658" s="31" t="s">
        <v>731</v>
      </c>
      <c r="G3658" s="31" t="s">
        <v>977</v>
      </c>
      <c r="H3658" s="40" t="s">
        <v>978</v>
      </c>
      <c r="I3658" s="40" t="s">
        <v>3221</v>
      </c>
      <c r="J3658" s="40" t="s">
        <v>3204</v>
      </c>
      <c r="K3658" s="40" t="s">
        <v>591</v>
      </c>
      <c r="L3658" s="40" t="s">
        <v>644</v>
      </c>
      <c r="M3658" s="93">
        <v>2</v>
      </c>
      <c r="N3658" s="94">
        <v>26800</v>
      </c>
      <c r="O3658" s="94">
        <f>N3658*M3658</f>
        <v>53600</v>
      </c>
      <c r="P3658" s="40" t="s">
        <v>3116</v>
      </c>
      <c r="Q3658" s="40" t="s">
        <v>1051</v>
      </c>
      <c r="R3658" s="84" t="s">
        <v>3516</v>
      </c>
      <c r="S3658" s="40">
        <v>100</v>
      </c>
    </row>
    <row r="3659" spans="1:19" s="92" customFormat="1" ht="63.75">
      <c r="A3659" s="5">
        <v>3644</v>
      </c>
      <c r="B3659" s="15" t="s">
        <v>710</v>
      </c>
      <c r="C3659" s="40" t="s">
        <v>711</v>
      </c>
      <c r="D3659" s="40" t="s">
        <v>744</v>
      </c>
      <c r="E3659" s="31" t="s">
        <v>745</v>
      </c>
      <c r="F3659" s="31" t="s">
        <v>109</v>
      </c>
      <c r="G3659" s="31" t="s">
        <v>746</v>
      </c>
      <c r="H3659" s="40" t="s">
        <v>3205</v>
      </c>
      <c r="I3659" s="40" t="s">
        <v>3206</v>
      </c>
      <c r="J3659" s="40" t="s">
        <v>3207</v>
      </c>
      <c r="K3659" s="40" t="s">
        <v>591</v>
      </c>
      <c r="L3659" s="40" t="s">
        <v>644</v>
      </c>
      <c r="M3659" s="93">
        <v>6</v>
      </c>
      <c r="N3659" s="94">
        <v>4000</v>
      </c>
      <c r="O3659" s="94">
        <f>M3659*N3659</f>
        <v>24000</v>
      </c>
      <c r="P3659" s="40" t="s">
        <v>3116</v>
      </c>
      <c r="Q3659" s="40" t="s">
        <v>1051</v>
      </c>
      <c r="R3659" s="84" t="s">
        <v>3516</v>
      </c>
      <c r="S3659" s="40">
        <v>100</v>
      </c>
    </row>
    <row r="3660" spans="1:19" s="92" customFormat="1" ht="51">
      <c r="A3660" s="5">
        <v>3645</v>
      </c>
      <c r="B3660" s="15" t="s">
        <v>710</v>
      </c>
      <c r="C3660" s="40" t="s">
        <v>711</v>
      </c>
      <c r="D3660" s="98" t="s">
        <v>422</v>
      </c>
      <c r="E3660" s="76" t="s">
        <v>423</v>
      </c>
      <c r="F3660" s="76" t="s">
        <v>427</v>
      </c>
      <c r="G3660" s="76" t="s">
        <v>837</v>
      </c>
      <c r="H3660" s="76" t="s">
        <v>425</v>
      </c>
      <c r="I3660" s="76" t="s">
        <v>3208</v>
      </c>
      <c r="J3660" s="76" t="s">
        <v>3209</v>
      </c>
      <c r="K3660" s="76" t="s">
        <v>591</v>
      </c>
      <c r="L3660" s="11" t="s">
        <v>909</v>
      </c>
      <c r="M3660" s="53">
        <v>18</v>
      </c>
      <c r="N3660" s="94">
        <v>640</v>
      </c>
      <c r="O3660" s="94">
        <f>N3660*M3660</f>
        <v>11520</v>
      </c>
      <c r="P3660" s="40" t="s">
        <v>3116</v>
      </c>
      <c r="Q3660" s="40" t="s">
        <v>766</v>
      </c>
      <c r="R3660" s="84" t="s">
        <v>3516</v>
      </c>
      <c r="S3660" s="40">
        <v>100</v>
      </c>
    </row>
    <row r="3661" spans="1:19" s="92" customFormat="1" ht="76.5">
      <c r="A3661" s="5">
        <v>3646</v>
      </c>
      <c r="B3661" s="15" t="s">
        <v>710</v>
      </c>
      <c r="C3661" s="40" t="s">
        <v>711</v>
      </c>
      <c r="D3661" s="40" t="s">
        <v>723</v>
      </c>
      <c r="E3661" s="31" t="s">
        <v>874</v>
      </c>
      <c r="F3661" s="31" t="s">
        <v>874</v>
      </c>
      <c r="G3661" s="31" t="s">
        <v>875</v>
      </c>
      <c r="H3661" s="40" t="s">
        <v>876</v>
      </c>
      <c r="I3661" s="40" t="s">
        <v>3222</v>
      </c>
      <c r="J3661" s="40" t="s">
        <v>3211</v>
      </c>
      <c r="K3661" s="40" t="s">
        <v>591</v>
      </c>
      <c r="L3661" s="40" t="s">
        <v>644</v>
      </c>
      <c r="M3661" s="93">
        <v>1</v>
      </c>
      <c r="N3661" s="94">
        <v>30000</v>
      </c>
      <c r="O3661" s="94">
        <f>N3661*M3661</f>
        <v>30000</v>
      </c>
      <c r="P3661" s="40" t="s">
        <v>3116</v>
      </c>
      <c r="Q3661" s="40" t="s">
        <v>1051</v>
      </c>
      <c r="R3661" s="84" t="s">
        <v>3516</v>
      </c>
      <c r="S3661" s="40">
        <v>100</v>
      </c>
    </row>
    <row r="3662" spans="1:19" s="92" customFormat="1" ht="89.25">
      <c r="A3662" s="5">
        <v>3647</v>
      </c>
      <c r="B3662" s="15" t="s">
        <v>710</v>
      </c>
      <c r="C3662" s="40" t="s">
        <v>597</v>
      </c>
      <c r="D3662" s="40" t="s">
        <v>598</v>
      </c>
      <c r="E3662" s="31" t="s">
        <v>599</v>
      </c>
      <c r="F3662" s="31" t="s">
        <v>782</v>
      </c>
      <c r="G3662" s="31" t="s">
        <v>3195</v>
      </c>
      <c r="H3662" s="40" t="s">
        <v>602</v>
      </c>
      <c r="I3662" s="40" t="s">
        <v>3223</v>
      </c>
      <c r="J3662" s="40" t="s">
        <v>3197</v>
      </c>
      <c r="K3662" s="40" t="s">
        <v>591</v>
      </c>
      <c r="L3662" s="11" t="s">
        <v>914</v>
      </c>
      <c r="M3662" s="93">
        <v>1</v>
      </c>
      <c r="N3662" s="94">
        <v>624400</v>
      </c>
      <c r="O3662" s="94">
        <v>624400</v>
      </c>
      <c r="P3662" s="40" t="s">
        <v>502</v>
      </c>
      <c r="Q3662" s="40" t="s">
        <v>766</v>
      </c>
      <c r="R3662" s="84" t="s">
        <v>3515</v>
      </c>
      <c r="S3662" s="40">
        <v>0</v>
      </c>
    </row>
    <row r="3663" spans="1:19" s="92" customFormat="1" ht="89.25">
      <c r="A3663" s="5">
        <v>3648</v>
      </c>
      <c r="B3663" s="15" t="s">
        <v>710</v>
      </c>
      <c r="C3663" s="40" t="s">
        <v>597</v>
      </c>
      <c r="D3663" s="40" t="s">
        <v>598</v>
      </c>
      <c r="E3663" s="31" t="s">
        <v>599</v>
      </c>
      <c r="F3663" s="31" t="s">
        <v>782</v>
      </c>
      <c r="G3663" s="31" t="s">
        <v>3195</v>
      </c>
      <c r="H3663" s="40" t="s">
        <v>602</v>
      </c>
      <c r="I3663" s="40" t="s">
        <v>3223</v>
      </c>
      <c r="J3663" s="40" t="s">
        <v>3197</v>
      </c>
      <c r="K3663" s="40" t="s">
        <v>591</v>
      </c>
      <c r="L3663" s="11" t="s">
        <v>914</v>
      </c>
      <c r="M3663" s="93">
        <v>1</v>
      </c>
      <c r="N3663" s="94">
        <f>O3663/M3663</f>
        <v>446000</v>
      </c>
      <c r="O3663" s="94">
        <f>624400-178400</f>
        <v>446000</v>
      </c>
      <c r="P3663" s="40" t="s">
        <v>699</v>
      </c>
      <c r="Q3663" s="40" t="s">
        <v>766</v>
      </c>
      <c r="R3663" s="84" t="s">
        <v>3515</v>
      </c>
      <c r="S3663" s="40">
        <v>0</v>
      </c>
    </row>
    <row r="3664" spans="1:19" s="92" customFormat="1" ht="51">
      <c r="A3664" s="5">
        <v>3649</v>
      </c>
      <c r="B3664" s="15" t="s">
        <v>710</v>
      </c>
      <c r="C3664" s="40" t="s">
        <v>597</v>
      </c>
      <c r="D3664" s="11" t="s">
        <v>850</v>
      </c>
      <c r="E3664" s="76" t="s">
        <v>1736</v>
      </c>
      <c r="F3664" s="76" t="s">
        <v>851</v>
      </c>
      <c r="G3664" s="76" t="s">
        <v>1737</v>
      </c>
      <c r="H3664" s="76" t="s">
        <v>852</v>
      </c>
      <c r="I3664" s="76" t="s">
        <v>3199</v>
      </c>
      <c r="J3664" s="76" t="s">
        <v>3200</v>
      </c>
      <c r="K3664" s="40" t="s">
        <v>591</v>
      </c>
      <c r="L3664" s="11" t="s">
        <v>914</v>
      </c>
      <c r="M3664" s="97">
        <v>1</v>
      </c>
      <c r="N3664" s="94">
        <f>10000*5</f>
        <v>50000</v>
      </c>
      <c r="O3664" s="94">
        <f>N3664</f>
        <v>50000</v>
      </c>
      <c r="P3664" s="40" t="s">
        <v>698</v>
      </c>
      <c r="Q3664" s="40" t="s">
        <v>766</v>
      </c>
      <c r="R3664" s="84" t="s">
        <v>3515</v>
      </c>
      <c r="S3664" s="40">
        <v>0</v>
      </c>
    </row>
    <row r="3665" spans="1:19" s="92" customFormat="1" ht="51">
      <c r="A3665" s="5">
        <v>3650</v>
      </c>
      <c r="B3665" s="15" t="s">
        <v>710</v>
      </c>
      <c r="C3665" s="40" t="s">
        <v>597</v>
      </c>
      <c r="D3665" s="40" t="s">
        <v>2594</v>
      </c>
      <c r="E3665" s="31" t="s">
        <v>2618</v>
      </c>
      <c r="F3665" s="31" t="s">
        <v>2595</v>
      </c>
      <c r="G3665" s="31" t="s">
        <v>2618</v>
      </c>
      <c r="H3665" s="40" t="s">
        <v>2595</v>
      </c>
      <c r="I3665" s="40" t="s">
        <v>3201</v>
      </c>
      <c r="J3665" s="40" t="s">
        <v>3202</v>
      </c>
      <c r="K3665" s="40" t="s">
        <v>591</v>
      </c>
      <c r="L3665" s="11" t="s">
        <v>914</v>
      </c>
      <c r="M3665" s="93">
        <v>1</v>
      </c>
      <c r="N3665" s="94">
        <f>10500*3</f>
        <v>31500</v>
      </c>
      <c r="O3665" s="94">
        <f>N3665</f>
        <v>31500</v>
      </c>
      <c r="P3665" s="40" t="s">
        <v>3116</v>
      </c>
      <c r="Q3665" s="40" t="s">
        <v>766</v>
      </c>
      <c r="R3665" s="84" t="s">
        <v>3515</v>
      </c>
      <c r="S3665" s="40">
        <v>30</v>
      </c>
    </row>
    <row r="3666" spans="1:19" s="92" customFormat="1" ht="89.25">
      <c r="A3666" s="5">
        <v>3651</v>
      </c>
      <c r="B3666" s="15" t="s">
        <v>710</v>
      </c>
      <c r="C3666" s="40" t="s">
        <v>711</v>
      </c>
      <c r="D3666" s="40" t="s">
        <v>976</v>
      </c>
      <c r="E3666" s="31" t="s">
        <v>730</v>
      </c>
      <c r="F3666" s="31" t="s">
        <v>731</v>
      </c>
      <c r="G3666" s="31" t="s">
        <v>977</v>
      </c>
      <c r="H3666" s="40" t="s">
        <v>978</v>
      </c>
      <c r="I3666" s="40" t="s">
        <v>3221</v>
      </c>
      <c r="J3666" s="40" t="s">
        <v>3204</v>
      </c>
      <c r="K3666" s="40" t="s">
        <v>591</v>
      </c>
      <c r="L3666" s="40" t="s">
        <v>644</v>
      </c>
      <c r="M3666" s="93">
        <v>2</v>
      </c>
      <c r="N3666" s="94">
        <v>26800</v>
      </c>
      <c r="O3666" s="94">
        <f>N3666*M3666</f>
        <v>53600</v>
      </c>
      <c r="P3666" s="40" t="s">
        <v>3116</v>
      </c>
      <c r="Q3666" s="40" t="s">
        <v>1051</v>
      </c>
      <c r="R3666" s="84" t="s">
        <v>3515</v>
      </c>
      <c r="S3666" s="40">
        <v>100</v>
      </c>
    </row>
    <row r="3667" spans="1:19" s="92" customFormat="1" ht="63.75">
      <c r="A3667" s="5">
        <v>3652</v>
      </c>
      <c r="B3667" s="15" t="s">
        <v>710</v>
      </c>
      <c r="C3667" s="40" t="s">
        <v>711</v>
      </c>
      <c r="D3667" s="40" t="s">
        <v>744</v>
      </c>
      <c r="E3667" s="31" t="s">
        <v>745</v>
      </c>
      <c r="F3667" s="31" t="s">
        <v>109</v>
      </c>
      <c r="G3667" s="31" t="s">
        <v>746</v>
      </c>
      <c r="H3667" s="40" t="s">
        <v>3205</v>
      </c>
      <c r="I3667" s="40" t="s">
        <v>3206</v>
      </c>
      <c r="J3667" s="40" t="s">
        <v>3207</v>
      </c>
      <c r="K3667" s="40" t="s">
        <v>591</v>
      </c>
      <c r="L3667" s="40" t="s">
        <v>644</v>
      </c>
      <c r="M3667" s="93">
        <v>6</v>
      </c>
      <c r="N3667" s="94">
        <v>4000</v>
      </c>
      <c r="O3667" s="94">
        <f>M3667*N3667</f>
        <v>24000</v>
      </c>
      <c r="P3667" s="40" t="s">
        <v>3116</v>
      </c>
      <c r="Q3667" s="40" t="s">
        <v>1051</v>
      </c>
      <c r="R3667" s="84" t="s">
        <v>3515</v>
      </c>
      <c r="S3667" s="40">
        <v>100</v>
      </c>
    </row>
    <row r="3668" spans="1:19" s="92" customFormat="1" ht="51">
      <c r="A3668" s="5">
        <v>3653</v>
      </c>
      <c r="B3668" s="15" t="s">
        <v>710</v>
      </c>
      <c r="C3668" s="40" t="s">
        <v>711</v>
      </c>
      <c r="D3668" s="98" t="s">
        <v>422</v>
      </c>
      <c r="E3668" s="76" t="s">
        <v>423</v>
      </c>
      <c r="F3668" s="76" t="s">
        <v>427</v>
      </c>
      <c r="G3668" s="76" t="s">
        <v>837</v>
      </c>
      <c r="H3668" s="76" t="s">
        <v>425</v>
      </c>
      <c r="I3668" s="76" t="s">
        <v>3208</v>
      </c>
      <c r="J3668" s="76" t="s">
        <v>3209</v>
      </c>
      <c r="K3668" s="76" t="s">
        <v>591</v>
      </c>
      <c r="L3668" s="11" t="s">
        <v>909</v>
      </c>
      <c r="M3668" s="53">
        <v>18</v>
      </c>
      <c r="N3668" s="94">
        <v>640</v>
      </c>
      <c r="O3668" s="94">
        <f>N3668*M3668</f>
        <v>11520</v>
      </c>
      <c r="P3668" s="40" t="s">
        <v>3116</v>
      </c>
      <c r="Q3668" s="40" t="s">
        <v>766</v>
      </c>
      <c r="R3668" s="84" t="s">
        <v>3515</v>
      </c>
      <c r="S3668" s="40">
        <v>100</v>
      </c>
    </row>
    <row r="3669" spans="1:19" s="92" customFormat="1" ht="76.5">
      <c r="A3669" s="5">
        <v>3654</v>
      </c>
      <c r="B3669" s="15" t="s">
        <v>710</v>
      </c>
      <c r="C3669" s="40" t="s">
        <v>711</v>
      </c>
      <c r="D3669" s="40" t="s">
        <v>723</v>
      </c>
      <c r="E3669" s="31" t="s">
        <v>874</v>
      </c>
      <c r="F3669" s="31" t="s">
        <v>874</v>
      </c>
      <c r="G3669" s="31" t="s">
        <v>875</v>
      </c>
      <c r="H3669" s="40" t="s">
        <v>876</v>
      </c>
      <c r="I3669" s="40" t="s">
        <v>3222</v>
      </c>
      <c r="J3669" s="40" t="s">
        <v>3211</v>
      </c>
      <c r="K3669" s="40" t="s">
        <v>591</v>
      </c>
      <c r="L3669" s="40" t="s">
        <v>644</v>
      </c>
      <c r="M3669" s="93">
        <v>1</v>
      </c>
      <c r="N3669" s="94">
        <v>30000</v>
      </c>
      <c r="O3669" s="94">
        <f>N3669*M3669</f>
        <v>30000</v>
      </c>
      <c r="P3669" s="40" t="s">
        <v>3116</v>
      </c>
      <c r="Q3669" s="40" t="s">
        <v>1051</v>
      </c>
      <c r="R3669" s="84" t="s">
        <v>3515</v>
      </c>
      <c r="S3669" s="40">
        <v>100</v>
      </c>
    </row>
    <row r="3670" spans="1:19" s="92" customFormat="1" ht="89.25">
      <c r="A3670" s="5">
        <v>3655</v>
      </c>
      <c r="B3670" s="15" t="s">
        <v>710</v>
      </c>
      <c r="C3670" s="40" t="s">
        <v>597</v>
      </c>
      <c r="D3670" s="117" t="s">
        <v>1142</v>
      </c>
      <c r="E3670" s="76" t="s">
        <v>1812</v>
      </c>
      <c r="F3670" s="76" t="s">
        <v>1143</v>
      </c>
      <c r="G3670" s="76" t="s">
        <v>1813</v>
      </c>
      <c r="H3670" s="76" t="s">
        <v>1144</v>
      </c>
      <c r="I3670" s="76" t="s">
        <v>1814</v>
      </c>
      <c r="J3670" s="76" t="s">
        <v>1145</v>
      </c>
      <c r="K3670" s="76" t="s">
        <v>591</v>
      </c>
      <c r="L3670" s="11" t="s">
        <v>914</v>
      </c>
      <c r="M3670" s="53">
        <v>1</v>
      </c>
      <c r="N3670" s="94">
        <f>O3670/M3670</f>
        <v>0</v>
      </c>
      <c r="O3670" s="94">
        <f>1000000-372000-628000</f>
        <v>0</v>
      </c>
      <c r="P3670" s="40" t="s">
        <v>699</v>
      </c>
      <c r="Q3670" s="40" t="s">
        <v>766</v>
      </c>
      <c r="R3670" s="111" t="s">
        <v>1175</v>
      </c>
      <c r="S3670" s="40">
        <v>30</v>
      </c>
    </row>
    <row r="3671" spans="1:19" s="92" customFormat="1" ht="127.5">
      <c r="A3671" s="5">
        <v>3656</v>
      </c>
      <c r="B3671" s="15" t="s">
        <v>710</v>
      </c>
      <c r="C3671" s="40" t="s">
        <v>2433</v>
      </c>
      <c r="D3671" s="40" t="s">
        <v>3224</v>
      </c>
      <c r="E3671" s="40" t="s">
        <v>3225</v>
      </c>
      <c r="F3671" s="40" t="s">
        <v>1177</v>
      </c>
      <c r="G3671" s="76" t="s">
        <v>1535</v>
      </c>
      <c r="H3671" s="76" t="s">
        <v>1178</v>
      </c>
      <c r="I3671" s="76" t="s">
        <v>3226</v>
      </c>
      <c r="J3671" s="76" t="s">
        <v>3227</v>
      </c>
      <c r="K3671" s="76" t="s">
        <v>591</v>
      </c>
      <c r="L3671" s="40" t="s">
        <v>3228</v>
      </c>
      <c r="M3671" s="53">
        <v>186</v>
      </c>
      <c r="N3671" s="94">
        <f>O3671/M3671</f>
        <v>47121</v>
      </c>
      <c r="O3671" s="94">
        <f>7825206+939300</f>
        <v>8764506</v>
      </c>
      <c r="P3671" s="40" t="s">
        <v>3116</v>
      </c>
      <c r="Q3671" s="40" t="s">
        <v>3229</v>
      </c>
      <c r="R3671" s="111" t="s">
        <v>1175</v>
      </c>
      <c r="S3671" s="40">
        <v>0</v>
      </c>
    </row>
    <row r="3672" spans="1:19" s="92" customFormat="1" ht="51">
      <c r="A3672" s="5">
        <v>3657</v>
      </c>
      <c r="B3672" s="15" t="s">
        <v>710</v>
      </c>
      <c r="C3672" s="40" t="s">
        <v>2433</v>
      </c>
      <c r="D3672" s="95" t="s">
        <v>2584</v>
      </c>
      <c r="E3672" s="123" t="s">
        <v>1181</v>
      </c>
      <c r="F3672" s="123" t="s">
        <v>1181</v>
      </c>
      <c r="G3672" s="123" t="s">
        <v>1181</v>
      </c>
      <c r="H3672" s="123" t="s">
        <v>1181</v>
      </c>
      <c r="I3672" s="123" t="s">
        <v>3230</v>
      </c>
      <c r="J3672" s="123" t="s">
        <v>3231</v>
      </c>
      <c r="K3672" s="76" t="s">
        <v>591</v>
      </c>
      <c r="L3672" s="40" t="s">
        <v>3228</v>
      </c>
      <c r="M3672" s="53">
        <v>319</v>
      </c>
      <c r="N3672" s="94">
        <v>191040</v>
      </c>
      <c r="O3672" s="94">
        <v>60941760</v>
      </c>
      <c r="P3672" s="40" t="s">
        <v>3116</v>
      </c>
      <c r="Q3672" s="40" t="s">
        <v>3229</v>
      </c>
      <c r="R3672" s="111" t="s">
        <v>1175</v>
      </c>
      <c r="S3672" s="40">
        <v>0</v>
      </c>
    </row>
    <row r="3673" spans="1:19" s="92" customFormat="1" ht="153">
      <c r="A3673" s="5">
        <v>3658</v>
      </c>
      <c r="B3673" s="15" t="s">
        <v>710</v>
      </c>
      <c r="C3673" s="40" t="s">
        <v>3117</v>
      </c>
      <c r="D3673" s="99" t="s">
        <v>1248</v>
      </c>
      <c r="E3673" s="31" t="s">
        <v>3232</v>
      </c>
      <c r="F3673" s="31" t="s">
        <v>1249</v>
      </c>
      <c r="G3673" s="31" t="s">
        <v>3233</v>
      </c>
      <c r="H3673" s="31" t="s">
        <v>1250</v>
      </c>
      <c r="I3673" s="31" t="s">
        <v>3234</v>
      </c>
      <c r="J3673" s="31" t="s">
        <v>3235</v>
      </c>
      <c r="K3673" s="40" t="s">
        <v>591</v>
      </c>
      <c r="L3673" s="40" t="s">
        <v>3228</v>
      </c>
      <c r="M3673" s="93">
        <v>28</v>
      </c>
      <c r="N3673" s="94">
        <v>105102</v>
      </c>
      <c r="O3673" s="94">
        <v>2942856</v>
      </c>
      <c r="P3673" s="40" t="s">
        <v>3139</v>
      </c>
      <c r="Q3673" s="40" t="s">
        <v>3236</v>
      </c>
      <c r="R3673" s="111" t="s">
        <v>1175</v>
      </c>
      <c r="S3673" s="40">
        <v>30</v>
      </c>
    </row>
    <row r="3674" spans="1:19" s="92" customFormat="1" ht="90.75" customHeight="1">
      <c r="A3674" s="5">
        <v>3659</v>
      </c>
      <c r="B3674" s="15" t="s">
        <v>710</v>
      </c>
      <c r="C3674" s="40" t="s">
        <v>711</v>
      </c>
      <c r="D3674" s="40" t="s">
        <v>3237</v>
      </c>
      <c r="E3674" s="40" t="s">
        <v>3238</v>
      </c>
      <c r="F3674" s="40" t="s">
        <v>3239</v>
      </c>
      <c r="G3674" s="40" t="s">
        <v>3238</v>
      </c>
      <c r="H3674" s="40" t="s">
        <v>3239</v>
      </c>
      <c r="I3674" s="40" t="s">
        <v>3240</v>
      </c>
      <c r="J3674" s="40" t="s">
        <v>3241</v>
      </c>
      <c r="K3674" s="40" t="s">
        <v>591</v>
      </c>
      <c r="L3674" s="40" t="s">
        <v>3228</v>
      </c>
      <c r="M3674" s="93">
        <v>319</v>
      </c>
      <c r="N3674" s="94">
        <f>O3674/M3674</f>
        <v>3656</v>
      </c>
      <c r="O3674" s="94">
        <v>1166264</v>
      </c>
      <c r="P3674" s="40" t="s">
        <v>3116</v>
      </c>
      <c r="Q3674" s="40" t="s">
        <v>3229</v>
      </c>
      <c r="R3674" s="111" t="s">
        <v>1175</v>
      </c>
      <c r="S3674" s="40">
        <v>100</v>
      </c>
    </row>
    <row r="3675" spans="1:19" s="92" customFormat="1" ht="63.75">
      <c r="A3675" s="5">
        <v>3660</v>
      </c>
      <c r="B3675" s="15" t="s">
        <v>710</v>
      </c>
      <c r="C3675" s="40" t="s">
        <v>597</v>
      </c>
      <c r="D3675" s="40" t="s">
        <v>1253</v>
      </c>
      <c r="E3675" s="40" t="s">
        <v>1843</v>
      </c>
      <c r="F3675" s="40" t="s">
        <v>1254</v>
      </c>
      <c r="G3675" s="40" t="s">
        <v>1844</v>
      </c>
      <c r="H3675" s="40" t="s">
        <v>1255</v>
      </c>
      <c r="I3675" s="40" t="s">
        <v>3242</v>
      </c>
      <c r="J3675" s="40" t="s">
        <v>3243</v>
      </c>
      <c r="K3675" s="40" t="s">
        <v>591</v>
      </c>
      <c r="L3675" s="11" t="s">
        <v>914</v>
      </c>
      <c r="M3675" s="93">
        <v>1</v>
      </c>
      <c r="N3675" s="94">
        <v>22184568.000000004</v>
      </c>
      <c r="O3675" s="94">
        <v>22184568.000000004</v>
      </c>
      <c r="P3675" s="40" t="s">
        <v>3433</v>
      </c>
      <c r="Q3675" s="40" t="s">
        <v>766</v>
      </c>
      <c r="R3675" s="111" t="s">
        <v>1175</v>
      </c>
      <c r="S3675" s="40">
        <v>0</v>
      </c>
    </row>
    <row r="3676" spans="1:19" s="92" customFormat="1" ht="51">
      <c r="A3676" s="5">
        <v>3661</v>
      </c>
      <c r="B3676" s="15" t="s">
        <v>710</v>
      </c>
      <c r="C3676" s="40" t="s">
        <v>597</v>
      </c>
      <c r="D3676" s="84" t="s">
        <v>542</v>
      </c>
      <c r="E3676" s="40" t="s">
        <v>3244</v>
      </c>
      <c r="F3676" s="40" t="s">
        <v>704</v>
      </c>
      <c r="G3676" s="40" t="s">
        <v>3244</v>
      </c>
      <c r="H3676" s="40" t="s">
        <v>704</v>
      </c>
      <c r="I3676" s="40" t="s">
        <v>3245</v>
      </c>
      <c r="J3676" s="40" t="s">
        <v>3246</v>
      </c>
      <c r="K3676" s="40" t="s">
        <v>591</v>
      </c>
      <c r="L3676" s="11" t="s">
        <v>914</v>
      </c>
      <c r="M3676" s="93">
        <v>1</v>
      </c>
      <c r="N3676" s="94">
        <v>4215357.1399999997</v>
      </c>
      <c r="O3676" s="94">
        <v>4215357.1399999997</v>
      </c>
      <c r="P3676" s="40" t="s">
        <v>3433</v>
      </c>
      <c r="Q3676" s="40" t="s">
        <v>766</v>
      </c>
      <c r="R3676" s="111" t="s">
        <v>1175</v>
      </c>
      <c r="S3676" s="40">
        <v>0</v>
      </c>
    </row>
    <row r="3677" spans="1:19" s="92" customFormat="1" ht="51">
      <c r="A3677" s="5">
        <v>3662</v>
      </c>
      <c r="B3677" s="15" t="s">
        <v>710</v>
      </c>
      <c r="C3677" s="40" t="s">
        <v>597</v>
      </c>
      <c r="D3677" s="40" t="s">
        <v>702</v>
      </c>
      <c r="E3677" s="100" t="s">
        <v>777</v>
      </c>
      <c r="F3677" s="100" t="s">
        <v>703</v>
      </c>
      <c r="G3677" s="100" t="s">
        <v>777</v>
      </c>
      <c r="H3677" s="100" t="s">
        <v>703</v>
      </c>
      <c r="I3677" s="100" t="s">
        <v>3247</v>
      </c>
      <c r="J3677" s="100" t="s">
        <v>3248</v>
      </c>
      <c r="K3677" s="40" t="s">
        <v>591</v>
      </c>
      <c r="L3677" s="11" t="s">
        <v>914</v>
      </c>
      <c r="M3677" s="93">
        <v>1</v>
      </c>
      <c r="N3677" s="94">
        <f>O3677/M3677</f>
        <v>0</v>
      </c>
      <c r="O3677" s="94">
        <f>434700-434700</f>
        <v>0</v>
      </c>
      <c r="P3677" s="40" t="s">
        <v>3139</v>
      </c>
      <c r="Q3677" s="40" t="s">
        <v>766</v>
      </c>
      <c r="R3677" s="84" t="s">
        <v>3514</v>
      </c>
      <c r="S3677" s="40">
        <v>0</v>
      </c>
    </row>
    <row r="3678" spans="1:19" s="92" customFormat="1" ht="51">
      <c r="A3678" s="5">
        <v>3663</v>
      </c>
      <c r="B3678" s="15" t="s">
        <v>710</v>
      </c>
      <c r="C3678" s="40" t="s">
        <v>597</v>
      </c>
      <c r="D3678" s="40" t="s">
        <v>702</v>
      </c>
      <c r="E3678" s="101" t="s">
        <v>777</v>
      </c>
      <c r="F3678" s="101" t="s">
        <v>703</v>
      </c>
      <c r="G3678" s="101" t="s">
        <v>777</v>
      </c>
      <c r="H3678" s="101" t="s">
        <v>703</v>
      </c>
      <c r="I3678" s="101" t="s">
        <v>3247</v>
      </c>
      <c r="J3678" s="101" t="s">
        <v>3248</v>
      </c>
      <c r="K3678" s="40" t="s">
        <v>591</v>
      </c>
      <c r="L3678" s="11" t="s">
        <v>914</v>
      </c>
      <c r="M3678" s="93">
        <v>1</v>
      </c>
      <c r="N3678" s="94">
        <f>O3678/M3678</f>
        <v>0</v>
      </c>
      <c r="O3678" s="94">
        <f>191362.5-191362.5</f>
        <v>0</v>
      </c>
      <c r="P3678" s="40" t="s">
        <v>3139</v>
      </c>
      <c r="Q3678" s="40" t="s">
        <v>766</v>
      </c>
      <c r="R3678" s="84" t="s">
        <v>3513</v>
      </c>
      <c r="S3678" s="40">
        <v>0</v>
      </c>
    </row>
    <row r="3679" spans="1:19" s="92" customFormat="1" ht="51">
      <c r="A3679" s="5">
        <v>3664</v>
      </c>
      <c r="B3679" s="15" t="s">
        <v>710</v>
      </c>
      <c r="C3679" s="40" t="s">
        <v>597</v>
      </c>
      <c r="D3679" s="40" t="s">
        <v>702</v>
      </c>
      <c r="E3679" s="101" t="s">
        <v>777</v>
      </c>
      <c r="F3679" s="101" t="s">
        <v>703</v>
      </c>
      <c r="G3679" s="101" t="s">
        <v>777</v>
      </c>
      <c r="H3679" s="101" t="s">
        <v>703</v>
      </c>
      <c r="I3679" s="101" t="s">
        <v>3247</v>
      </c>
      <c r="J3679" s="101" t="s">
        <v>3248</v>
      </c>
      <c r="K3679" s="40" t="s">
        <v>591</v>
      </c>
      <c r="L3679" s="11" t="s">
        <v>914</v>
      </c>
      <c r="M3679" s="93">
        <v>1</v>
      </c>
      <c r="N3679" s="94">
        <v>388500</v>
      </c>
      <c r="O3679" s="94">
        <v>388500</v>
      </c>
      <c r="P3679" s="40" t="s">
        <v>3139</v>
      </c>
      <c r="Q3679" s="40" t="s">
        <v>766</v>
      </c>
      <c r="R3679" s="84" t="s">
        <v>3512</v>
      </c>
      <c r="S3679" s="40">
        <v>0</v>
      </c>
    </row>
    <row r="3680" spans="1:19" s="92" customFormat="1" ht="51">
      <c r="A3680" s="5">
        <v>3665</v>
      </c>
      <c r="B3680" s="15" t="s">
        <v>710</v>
      </c>
      <c r="C3680" s="40" t="s">
        <v>597</v>
      </c>
      <c r="D3680" s="40" t="s">
        <v>702</v>
      </c>
      <c r="E3680" s="101" t="s">
        <v>777</v>
      </c>
      <c r="F3680" s="101" t="s">
        <v>703</v>
      </c>
      <c r="G3680" s="101" t="s">
        <v>777</v>
      </c>
      <c r="H3680" s="101" t="s">
        <v>703</v>
      </c>
      <c r="I3680" s="101" t="s">
        <v>3247</v>
      </c>
      <c r="J3680" s="101" t="s">
        <v>3248</v>
      </c>
      <c r="K3680" s="40" t="s">
        <v>591</v>
      </c>
      <c r="L3680" s="11" t="s">
        <v>914</v>
      </c>
      <c r="M3680" s="93">
        <v>1</v>
      </c>
      <c r="N3680" s="94">
        <v>342300</v>
      </c>
      <c r="O3680" s="94">
        <v>342300</v>
      </c>
      <c r="P3680" s="40" t="s">
        <v>3139</v>
      </c>
      <c r="Q3680" s="40" t="s">
        <v>766</v>
      </c>
      <c r="R3680" s="84" t="s">
        <v>3511</v>
      </c>
      <c r="S3680" s="40">
        <v>0</v>
      </c>
    </row>
    <row r="3681" spans="1:19" s="92" customFormat="1" ht="51">
      <c r="A3681" s="5">
        <v>3666</v>
      </c>
      <c r="B3681" s="15" t="s">
        <v>710</v>
      </c>
      <c r="C3681" s="40" t="s">
        <v>597</v>
      </c>
      <c r="D3681" s="40" t="s">
        <v>702</v>
      </c>
      <c r="E3681" s="100" t="s">
        <v>777</v>
      </c>
      <c r="F3681" s="100" t="s">
        <v>703</v>
      </c>
      <c r="G3681" s="100" t="s">
        <v>777</v>
      </c>
      <c r="H3681" s="100" t="s">
        <v>703</v>
      </c>
      <c r="I3681" s="100" t="s">
        <v>3247</v>
      </c>
      <c r="J3681" s="100" t="s">
        <v>3248</v>
      </c>
      <c r="K3681" s="40" t="s">
        <v>591</v>
      </c>
      <c r="L3681" s="11" t="s">
        <v>914</v>
      </c>
      <c r="M3681" s="9">
        <v>1</v>
      </c>
      <c r="N3681" s="94">
        <v>60000</v>
      </c>
      <c r="O3681" s="94">
        <v>60000</v>
      </c>
      <c r="P3681" s="40" t="s">
        <v>3116</v>
      </c>
      <c r="Q3681" s="40" t="s">
        <v>766</v>
      </c>
      <c r="R3681" s="84" t="s">
        <v>3510</v>
      </c>
      <c r="S3681" s="8">
        <v>0</v>
      </c>
    </row>
    <row r="3682" spans="1:19" s="92" customFormat="1" ht="51">
      <c r="A3682" s="5">
        <v>3667</v>
      </c>
      <c r="B3682" s="15" t="s">
        <v>710</v>
      </c>
      <c r="C3682" s="40" t="s">
        <v>597</v>
      </c>
      <c r="D3682" s="40" t="s">
        <v>702</v>
      </c>
      <c r="E3682" s="100" t="s">
        <v>777</v>
      </c>
      <c r="F3682" s="100" t="s">
        <v>703</v>
      </c>
      <c r="G3682" s="100" t="s">
        <v>777</v>
      </c>
      <c r="H3682" s="100" t="s">
        <v>703</v>
      </c>
      <c r="I3682" s="100" t="s">
        <v>3247</v>
      </c>
      <c r="J3682" s="100" t="s">
        <v>3248</v>
      </c>
      <c r="K3682" s="40" t="s">
        <v>591</v>
      </c>
      <c r="L3682" s="11" t="s">
        <v>914</v>
      </c>
      <c r="M3682" s="9">
        <v>1</v>
      </c>
      <c r="N3682" s="94">
        <v>60000</v>
      </c>
      <c r="O3682" s="94">
        <v>60000</v>
      </c>
      <c r="P3682" s="40" t="s">
        <v>502</v>
      </c>
      <c r="Q3682" s="40" t="s">
        <v>766</v>
      </c>
      <c r="R3682" s="84" t="s">
        <v>3509</v>
      </c>
      <c r="S3682" s="8">
        <v>0</v>
      </c>
    </row>
    <row r="3683" spans="1:19" s="92" customFormat="1" ht="51">
      <c r="A3683" s="5">
        <v>3668</v>
      </c>
      <c r="B3683" s="15" t="s">
        <v>710</v>
      </c>
      <c r="C3683" s="40" t="s">
        <v>597</v>
      </c>
      <c r="D3683" s="40" t="s">
        <v>702</v>
      </c>
      <c r="E3683" s="100" t="s">
        <v>777</v>
      </c>
      <c r="F3683" s="100" t="s">
        <v>703</v>
      </c>
      <c r="G3683" s="100" t="s">
        <v>777</v>
      </c>
      <c r="H3683" s="100" t="s">
        <v>703</v>
      </c>
      <c r="I3683" s="100" t="s">
        <v>3247</v>
      </c>
      <c r="J3683" s="100" t="s">
        <v>3248</v>
      </c>
      <c r="K3683" s="40" t="s">
        <v>591</v>
      </c>
      <c r="L3683" s="11" t="s">
        <v>914</v>
      </c>
      <c r="M3683" s="9">
        <v>1</v>
      </c>
      <c r="N3683" s="94">
        <v>120000</v>
      </c>
      <c r="O3683" s="94">
        <v>120000</v>
      </c>
      <c r="P3683" s="40" t="s">
        <v>502</v>
      </c>
      <c r="Q3683" s="40" t="s">
        <v>766</v>
      </c>
      <c r="R3683" s="84" t="s">
        <v>3508</v>
      </c>
      <c r="S3683" s="8">
        <v>0</v>
      </c>
    </row>
    <row r="3684" spans="1:19" s="92" customFormat="1" ht="51">
      <c r="A3684" s="5">
        <v>3669</v>
      </c>
      <c r="B3684" s="15" t="s">
        <v>710</v>
      </c>
      <c r="C3684" s="40" t="s">
        <v>3117</v>
      </c>
      <c r="D3684" s="40" t="s">
        <v>702</v>
      </c>
      <c r="E3684" s="31" t="s">
        <v>3249</v>
      </c>
      <c r="F3684" s="31" t="s">
        <v>703</v>
      </c>
      <c r="G3684" s="31" t="s">
        <v>3249</v>
      </c>
      <c r="H3684" s="31" t="s">
        <v>703</v>
      </c>
      <c r="I3684" s="31" t="s">
        <v>3250</v>
      </c>
      <c r="J3684" s="31" t="s">
        <v>3251</v>
      </c>
      <c r="K3684" s="40" t="s">
        <v>591</v>
      </c>
      <c r="L3684" s="11" t="s">
        <v>914</v>
      </c>
      <c r="M3684" s="40">
        <v>1</v>
      </c>
      <c r="N3684" s="94">
        <v>300000</v>
      </c>
      <c r="O3684" s="94">
        <v>300000</v>
      </c>
      <c r="P3684" s="40" t="s">
        <v>502</v>
      </c>
      <c r="Q3684" s="40" t="s">
        <v>766</v>
      </c>
      <c r="R3684" s="84" t="s">
        <v>3507</v>
      </c>
      <c r="S3684" s="8">
        <v>0</v>
      </c>
    </row>
    <row r="3685" spans="1:19" s="92" customFormat="1" ht="51">
      <c r="A3685" s="5">
        <v>3670</v>
      </c>
      <c r="B3685" s="15" t="s">
        <v>710</v>
      </c>
      <c r="C3685" s="40" t="s">
        <v>3117</v>
      </c>
      <c r="D3685" s="40" t="s">
        <v>702</v>
      </c>
      <c r="E3685" s="31" t="s">
        <v>3249</v>
      </c>
      <c r="F3685" s="31" t="s">
        <v>703</v>
      </c>
      <c r="G3685" s="31" t="s">
        <v>3249</v>
      </c>
      <c r="H3685" s="31" t="s">
        <v>703</v>
      </c>
      <c r="I3685" s="31" t="s">
        <v>3250</v>
      </c>
      <c r="J3685" s="31" t="s">
        <v>3251</v>
      </c>
      <c r="K3685" s="40" t="s">
        <v>591</v>
      </c>
      <c r="L3685" s="11" t="s">
        <v>914</v>
      </c>
      <c r="M3685" s="40">
        <v>1</v>
      </c>
      <c r="N3685" s="94">
        <v>300000</v>
      </c>
      <c r="O3685" s="94">
        <v>300000</v>
      </c>
      <c r="P3685" s="40" t="s">
        <v>502</v>
      </c>
      <c r="Q3685" s="40" t="s">
        <v>766</v>
      </c>
      <c r="R3685" s="84" t="s">
        <v>3506</v>
      </c>
      <c r="S3685" s="8">
        <v>0</v>
      </c>
    </row>
    <row r="3686" spans="1:19" s="92" customFormat="1" ht="51">
      <c r="A3686" s="5">
        <v>3671</v>
      </c>
      <c r="B3686" s="15" t="s">
        <v>710</v>
      </c>
      <c r="C3686" s="40" t="s">
        <v>3117</v>
      </c>
      <c r="D3686" s="40" t="s">
        <v>702</v>
      </c>
      <c r="E3686" s="31" t="s">
        <v>3249</v>
      </c>
      <c r="F3686" s="31" t="s">
        <v>703</v>
      </c>
      <c r="G3686" s="31" t="s">
        <v>3249</v>
      </c>
      <c r="H3686" s="31" t="s">
        <v>703</v>
      </c>
      <c r="I3686" s="31" t="s">
        <v>3250</v>
      </c>
      <c r="J3686" s="31" t="s">
        <v>3251</v>
      </c>
      <c r="K3686" s="40" t="s">
        <v>591</v>
      </c>
      <c r="L3686" s="11" t="s">
        <v>914</v>
      </c>
      <c r="M3686" s="40">
        <v>1</v>
      </c>
      <c r="N3686" s="94">
        <f>O3686/M3686</f>
        <v>0</v>
      </c>
      <c r="O3686" s="94">
        <f>300000-300000</f>
        <v>0</v>
      </c>
      <c r="P3686" s="40" t="s">
        <v>502</v>
      </c>
      <c r="Q3686" s="40" t="s">
        <v>766</v>
      </c>
      <c r="R3686" s="84" t="s">
        <v>3505</v>
      </c>
      <c r="S3686" s="8">
        <v>0</v>
      </c>
    </row>
    <row r="3687" spans="1:19" s="92" customFormat="1" ht="51">
      <c r="A3687" s="5">
        <v>3672</v>
      </c>
      <c r="B3687" s="15" t="s">
        <v>710</v>
      </c>
      <c r="C3687" s="40" t="s">
        <v>3117</v>
      </c>
      <c r="D3687" s="40" t="s">
        <v>702</v>
      </c>
      <c r="E3687" s="31" t="s">
        <v>3249</v>
      </c>
      <c r="F3687" s="31" t="s">
        <v>703</v>
      </c>
      <c r="G3687" s="31" t="s">
        <v>3249</v>
      </c>
      <c r="H3687" s="31" t="s">
        <v>703</v>
      </c>
      <c r="I3687" s="31" t="s">
        <v>3250</v>
      </c>
      <c r="J3687" s="31" t="s">
        <v>3251</v>
      </c>
      <c r="K3687" s="40" t="s">
        <v>591</v>
      </c>
      <c r="L3687" s="11" t="s">
        <v>914</v>
      </c>
      <c r="M3687" s="40">
        <v>1</v>
      </c>
      <c r="N3687" s="94">
        <f t="shared" ref="N3687:N3688" si="86">O3687/M3687</f>
        <v>0</v>
      </c>
      <c r="O3687" s="94">
        <f>300000-300000</f>
        <v>0</v>
      </c>
      <c r="P3687" s="40" t="s">
        <v>502</v>
      </c>
      <c r="Q3687" s="40" t="s">
        <v>766</v>
      </c>
      <c r="R3687" s="84" t="s">
        <v>3504</v>
      </c>
      <c r="S3687" s="8">
        <v>0</v>
      </c>
    </row>
    <row r="3688" spans="1:19" s="92" customFormat="1" ht="51">
      <c r="A3688" s="5">
        <v>3673</v>
      </c>
      <c r="B3688" s="15" t="s">
        <v>710</v>
      </c>
      <c r="C3688" s="40" t="s">
        <v>3117</v>
      </c>
      <c r="D3688" s="40" t="s">
        <v>702</v>
      </c>
      <c r="E3688" s="31" t="s">
        <v>3249</v>
      </c>
      <c r="F3688" s="31" t="s">
        <v>703</v>
      </c>
      <c r="G3688" s="31" t="s">
        <v>3249</v>
      </c>
      <c r="H3688" s="31" t="s">
        <v>703</v>
      </c>
      <c r="I3688" s="31" t="s">
        <v>3250</v>
      </c>
      <c r="J3688" s="31" t="s">
        <v>3251</v>
      </c>
      <c r="K3688" s="40" t="s">
        <v>591</v>
      </c>
      <c r="L3688" s="11" t="s">
        <v>914</v>
      </c>
      <c r="M3688" s="40">
        <v>1</v>
      </c>
      <c r="N3688" s="94">
        <f t="shared" si="86"/>
        <v>0</v>
      </c>
      <c r="O3688" s="94">
        <f>300000-300000</f>
        <v>0</v>
      </c>
      <c r="P3688" s="40" t="s">
        <v>502</v>
      </c>
      <c r="Q3688" s="40" t="s">
        <v>766</v>
      </c>
      <c r="R3688" s="84" t="s">
        <v>3503</v>
      </c>
      <c r="S3688" s="8">
        <v>0</v>
      </c>
    </row>
    <row r="3689" spans="1:19" s="92" customFormat="1" ht="51">
      <c r="A3689" s="5">
        <v>3674</v>
      </c>
      <c r="B3689" s="15" t="s">
        <v>710</v>
      </c>
      <c r="C3689" s="40" t="s">
        <v>3117</v>
      </c>
      <c r="D3689" s="40" t="s">
        <v>702</v>
      </c>
      <c r="E3689" s="31" t="s">
        <v>3249</v>
      </c>
      <c r="F3689" s="31" t="s">
        <v>703</v>
      </c>
      <c r="G3689" s="31" t="s">
        <v>3249</v>
      </c>
      <c r="H3689" s="31" t="s">
        <v>703</v>
      </c>
      <c r="I3689" s="31" t="s">
        <v>3250</v>
      </c>
      <c r="J3689" s="31" t="s">
        <v>3251</v>
      </c>
      <c r="K3689" s="40" t="s">
        <v>591</v>
      </c>
      <c r="L3689" s="11" t="s">
        <v>914</v>
      </c>
      <c r="M3689" s="40">
        <v>1</v>
      </c>
      <c r="N3689" s="94">
        <f>O3689/M3689</f>
        <v>300000</v>
      </c>
      <c r="O3689" s="94">
        <v>300000</v>
      </c>
      <c r="P3689" s="40" t="s">
        <v>502</v>
      </c>
      <c r="Q3689" s="40" t="s">
        <v>766</v>
      </c>
      <c r="R3689" s="84" t="s">
        <v>3502</v>
      </c>
      <c r="S3689" s="8">
        <v>0</v>
      </c>
    </row>
    <row r="3690" spans="1:19" s="92" customFormat="1" ht="51">
      <c r="A3690" s="5">
        <v>3675</v>
      </c>
      <c r="B3690" s="15" t="s">
        <v>710</v>
      </c>
      <c r="C3690" s="40" t="s">
        <v>3117</v>
      </c>
      <c r="D3690" s="40" t="s">
        <v>702</v>
      </c>
      <c r="E3690" s="31" t="s">
        <v>3249</v>
      </c>
      <c r="F3690" s="31" t="s">
        <v>703</v>
      </c>
      <c r="G3690" s="31" t="s">
        <v>3249</v>
      </c>
      <c r="H3690" s="31" t="s">
        <v>703</v>
      </c>
      <c r="I3690" s="31" t="s">
        <v>3250</v>
      </c>
      <c r="J3690" s="31" t="s">
        <v>3251</v>
      </c>
      <c r="K3690" s="40" t="s">
        <v>591</v>
      </c>
      <c r="L3690" s="11" t="s">
        <v>914</v>
      </c>
      <c r="M3690" s="40">
        <v>1</v>
      </c>
      <c r="N3690" s="94">
        <f>O3690/M3690</f>
        <v>0</v>
      </c>
      <c r="O3690" s="94">
        <f>300000-300000</f>
        <v>0</v>
      </c>
      <c r="P3690" s="40" t="s">
        <v>502</v>
      </c>
      <c r="Q3690" s="40" t="s">
        <v>766</v>
      </c>
      <c r="R3690" s="84" t="s">
        <v>3501</v>
      </c>
      <c r="S3690" s="8">
        <v>0</v>
      </c>
    </row>
    <row r="3691" spans="1:19" s="92" customFormat="1" ht="51">
      <c r="A3691" s="5">
        <v>3676</v>
      </c>
      <c r="B3691" s="15" t="s">
        <v>710</v>
      </c>
      <c r="C3691" s="40" t="s">
        <v>3117</v>
      </c>
      <c r="D3691" s="40" t="s">
        <v>702</v>
      </c>
      <c r="E3691" s="31" t="s">
        <v>3249</v>
      </c>
      <c r="F3691" s="31" t="s">
        <v>703</v>
      </c>
      <c r="G3691" s="31" t="s">
        <v>3249</v>
      </c>
      <c r="H3691" s="31" t="s">
        <v>703</v>
      </c>
      <c r="I3691" s="31" t="s">
        <v>3250</v>
      </c>
      <c r="J3691" s="31" t="s">
        <v>3251</v>
      </c>
      <c r="K3691" s="40" t="s">
        <v>591</v>
      </c>
      <c r="L3691" s="11" t="s">
        <v>914</v>
      </c>
      <c r="M3691" s="40">
        <v>1</v>
      </c>
      <c r="N3691" s="94">
        <v>300000</v>
      </c>
      <c r="O3691" s="94">
        <v>300000</v>
      </c>
      <c r="P3691" s="40" t="s">
        <v>502</v>
      </c>
      <c r="Q3691" s="40" t="s">
        <v>766</v>
      </c>
      <c r="R3691" s="84" t="s">
        <v>3500</v>
      </c>
      <c r="S3691" s="8">
        <v>0</v>
      </c>
    </row>
    <row r="3692" spans="1:19" s="92" customFormat="1" ht="51">
      <c r="A3692" s="5">
        <v>3677</v>
      </c>
      <c r="B3692" s="15" t="s">
        <v>710</v>
      </c>
      <c r="C3692" s="40" t="s">
        <v>3117</v>
      </c>
      <c r="D3692" s="40" t="s">
        <v>702</v>
      </c>
      <c r="E3692" s="31" t="s">
        <v>3249</v>
      </c>
      <c r="F3692" s="31" t="s">
        <v>703</v>
      </c>
      <c r="G3692" s="31" t="s">
        <v>3249</v>
      </c>
      <c r="H3692" s="31" t="s">
        <v>703</v>
      </c>
      <c r="I3692" s="31" t="s">
        <v>3250</v>
      </c>
      <c r="J3692" s="31" t="s">
        <v>3251</v>
      </c>
      <c r="K3692" s="40" t="s">
        <v>591</v>
      </c>
      <c r="L3692" s="11" t="s">
        <v>914</v>
      </c>
      <c r="M3692" s="40">
        <v>1</v>
      </c>
      <c r="N3692" s="94">
        <v>300000</v>
      </c>
      <c r="O3692" s="94">
        <v>300000</v>
      </c>
      <c r="P3692" s="40" t="s">
        <v>502</v>
      </c>
      <c r="Q3692" s="40" t="s">
        <v>766</v>
      </c>
      <c r="R3692" s="84" t="s">
        <v>3499</v>
      </c>
      <c r="S3692" s="8">
        <v>0</v>
      </c>
    </row>
    <row r="3693" spans="1:19" s="92" customFormat="1" ht="51">
      <c r="A3693" s="5">
        <v>3678</v>
      </c>
      <c r="B3693" s="15" t="s">
        <v>710</v>
      </c>
      <c r="C3693" s="40" t="s">
        <v>597</v>
      </c>
      <c r="D3693" s="40" t="s">
        <v>702</v>
      </c>
      <c r="E3693" s="100" t="s">
        <v>777</v>
      </c>
      <c r="F3693" s="100" t="s">
        <v>703</v>
      </c>
      <c r="G3693" s="100" t="s">
        <v>777</v>
      </c>
      <c r="H3693" s="100" t="s">
        <v>703</v>
      </c>
      <c r="I3693" s="31" t="s">
        <v>3250</v>
      </c>
      <c r="J3693" s="31" t="s">
        <v>3251</v>
      </c>
      <c r="K3693" s="40" t="s">
        <v>591</v>
      </c>
      <c r="L3693" s="11" t="s">
        <v>914</v>
      </c>
      <c r="M3693" s="93">
        <v>1</v>
      </c>
      <c r="N3693" s="94">
        <f>O3693/M3693</f>
        <v>0</v>
      </c>
      <c r="O3693" s="94">
        <f>252000-252000</f>
        <v>0</v>
      </c>
      <c r="P3693" s="40" t="s">
        <v>3139</v>
      </c>
      <c r="Q3693" s="40" t="s">
        <v>766</v>
      </c>
      <c r="R3693" s="84" t="s">
        <v>3498</v>
      </c>
      <c r="S3693" s="40">
        <v>0</v>
      </c>
    </row>
    <row r="3694" spans="1:19" s="92" customFormat="1" ht="51">
      <c r="A3694" s="5">
        <v>3679</v>
      </c>
      <c r="B3694" s="15" t="s">
        <v>710</v>
      </c>
      <c r="C3694" s="40" t="s">
        <v>597</v>
      </c>
      <c r="D3694" s="40" t="s">
        <v>702</v>
      </c>
      <c r="E3694" s="101" t="s">
        <v>777</v>
      </c>
      <c r="F3694" s="101" t="s">
        <v>703</v>
      </c>
      <c r="G3694" s="101" t="s">
        <v>777</v>
      </c>
      <c r="H3694" s="101" t="s">
        <v>703</v>
      </c>
      <c r="I3694" s="31" t="s">
        <v>3250</v>
      </c>
      <c r="J3694" s="31" t="s">
        <v>3251</v>
      </c>
      <c r="K3694" s="40" t="s">
        <v>591</v>
      </c>
      <c r="L3694" s="11" t="s">
        <v>914</v>
      </c>
      <c r="M3694" s="93">
        <v>1</v>
      </c>
      <c r="N3694" s="94">
        <f t="shared" ref="N3694:N3697" si="87">O3694/M3694</f>
        <v>0</v>
      </c>
      <c r="O3694" s="94">
        <f>226800-226800</f>
        <v>0</v>
      </c>
      <c r="P3694" s="40" t="s">
        <v>3139</v>
      </c>
      <c r="Q3694" s="40" t="s">
        <v>766</v>
      </c>
      <c r="R3694" s="84" t="s">
        <v>3497</v>
      </c>
      <c r="S3694" s="40">
        <v>0</v>
      </c>
    </row>
    <row r="3695" spans="1:19" s="92" customFormat="1" ht="51">
      <c r="A3695" s="5">
        <v>3680</v>
      </c>
      <c r="B3695" s="15" t="s">
        <v>710</v>
      </c>
      <c r="C3695" s="40" t="s">
        <v>597</v>
      </c>
      <c r="D3695" s="40" t="s">
        <v>702</v>
      </c>
      <c r="E3695" s="101" t="s">
        <v>777</v>
      </c>
      <c r="F3695" s="101" t="s">
        <v>703</v>
      </c>
      <c r="G3695" s="101" t="s">
        <v>777</v>
      </c>
      <c r="H3695" s="101" t="s">
        <v>703</v>
      </c>
      <c r="I3695" s="31" t="s">
        <v>3250</v>
      </c>
      <c r="J3695" s="31" t="s">
        <v>3251</v>
      </c>
      <c r="K3695" s="40" t="s">
        <v>591</v>
      </c>
      <c r="L3695" s="11" t="s">
        <v>914</v>
      </c>
      <c r="M3695" s="93">
        <v>1</v>
      </c>
      <c r="N3695" s="94">
        <f t="shared" si="87"/>
        <v>0</v>
      </c>
      <c r="O3695" s="94">
        <f>91000-91000</f>
        <v>0</v>
      </c>
      <c r="P3695" s="40" t="s">
        <v>3139</v>
      </c>
      <c r="Q3695" s="40" t="s">
        <v>766</v>
      </c>
      <c r="R3695" s="84" t="s">
        <v>3496</v>
      </c>
      <c r="S3695" s="40">
        <v>0</v>
      </c>
    </row>
    <row r="3696" spans="1:19" s="92" customFormat="1" ht="51">
      <c r="A3696" s="5">
        <v>3681</v>
      </c>
      <c r="B3696" s="15" t="s">
        <v>710</v>
      </c>
      <c r="C3696" s="40" t="s">
        <v>597</v>
      </c>
      <c r="D3696" s="40" t="s">
        <v>702</v>
      </c>
      <c r="E3696" s="101" t="s">
        <v>777</v>
      </c>
      <c r="F3696" s="101" t="s">
        <v>703</v>
      </c>
      <c r="G3696" s="101" t="s">
        <v>777</v>
      </c>
      <c r="H3696" s="101" t="s">
        <v>703</v>
      </c>
      <c r="I3696" s="31" t="s">
        <v>3250</v>
      </c>
      <c r="J3696" s="31" t="s">
        <v>3251</v>
      </c>
      <c r="K3696" s="40" t="s">
        <v>591</v>
      </c>
      <c r="L3696" s="11" t="s">
        <v>914</v>
      </c>
      <c r="M3696" s="93">
        <v>1</v>
      </c>
      <c r="N3696" s="94">
        <f t="shared" si="87"/>
        <v>0</v>
      </c>
      <c r="O3696" s="94">
        <f>182000-182000</f>
        <v>0</v>
      </c>
      <c r="P3696" s="40" t="s">
        <v>3139</v>
      </c>
      <c r="Q3696" s="40" t="s">
        <v>766</v>
      </c>
      <c r="R3696" s="84" t="s">
        <v>3495</v>
      </c>
      <c r="S3696" s="40">
        <v>0</v>
      </c>
    </row>
    <row r="3697" spans="1:19" s="92" customFormat="1" ht="51">
      <c r="A3697" s="5">
        <v>3682</v>
      </c>
      <c r="B3697" s="15" t="s">
        <v>710</v>
      </c>
      <c r="C3697" s="40" t="s">
        <v>597</v>
      </c>
      <c r="D3697" s="40" t="s">
        <v>702</v>
      </c>
      <c r="E3697" s="101" t="s">
        <v>777</v>
      </c>
      <c r="F3697" s="101" t="s">
        <v>703</v>
      </c>
      <c r="G3697" s="101" t="s">
        <v>777</v>
      </c>
      <c r="H3697" s="101" t="s">
        <v>703</v>
      </c>
      <c r="I3697" s="31" t="s">
        <v>3250</v>
      </c>
      <c r="J3697" s="31" t="s">
        <v>3251</v>
      </c>
      <c r="K3697" s="40" t="s">
        <v>591</v>
      </c>
      <c r="L3697" s="11" t="s">
        <v>914</v>
      </c>
      <c r="M3697" s="93">
        <v>1</v>
      </c>
      <c r="N3697" s="94">
        <f t="shared" si="87"/>
        <v>0</v>
      </c>
      <c r="O3697" s="94">
        <f>210000-210000</f>
        <v>0</v>
      </c>
      <c r="P3697" s="40" t="s">
        <v>3139</v>
      </c>
      <c r="Q3697" s="40" t="s">
        <v>766</v>
      </c>
      <c r="R3697" s="84" t="s">
        <v>3494</v>
      </c>
      <c r="S3697" s="40">
        <v>0</v>
      </c>
    </row>
    <row r="3698" spans="1:19" s="92" customFormat="1" ht="51">
      <c r="A3698" s="5">
        <v>3683</v>
      </c>
      <c r="B3698" s="15" t="s">
        <v>710</v>
      </c>
      <c r="C3698" s="40" t="s">
        <v>597</v>
      </c>
      <c r="D3698" s="40" t="s">
        <v>548</v>
      </c>
      <c r="E3698" s="76" t="s">
        <v>549</v>
      </c>
      <c r="F3698" s="76" t="s">
        <v>550</v>
      </c>
      <c r="G3698" s="76" t="s">
        <v>549</v>
      </c>
      <c r="H3698" s="76" t="s">
        <v>550</v>
      </c>
      <c r="I3698" s="76" t="s">
        <v>1410</v>
      </c>
      <c r="J3698" s="76" t="s">
        <v>69</v>
      </c>
      <c r="K3698" s="40" t="s">
        <v>591</v>
      </c>
      <c r="L3698" s="11" t="s">
        <v>914</v>
      </c>
      <c r="M3698" s="93">
        <v>1</v>
      </c>
      <c r="N3698" s="94">
        <f>O3698/M3698</f>
        <v>31500</v>
      </c>
      <c r="O3698" s="94">
        <f>36750-5250</f>
        <v>31500</v>
      </c>
      <c r="P3698" s="40" t="s">
        <v>699</v>
      </c>
      <c r="Q3698" s="40" t="s">
        <v>766</v>
      </c>
      <c r="R3698" s="84" t="s">
        <v>3493</v>
      </c>
      <c r="S3698" s="40">
        <v>0</v>
      </c>
    </row>
    <row r="3699" spans="1:19" s="92" customFormat="1" ht="76.5">
      <c r="A3699" s="5">
        <v>3684</v>
      </c>
      <c r="B3699" s="15" t="s">
        <v>710</v>
      </c>
      <c r="C3699" s="40" t="s">
        <v>597</v>
      </c>
      <c r="D3699" s="40" t="s">
        <v>556</v>
      </c>
      <c r="E3699" s="76" t="s">
        <v>557</v>
      </c>
      <c r="F3699" s="76" t="s">
        <v>558</v>
      </c>
      <c r="G3699" s="76" t="s">
        <v>559</v>
      </c>
      <c r="H3699" s="76" t="s">
        <v>560</v>
      </c>
      <c r="I3699" s="76" t="s">
        <v>1411</v>
      </c>
      <c r="J3699" s="76" t="s">
        <v>70</v>
      </c>
      <c r="K3699" s="40" t="s">
        <v>591</v>
      </c>
      <c r="L3699" s="11" t="s">
        <v>914</v>
      </c>
      <c r="M3699" s="93">
        <v>1</v>
      </c>
      <c r="N3699" s="94">
        <f>O3699/M3699</f>
        <v>13500</v>
      </c>
      <c r="O3699" s="94">
        <f>15750-2250</f>
        <v>13500</v>
      </c>
      <c r="P3699" s="40" t="s">
        <v>699</v>
      </c>
      <c r="Q3699" s="40" t="s">
        <v>766</v>
      </c>
      <c r="R3699" s="84" t="s">
        <v>3493</v>
      </c>
      <c r="S3699" s="40">
        <v>0</v>
      </c>
    </row>
    <row r="3700" spans="1:19" s="92" customFormat="1" ht="63.75">
      <c r="A3700" s="5">
        <v>3685</v>
      </c>
      <c r="B3700" s="15" t="s">
        <v>710</v>
      </c>
      <c r="C3700" s="40" t="s">
        <v>597</v>
      </c>
      <c r="D3700" s="40" t="s">
        <v>551</v>
      </c>
      <c r="E3700" s="76" t="s">
        <v>552</v>
      </c>
      <c r="F3700" s="76" t="s">
        <v>553</v>
      </c>
      <c r="G3700" s="76" t="s">
        <v>554</v>
      </c>
      <c r="H3700" s="76" t="s">
        <v>555</v>
      </c>
      <c r="I3700" s="76" t="s">
        <v>1412</v>
      </c>
      <c r="J3700" s="76" t="s">
        <v>71</v>
      </c>
      <c r="K3700" s="40" t="s">
        <v>591</v>
      </c>
      <c r="L3700" s="11" t="s">
        <v>914</v>
      </c>
      <c r="M3700" s="93">
        <v>1</v>
      </c>
      <c r="N3700" s="94">
        <f t="shared" ref="N3700:N3772" si="88">O3700/M3700</f>
        <v>31500</v>
      </c>
      <c r="O3700" s="94">
        <f>36750-5250</f>
        <v>31500</v>
      </c>
      <c r="P3700" s="40" t="s">
        <v>699</v>
      </c>
      <c r="Q3700" s="40" t="s">
        <v>766</v>
      </c>
      <c r="R3700" s="84" t="s">
        <v>3493</v>
      </c>
      <c r="S3700" s="40">
        <v>0</v>
      </c>
    </row>
    <row r="3701" spans="1:19" s="92" customFormat="1" ht="76.5">
      <c r="A3701" s="5">
        <v>3686</v>
      </c>
      <c r="B3701" s="15" t="s">
        <v>710</v>
      </c>
      <c r="C3701" s="40" t="s">
        <v>597</v>
      </c>
      <c r="D3701" s="40" t="s">
        <v>868</v>
      </c>
      <c r="E3701" s="76" t="s">
        <v>1874</v>
      </c>
      <c r="F3701" s="76" t="s">
        <v>869</v>
      </c>
      <c r="G3701" s="76" t="s">
        <v>1875</v>
      </c>
      <c r="H3701" s="76" t="s">
        <v>870</v>
      </c>
      <c r="I3701" s="76" t="s">
        <v>1873</v>
      </c>
      <c r="J3701" s="76" t="s">
        <v>72</v>
      </c>
      <c r="K3701" s="40" t="s">
        <v>591</v>
      </c>
      <c r="L3701" s="11" t="s">
        <v>914</v>
      </c>
      <c r="M3701" s="97">
        <v>1</v>
      </c>
      <c r="N3701" s="94">
        <f t="shared" si="88"/>
        <v>13500</v>
      </c>
      <c r="O3701" s="94">
        <f>15750-2250</f>
        <v>13500</v>
      </c>
      <c r="P3701" s="40" t="s">
        <v>699</v>
      </c>
      <c r="Q3701" s="40" t="s">
        <v>766</v>
      </c>
      <c r="R3701" s="84" t="s">
        <v>3493</v>
      </c>
      <c r="S3701" s="40">
        <v>0</v>
      </c>
    </row>
    <row r="3702" spans="1:19" s="92" customFormat="1" ht="51">
      <c r="A3702" s="5">
        <v>3687</v>
      </c>
      <c r="B3702" s="15" t="s">
        <v>710</v>
      </c>
      <c r="C3702" s="42" t="s">
        <v>597</v>
      </c>
      <c r="D3702" s="40" t="s">
        <v>702</v>
      </c>
      <c r="E3702" s="76" t="s">
        <v>777</v>
      </c>
      <c r="F3702" s="76" t="s">
        <v>703</v>
      </c>
      <c r="G3702" s="76" t="s">
        <v>777</v>
      </c>
      <c r="H3702" s="76" t="s">
        <v>703</v>
      </c>
      <c r="I3702" s="76" t="s">
        <v>3247</v>
      </c>
      <c r="J3702" s="76" t="s">
        <v>3248</v>
      </c>
      <c r="K3702" s="76" t="s">
        <v>591</v>
      </c>
      <c r="L3702" s="11" t="s">
        <v>914</v>
      </c>
      <c r="M3702" s="93">
        <v>1</v>
      </c>
      <c r="N3702" s="94">
        <f t="shared" si="88"/>
        <v>275400</v>
      </c>
      <c r="O3702" s="94">
        <f>321300-45900</f>
        <v>275400</v>
      </c>
      <c r="P3702" s="40" t="s">
        <v>699</v>
      </c>
      <c r="Q3702" s="40" t="s">
        <v>766</v>
      </c>
      <c r="R3702" s="84" t="s">
        <v>3493</v>
      </c>
      <c r="S3702" s="40">
        <v>0</v>
      </c>
    </row>
    <row r="3703" spans="1:19" s="92" customFormat="1" ht="51">
      <c r="A3703" s="5">
        <v>3688</v>
      </c>
      <c r="B3703" s="15" t="s">
        <v>710</v>
      </c>
      <c r="C3703" s="40" t="s">
        <v>597</v>
      </c>
      <c r="D3703" s="40" t="s">
        <v>548</v>
      </c>
      <c r="E3703" s="76" t="s">
        <v>549</v>
      </c>
      <c r="F3703" s="76" t="s">
        <v>550</v>
      </c>
      <c r="G3703" s="76" t="s">
        <v>549</v>
      </c>
      <c r="H3703" s="76" t="s">
        <v>550</v>
      </c>
      <c r="I3703" s="76" t="s">
        <v>1410</v>
      </c>
      <c r="J3703" s="76" t="s">
        <v>69</v>
      </c>
      <c r="K3703" s="40" t="s">
        <v>591</v>
      </c>
      <c r="L3703" s="11" t="s">
        <v>914</v>
      </c>
      <c r="M3703" s="93">
        <v>1</v>
      </c>
      <c r="N3703" s="94">
        <f t="shared" si="88"/>
        <v>31500</v>
      </c>
      <c r="O3703" s="94">
        <f>36750-5250</f>
        <v>31500</v>
      </c>
      <c r="P3703" s="40" t="s">
        <v>699</v>
      </c>
      <c r="Q3703" s="40" t="s">
        <v>766</v>
      </c>
      <c r="R3703" s="84" t="s">
        <v>3492</v>
      </c>
      <c r="S3703" s="40">
        <v>0</v>
      </c>
    </row>
    <row r="3704" spans="1:19" s="92" customFormat="1" ht="76.5">
      <c r="A3704" s="5">
        <v>3689</v>
      </c>
      <c r="B3704" s="15" t="s">
        <v>710</v>
      </c>
      <c r="C3704" s="40" t="s">
        <v>597</v>
      </c>
      <c r="D3704" s="40" t="s">
        <v>556</v>
      </c>
      <c r="E3704" s="76" t="s">
        <v>557</v>
      </c>
      <c r="F3704" s="76" t="s">
        <v>558</v>
      </c>
      <c r="G3704" s="76" t="s">
        <v>559</v>
      </c>
      <c r="H3704" s="76" t="s">
        <v>560</v>
      </c>
      <c r="I3704" s="76" t="s">
        <v>1411</v>
      </c>
      <c r="J3704" s="76" t="s">
        <v>70</v>
      </c>
      <c r="K3704" s="40" t="s">
        <v>591</v>
      </c>
      <c r="L3704" s="11" t="s">
        <v>914</v>
      </c>
      <c r="M3704" s="93">
        <v>1</v>
      </c>
      <c r="N3704" s="94">
        <f t="shared" si="88"/>
        <v>13500</v>
      </c>
      <c r="O3704" s="94">
        <f>15750-2250</f>
        <v>13500</v>
      </c>
      <c r="P3704" s="40" t="s">
        <v>699</v>
      </c>
      <c r="Q3704" s="40" t="s">
        <v>766</v>
      </c>
      <c r="R3704" s="84" t="s">
        <v>3492</v>
      </c>
      <c r="S3704" s="40">
        <v>0</v>
      </c>
    </row>
    <row r="3705" spans="1:19" s="92" customFormat="1" ht="63.75">
      <c r="A3705" s="5">
        <v>3690</v>
      </c>
      <c r="B3705" s="15" t="s">
        <v>710</v>
      </c>
      <c r="C3705" s="40" t="s">
        <v>597</v>
      </c>
      <c r="D3705" s="40" t="s">
        <v>551</v>
      </c>
      <c r="E3705" s="76" t="s">
        <v>552</v>
      </c>
      <c r="F3705" s="76" t="s">
        <v>553</v>
      </c>
      <c r="G3705" s="76" t="s">
        <v>554</v>
      </c>
      <c r="H3705" s="76" t="s">
        <v>555</v>
      </c>
      <c r="I3705" s="76" t="s">
        <v>1412</v>
      </c>
      <c r="J3705" s="76" t="s">
        <v>71</v>
      </c>
      <c r="K3705" s="40" t="s">
        <v>591</v>
      </c>
      <c r="L3705" s="11" t="s">
        <v>914</v>
      </c>
      <c r="M3705" s="93">
        <v>1</v>
      </c>
      <c r="N3705" s="94">
        <f t="shared" si="88"/>
        <v>31500</v>
      </c>
      <c r="O3705" s="94">
        <f>36750-5250</f>
        <v>31500</v>
      </c>
      <c r="P3705" s="40" t="s">
        <v>699</v>
      </c>
      <c r="Q3705" s="40" t="s">
        <v>766</v>
      </c>
      <c r="R3705" s="84" t="s">
        <v>3492</v>
      </c>
      <c r="S3705" s="40">
        <v>0</v>
      </c>
    </row>
    <row r="3706" spans="1:19" s="92" customFormat="1" ht="76.5">
      <c r="A3706" s="5">
        <v>3691</v>
      </c>
      <c r="B3706" s="15" t="s">
        <v>710</v>
      </c>
      <c r="C3706" s="40" t="s">
        <v>597</v>
      </c>
      <c r="D3706" s="40" t="s">
        <v>868</v>
      </c>
      <c r="E3706" s="76" t="s">
        <v>1874</v>
      </c>
      <c r="F3706" s="76" t="s">
        <v>869</v>
      </c>
      <c r="G3706" s="76" t="s">
        <v>1875</v>
      </c>
      <c r="H3706" s="76" t="s">
        <v>870</v>
      </c>
      <c r="I3706" s="76" t="s">
        <v>1873</v>
      </c>
      <c r="J3706" s="76" t="s">
        <v>72</v>
      </c>
      <c r="K3706" s="40" t="s">
        <v>591</v>
      </c>
      <c r="L3706" s="11" t="s">
        <v>914</v>
      </c>
      <c r="M3706" s="97">
        <v>1</v>
      </c>
      <c r="N3706" s="94">
        <f t="shared" si="88"/>
        <v>13500</v>
      </c>
      <c r="O3706" s="94">
        <f>15750-2250</f>
        <v>13500</v>
      </c>
      <c r="P3706" s="40" t="s">
        <v>699</v>
      </c>
      <c r="Q3706" s="40" t="s">
        <v>766</v>
      </c>
      <c r="R3706" s="84" t="s">
        <v>3492</v>
      </c>
      <c r="S3706" s="40">
        <v>0</v>
      </c>
    </row>
    <row r="3707" spans="1:19" s="92" customFormat="1" ht="51">
      <c r="A3707" s="5">
        <v>3692</v>
      </c>
      <c r="B3707" s="15" t="s">
        <v>710</v>
      </c>
      <c r="C3707" s="40" t="s">
        <v>597</v>
      </c>
      <c r="D3707" s="40" t="s">
        <v>548</v>
      </c>
      <c r="E3707" s="76" t="s">
        <v>549</v>
      </c>
      <c r="F3707" s="76" t="s">
        <v>550</v>
      </c>
      <c r="G3707" s="76" t="s">
        <v>549</v>
      </c>
      <c r="H3707" s="76" t="s">
        <v>550</v>
      </c>
      <c r="I3707" s="76" t="s">
        <v>1410</v>
      </c>
      <c r="J3707" s="76" t="s">
        <v>69</v>
      </c>
      <c r="K3707" s="40" t="s">
        <v>591</v>
      </c>
      <c r="L3707" s="11" t="s">
        <v>914</v>
      </c>
      <c r="M3707" s="93">
        <v>1</v>
      </c>
      <c r="N3707" s="94">
        <f t="shared" si="88"/>
        <v>31500</v>
      </c>
      <c r="O3707" s="94">
        <f>36750-5250</f>
        <v>31500</v>
      </c>
      <c r="P3707" s="40" t="s">
        <v>699</v>
      </c>
      <c r="Q3707" s="40" t="s">
        <v>766</v>
      </c>
      <c r="R3707" s="84" t="s">
        <v>3491</v>
      </c>
      <c r="S3707" s="40">
        <v>0</v>
      </c>
    </row>
    <row r="3708" spans="1:19" s="92" customFormat="1" ht="76.5">
      <c r="A3708" s="5">
        <v>3693</v>
      </c>
      <c r="B3708" s="15" t="s">
        <v>710</v>
      </c>
      <c r="C3708" s="40" t="s">
        <v>597</v>
      </c>
      <c r="D3708" s="40" t="s">
        <v>556</v>
      </c>
      <c r="E3708" s="76" t="s">
        <v>557</v>
      </c>
      <c r="F3708" s="76" t="s">
        <v>558</v>
      </c>
      <c r="G3708" s="76" t="s">
        <v>559</v>
      </c>
      <c r="H3708" s="76" t="s">
        <v>560</v>
      </c>
      <c r="I3708" s="76" t="s">
        <v>1411</v>
      </c>
      <c r="J3708" s="76" t="s">
        <v>70</v>
      </c>
      <c r="K3708" s="40" t="s">
        <v>591</v>
      </c>
      <c r="L3708" s="11" t="s">
        <v>914</v>
      </c>
      <c r="M3708" s="93">
        <v>1</v>
      </c>
      <c r="N3708" s="94">
        <f t="shared" si="88"/>
        <v>13500</v>
      </c>
      <c r="O3708" s="94">
        <f>15750-2250</f>
        <v>13500</v>
      </c>
      <c r="P3708" s="40" t="s">
        <v>699</v>
      </c>
      <c r="Q3708" s="40" t="s">
        <v>766</v>
      </c>
      <c r="R3708" s="84" t="s">
        <v>3491</v>
      </c>
      <c r="S3708" s="40">
        <v>0</v>
      </c>
    </row>
    <row r="3709" spans="1:19" s="92" customFormat="1" ht="63.75">
      <c r="A3709" s="5">
        <v>3694</v>
      </c>
      <c r="B3709" s="15" t="s">
        <v>710</v>
      </c>
      <c r="C3709" s="40" t="s">
        <v>597</v>
      </c>
      <c r="D3709" s="40" t="s">
        <v>551</v>
      </c>
      <c r="E3709" s="76" t="s">
        <v>552</v>
      </c>
      <c r="F3709" s="76" t="s">
        <v>553</v>
      </c>
      <c r="G3709" s="76" t="s">
        <v>554</v>
      </c>
      <c r="H3709" s="76" t="s">
        <v>555</v>
      </c>
      <c r="I3709" s="76" t="s">
        <v>1412</v>
      </c>
      <c r="J3709" s="76" t="s">
        <v>71</v>
      </c>
      <c r="K3709" s="40" t="s">
        <v>591</v>
      </c>
      <c r="L3709" s="11" t="s">
        <v>914</v>
      </c>
      <c r="M3709" s="93">
        <v>1</v>
      </c>
      <c r="N3709" s="94">
        <f t="shared" si="88"/>
        <v>31500</v>
      </c>
      <c r="O3709" s="94">
        <f>36750-5250</f>
        <v>31500</v>
      </c>
      <c r="P3709" s="40" t="s">
        <v>699</v>
      </c>
      <c r="Q3709" s="40" t="s">
        <v>766</v>
      </c>
      <c r="R3709" s="84" t="s">
        <v>3491</v>
      </c>
      <c r="S3709" s="40">
        <v>0</v>
      </c>
    </row>
    <row r="3710" spans="1:19" s="92" customFormat="1" ht="76.5">
      <c r="A3710" s="5">
        <v>3695</v>
      </c>
      <c r="B3710" s="15" t="s">
        <v>710</v>
      </c>
      <c r="C3710" s="40" t="s">
        <v>597</v>
      </c>
      <c r="D3710" s="40" t="s">
        <v>868</v>
      </c>
      <c r="E3710" s="76" t="s">
        <v>1874</v>
      </c>
      <c r="F3710" s="76" t="s">
        <v>869</v>
      </c>
      <c r="G3710" s="76" t="s">
        <v>1875</v>
      </c>
      <c r="H3710" s="76" t="s">
        <v>870</v>
      </c>
      <c r="I3710" s="76" t="s">
        <v>1873</v>
      </c>
      <c r="J3710" s="76" t="s">
        <v>72</v>
      </c>
      <c r="K3710" s="40" t="s">
        <v>591</v>
      </c>
      <c r="L3710" s="11" t="s">
        <v>914</v>
      </c>
      <c r="M3710" s="97">
        <v>1</v>
      </c>
      <c r="N3710" s="94">
        <f t="shared" si="88"/>
        <v>13500</v>
      </c>
      <c r="O3710" s="94">
        <f>15750-2250</f>
        <v>13500</v>
      </c>
      <c r="P3710" s="40" t="s">
        <v>699</v>
      </c>
      <c r="Q3710" s="40" t="s">
        <v>766</v>
      </c>
      <c r="R3710" s="84" t="s">
        <v>3491</v>
      </c>
      <c r="S3710" s="40">
        <v>0</v>
      </c>
    </row>
    <row r="3711" spans="1:19" s="92" customFormat="1" ht="51">
      <c r="A3711" s="5">
        <v>3696</v>
      </c>
      <c r="B3711" s="15" t="s">
        <v>710</v>
      </c>
      <c r="C3711" s="40" t="s">
        <v>597</v>
      </c>
      <c r="D3711" s="40" t="s">
        <v>548</v>
      </c>
      <c r="E3711" s="76" t="s">
        <v>549</v>
      </c>
      <c r="F3711" s="76" t="s">
        <v>550</v>
      </c>
      <c r="G3711" s="76" t="s">
        <v>549</v>
      </c>
      <c r="H3711" s="76" t="s">
        <v>550</v>
      </c>
      <c r="I3711" s="76" t="s">
        <v>1410</v>
      </c>
      <c r="J3711" s="76" t="s">
        <v>69</v>
      </c>
      <c r="K3711" s="40" t="s">
        <v>591</v>
      </c>
      <c r="L3711" s="11" t="s">
        <v>914</v>
      </c>
      <c r="M3711" s="93">
        <v>1</v>
      </c>
      <c r="N3711" s="94">
        <f t="shared" si="88"/>
        <v>31500</v>
      </c>
      <c r="O3711" s="94">
        <f>36750-5250</f>
        <v>31500</v>
      </c>
      <c r="P3711" s="40" t="s">
        <v>699</v>
      </c>
      <c r="Q3711" s="40" t="s">
        <v>766</v>
      </c>
      <c r="R3711" s="84" t="s">
        <v>3490</v>
      </c>
      <c r="S3711" s="40">
        <v>0</v>
      </c>
    </row>
    <row r="3712" spans="1:19" s="92" customFormat="1" ht="76.5">
      <c r="A3712" s="5">
        <v>3697</v>
      </c>
      <c r="B3712" s="15" t="s">
        <v>710</v>
      </c>
      <c r="C3712" s="40" t="s">
        <v>597</v>
      </c>
      <c r="D3712" s="40" t="s">
        <v>556</v>
      </c>
      <c r="E3712" s="76" t="s">
        <v>557</v>
      </c>
      <c r="F3712" s="76" t="s">
        <v>558</v>
      </c>
      <c r="G3712" s="76" t="s">
        <v>559</v>
      </c>
      <c r="H3712" s="76" t="s">
        <v>560</v>
      </c>
      <c r="I3712" s="76" t="s">
        <v>1411</v>
      </c>
      <c r="J3712" s="76" t="s">
        <v>70</v>
      </c>
      <c r="K3712" s="40" t="s">
        <v>591</v>
      </c>
      <c r="L3712" s="11" t="s">
        <v>914</v>
      </c>
      <c r="M3712" s="93">
        <v>1</v>
      </c>
      <c r="N3712" s="94">
        <f t="shared" si="88"/>
        <v>13500</v>
      </c>
      <c r="O3712" s="94">
        <f>15750-2250</f>
        <v>13500</v>
      </c>
      <c r="P3712" s="40" t="s">
        <v>699</v>
      </c>
      <c r="Q3712" s="40" t="s">
        <v>766</v>
      </c>
      <c r="R3712" s="84" t="s">
        <v>3490</v>
      </c>
      <c r="S3712" s="40">
        <v>0</v>
      </c>
    </row>
    <row r="3713" spans="1:19" s="92" customFormat="1" ht="63.75">
      <c r="A3713" s="5">
        <v>3698</v>
      </c>
      <c r="B3713" s="15" t="s">
        <v>710</v>
      </c>
      <c r="C3713" s="40" t="s">
        <v>597</v>
      </c>
      <c r="D3713" s="40" t="s">
        <v>551</v>
      </c>
      <c r="E3713" s="76" t="s">
        <v>552</v>
      </c>
      <c r="F3713" s="76" t="s">
        <v>553</v>
      </c>
      <c r="G3713" s="76" t="s">
        <v>554</v>
      </c>
      <c r="H3713" s="76" t="s">
        <v>555</v>
      </c>
      <c r="I3713" s="76" t="s">
        <v>1412</v>
      </c>
      <c r="J3713" s="76" t="s">
        <v>71</v>
      </c>
      <c r="K3713" s="40" t="s">
        <v>591</v>
      </c>
      <c r="L3713" s="11" t="s">
        <v>914</v>
      </c>
      <c r="M3713" s="93">
        <v>1</v>
      </c>
      <c r="N3713" s="94">
        <f t="shared" si="88"/>
        <v>31500</v>
      </c>
      <c r="O3713" s="94">
        <f>36750-5250</f>
        <v>31500</v>
      </c>
      <c r="P3713" s="40" t="s">
        <v>699</v>
      </c>
      <c r="Q3713" s="40" t="s">
        <v>766</v>
      </c>
      <c r="R3713" s="84" t="s">
        <v>3490</v>
      </c>
      <c r="S3713" s="40">
        <v>0</v>
      </c>
    </row>
    <row r="3714" spans="1:19" s="92" customFormat="1" ht="76.5">
      <c r="A3714" s="5">
        <v>3699</v>
      </c>
      <c r="B3714" s="15" t="s">
        <v>710</v>
      </c>
      <c r="C3714" s="40" t="s">
        <v>597</v>
      </c>
      <c r="D3714" s="40" t="s">
        <v>868</v>
      </c>
      <c r="E3714" s="76" t="s">
        <v>1874</v>
      </c>
      <c r="F3714" s="76" t="s">
        <v>869</v>
      </c>
      <c r="G3714" s="76" t="s">
        <v>1875</v>
      </c>
      <c r="H3714" s="76" t="s">
        <v>870</v>
      </c>
      <c r="I3714" s="76" t="s">
        <v>1873</v>
      </c>
      <c r="J3714" s="76" t="s">
        <v>72</v>
      </c>
      <c r="K3714" s="40" t="s">
        <v>591</v>
      </c>
      <c r="L3714" s="11" t="s">
        <v>914</v>
      </c>
      <c r="M3714" s="97">
        <v>1</v>
      </c>
      <c r="N3714" s="94">
        <f t="shared" si="88"/>
        <v>13500</v>
      </c>
      <c r="O3714" s="94">
        <f>15750-2250</f>
        <v>13500</v>
      </c>
      <c r="P3714" s="40" t="s">
        <v>699</v>
      </c>
      <c r="Q3714" s="40" t="s">
        <v>766</v>
      </c>
      <c r="R3714" s="84" t="s">
        <v>3490</v>
      </c>
      <c r="S3714" s="40">
        <v>0</v>
      </c>
    </row>
    <row r="3715" spans="1:19" s="92" customFormat="1" ht="51">
      <c r="A3715" s="5">
        <v>3700</v>
      </c>
      <c r="B3715" s="15" t="s">
        <v>710</v>
      </c>
      <c r="C3715" s="42" t="s">
        <v>597</v>
      </c>
      <c r="D3715" s="40" t="s">
        <v>702</v>
      </c>
      <c r="E3715" s="76" t="s">
        <v>777</v>
      </c>
      <c r="F3715" s="76" t="s">
        <v>703</v>
      </c>
      <c r="G3715" s="76" t="s">
        <v>777</v>
      </c>
      <c r="H3715" s="76" t="s">
        <v>703</v>
      </c>
      <c r="I3715" s="76" t="s">
        <v>3247</v>
      </c>
      <c r="J3715" s="76" t="s">
        <v>3248</v>
      </c>
      <c r="K3715" s="76" t="s">
        <v>591</v>
      </c>
      <c r="L3715" s="11" t="s">
        <v>914</v>
      </c>
      <c r="M3715" s="93">
        <v>1</v>
      </c>
      <c r="N3715" s="94">
        <f t="shared" si="88"/>
        <v>275400</v>
      </c>
      <c r="O3715" s="94">
        <f>321300-45900</f>
        <v>275400</v>
      </c>
      <c r="P3715" s="40" t="s">
        <v>699</v>
      </c>
      <c r="Q3715" s="40" t="s">
        <v>766</v>
      </c>
      <c r="R3715" s="84" t="s">
        <v>3490</v>
      </c>
      <c r="S3715" s="40">
        <v>0</v>
      </c>
    </row>
    <row r="3716" spans="1:19" s="92" customFormat="1" ht="51">
      <c r="A3716" s="5">
        <v>3701</v>
      </c>
      <c r="B3716" s="15" t="s">
        <v>710</v>
      </c>
      <c r="C3716" s="40" t="s">
        <v>597</v>
      </c>
      <c r="D3716" s="40" t="s">
        <v>548</v>
      </c>
      <c r="E3716" s="76" t="s">
        <v>549</v>
      </c>
      <c r="F3716" s="76" t="s">
        <v>550</v>
      </c>
      <c r="G3716" s="76" t="s">
        <v>549</v>
      </c>
      <c r="H3716" s="76" t="s">
        <v>550</v>
      </c>
      <c r="I3716" s="76" t="s">
        <v>1410</v>
      </c>
      <c r="J3716" s="76" t="s">
        <v>69</v>
      </c>
      <c r="K3716" s="40" t="s">
        <v>591</v>
      </c>
      <c r="L3716" s="11" t="s">
        <v>914</v>
      </c>
      <c r="M3716" s="93">
        <v>1</v>
      </c>
      <c r="N3716" s="94">
        <f t="shared" si="88"/>
        <v>31500</v>
      </c>
      <c r="O3716" s="94">
        <f>36750-5250</f>
        <v>31500</v>
      </c>
      <c r="P3716" s="40" t="s">
        <v>699</v>
      </c>
      <c r="Q3716" s="40" t="s">
        <v>766</v>
      </c>
      <c r="R3716" s="84" t="s">
        <v>3489</v>
      </c>
      <c r="S3716" s="40">
        <v>0</v>
      </c>
    </row>
    <row r="3717" spans="1:19" s="92" customFormat="1" ht="76.5">
      <c r="A3717" s="5">
        <v>3702</v>
      </c>
      <c r="B3717" s="15" t="s">
        <v>710</v>
      </c>
      <c r="C3717" s="40" t="s">
        <v>597</v>
      </c>
      <c r="D3717" s="40" t="s">
        <v>556</v>
      </c>
      <c r="E3717" s="76" t="s">
        <v>557</v>
      </c>
      <c r="F3717" s="76" t="s">
        <v>558</v>
      </c>
      <c r="G3717" s="76" t="s">
        <v>559</v>
      </c>
      <c r="H3717" s="76" t="s">
        <v>560</v>
      </c>
      <c r="I3717" s="76" t="s">
        <v>1411</v>
      </c>
      <c r="J3717" s="76" t="s">
        <v>70</v>
      </c>
      <c r="K3717" s="40" t="s">
        <v>591</v>
      </c>
      <c r="L3717" s="11" t="s">
        <v>914</v>
      </c>
      <c r="M3717" s="93">
        <v>1</v>
      </c>
      <c r="N3717" s="94">
        <f t="shared" si="88"/>
        <v>13500</v>
      </c>
      <c r="O3717" s="94">
        <f>15750-2250</f>
        <v>13500</v>
      </c>
      <c r="P3717" s="40" t="s">
        <v>699</v>
      </c>
      <c r="Q3717" s="40" t="s">
        <v>766</v>
      </c>
      <c r="R3717" s="84" t="s">
        <v>3489</v>
      </c>
      <c r="S3717" s="40">
        <v>0</v>
      </c>
    </row>
    <row r="3718" spans="1:19" s="92" customFormat="1" ht="63.75">
      <c r="A3718" s="5">
        <v>3703</v>
      </c>
      <c r="B3718" s="15" t="s">
        <v>710</v>
      </c>
      <c r="C3718" s="40" t="s">
        <v>597</v>
      </c>
      <c r="D3718" s="40" t="s">
        <v>551</v>
      </c>
      <c r="E3718" s="76" t="s">
        <v>552</v>
      </c>
      <c r="F3718" s="76" t="s">
        <v>553</v>
      </c>
      <c r="G3718" s="76" t="s">
        <v>554</v>
      </c>
      <c r="H3718" s="76" t="s">
        <v>555</v>
      </c>
      <c r="I3718" s="76" t="s">
        <v>1412</v>
      </c>
      <c r="J3718" s="76" t="s">
        <v>71</v>
      </c>
      <c r="K3718" s="40" t="s">
        <v>591</v>
      </c>
      <c r="L3718" s="11" t="s">
        <v>914</v>
      </c>
      <c r="M3718" s="93">
        <v>1</v>
      </c>
      <c r="N3718" s="94">
        <f t="shared" si="88"/>
        <v>31500</v>
      </c>
      <c r="O3718" s="94">
        <f>36750-5250</f>
        <v>31500</v>
      </c>
      <c r="P3718" s="40" t="s">
        <v>699</v>
      </c>
      <c r="Q3718" s="40" t="s">
        <v>766</v>
      </c>
      <c r="R3718" s="84" t="s">
        <v>3489</v>
      </c>
      <c r="S3718" s="40">
        <v>0</v>
      </c>
    </row>
    <row r="3719" spans="1:19" s="92" customFormat="1" ht="76.5">
      <c r="A3719" s="5">
        <v>3704</v>
      </c>
      <c r="B3719" s="15" t="s">
        <v>710</v>
      </c>
      <c r="C3719" s="40" t="s">
        <v>597</v>
      </c>
      <c r="D3719" s="40" t="s">
        <v>868</v>
      </c>
      <c r="E3719" s="76" t="s">
        <v>1874</v>
      </c>
      <c r="F3719" s="76" t="s">
        <v>869</v>
      </c>
      <c r="G3719" s="76" t="s">
        <v>1875</v>
      </c>
      <c r="H3719" s="76" t="s">
        <v>870</v>
      </c>
      <c r="I3719" s="76" t="s">
        <v>1873</v>
      </c>
      <c r="J3719" s="76" t="s">
        <v>72</v>
      </c>
      <c r="K3719" s="40" t="s">
        <v>591</v>
      </c>
      <c r="L3719" s="11" t="s">
        <v>914</v>
      </c>
      <c r="M3719" s="97">
        <v>1</v>
      </c>
      <c r="N3719" s="94">
        <f t="shared" si="88"/>
        <v>13500</v>
      </c>
      <c r="O3719" s="94">
        <f>15750-2250</f>
        <v>13500</v>
      </c>
      <c r="P3719" s="40" t="s">
        <v>699</v>
      </c>
      <c r="Q3719" s="40" t="s">
        <v>766</v>
      </c>
      <c r="R3719" s="84" t="s">
        <v>3489</v>
      </c>
      <c r="S3719" s="40">
        <v>0</v>
      </c>
    </row>
    <row r="3720" spans="1:19" s="92" customFormat="1" ht="51">
      <c r="A3720" s="5">
        <v>3705</v>
      </c>
      <c r="B3720" s="15" t="s">
        <v>710</v>
      </c>
      <c r="C3720" s="40" t="s">
        <v>597</v>
      </c>
      <c r="D3720" s="40" t="s">
        <v>548</v>
      </c>
      <c r="E3720" s="76" t="s">
        <v>549</v>
      </c>
      <c r="F3720" s="76" t="s">
        <v>550</v>
      </c>
      <c r="G3720" s="76" t="s">
        <v>549</v>
      </c>
      <c r="H3720" s="76" t="s">
        <v>550</v>
      </c>
      <c r="I3720" s="76" t="s">
        <v>1410</v>
      </c>
      <c r="J3720" s="76" t="s">
        <v>69</v>
      </c>
      <c r="K3720" s="40" t="s">
        <v>591</v>
      </c>
      <c r="L3720" s="11" t="s">
        <v>914</v>
      </c>
      <c r="M3720" s="93">
        <v>1</v>
      </c>
      <c r="N3720" s="94">
        <f t="shared" si="88"/>
        <v>31500</v>
      </c>
      <c r="O3720" s="94">
        <f>36750-5250</f>
        <v>31500</v>
      </c>
      <c r="P3720" s="40" t="s">
        <v>699</v>
      </c>
      <c r="Q3720" s="40" t="s">
        <v>766</v>
      </c>
      <c r="R3720" s="84" t="s">
        <v>3488</v>
      </c>
      <c r="S3720" s="40">
        <v>0</v>
      </c>
    </row>
    <row r="3721" spans="1:19" s="92" customFormat="1" ht="76.5">
      <c r="A3721" s="5">
        <v>3706</v>
      </c>
      <c r="B3721" s="15" t="s">
        <v>710</v>
      </c>
      <c r="C3721" s="40" t="s">
        <v>597</v>
      </c>
      <c r="D3721" s="40" t="s">
        <v>556</v>
      </c>
      <c r="E3721" s="76" t="s">
        <v>557</v>
      </c>
      <c r="F3721" s="76" t="s">
        <v>558</v>
      </c>
      <c r="G3721" s="76" t="s">
        <v>559</v>
      </c>
      <c r="H3721" s="76" t="s">
        <v>560</v>
      </c>
      <c r="I3721" s="76" t="s">
        <v>1411</v>
      </c>
      <c r="J3721" s="76" t="s">
        <v>70</v>
      </c>
      <c r="K3721" s="40" t="s">
        <v>591</v>
      </c>
      <c r="L3721" s="11" t="s">
        <v>914</v>
      </c>
      <c r="M3721" s="93">
        <v>1</v>
      </c>
      <c r="N3721" s="94">
        <f t="shared" si="88"/>
        <v>13500</v>
      </c>
      <c r="O3721" s="94">
        <f>15750-2250</f>
        <v>13500</v>
      </c>
      <c r="P3721" s="40" t="s">
        <v>699</v>
      </c>
      <c r="Q3721" s="40" t="s">
        <v>766</v>
      </c>
      <c r="R3721" s="84" t="s">
        <v>3488</v>
      </c>
      <c r="S3721" s="40">
        <v>0</v>
      </c>
    </row>
    <row r="3722" spans="1:19" s="92" customFormat="1" ht="63.75">
      <c r="A3722" s="5">
        <v>3707</v>
      </c>
      <c r="B3722" s="15" t="s">
        <v>710</v>
      </c>
      <c r="C3722" s="40" t="s">
        <v>597</v>
      </c>
      <c r="D3722" s="40" t="s">
        <v>551</v>
      </c>
      <c r="E3722" s="76" t="s">
        <v>552</v>
      </c>
      <c r="F3722" s="76" t="s">
        <v>553</v>
      </c>
      <c r="G3722" s="76" t="s">
        <v>554</v>
      </c>
      <c r="H3722" s="76" t="s">
        <v>555</v>
      </c>
      <c r="I3722" s="76" t="s">
        <v>1412</v>
      </c>
      <c r="J3722" s="76" t="s">
        <v>71</v>
      </c>
      <c r="K3722" s="40" t="s">
        <v>591</v>
      </c>
      <c r="L3722" s="11" t="s">
        <v>914</v>
      </c>
      <c r="M3722" s="93">
        <v>1</v>
      </c>
      <c r="N3722" s="94">
        <f t="shared" si="88"/>
        <v>31500</v>
      </c>
      <c r="O3722" s="94">
        <f>36750-5250</f>
        <v>31500</v>
      </c>
      <c r="P3722" s="40" t="s">
        <v>699</v>
      </c>
      <c r="Q3722" s="40" t="s">
        <v>766</v>
      </c>
      <c r="R3722" s="84" t="s">
        <v>3488</v>
      </c>
      <c r="S3722" s="40">
        <v>0</v>
      </c>
    </row>
    <row r="3723" spans="1:19" s="92" customFormat="1" ht="76.5">
      <c r="A3723" s="5">
        <v>3708</v>
      </c>
      <c r="B3723" s="15" t="s">
        <v>710</v>
      </c>
      <c r="C3723" s="40" t="s">
        <v>597</v>
      </c>
      <c r="D3723" s="40" t="s">
        <v>868</v>
      </c>
      <c r="E3723" s="76" t="s">
        <v>1874</v>
      </c>
      <c r="F3723" s="76" t="s">
        <v>869</v>
      </c>
      <c r="G3723" s="76" t="s">
        <v>1875</v>
      </c>
      <c r="H3723" s="76" t="s">
        <v>870</v>
      </c>
      <c r="I3723" s="76" t="s">
        <v>1873</v>
      </c>
      <c r="J3723" s="76" t="s">
        <v>72</v>
      </c>
      <c r="K3723" s="40" t="s">
        <v>591</v>
      </c>
      <c r="L3723" s="11" t="s">
        <v>914</v>
      </c>
      <c r="M3723" s="97">
        <v>1</v>
      </c>
      <c r="N3723" s="94">
        <f t="shared" si="88"/>
        <v>13500</v>
      </c>
      <c r="O3723" s="94">
        <f>15750-2250</f>
        <v>13500</v>
      </c>
      <c r="P3723" s="40" t="s">
        <v>699</v>
      </c>
      <c r="Q3723" s="40" t="s">
        <v>766</v>
      </c>
      <c r="R3723" s="84" t="s">
        <v>3488</v>
      </c>
      <c r="S3723" s="40">
        <v>0</v>
      </c>
    </row>
    <row r="3724" spans="1:19" s="92" customFormat="1" ht="51">
      <c r="A3724" s="5">
        <v>3709</v>
      </c>
      <c r="B3724" s="15" t="s">
        <v>710</v>
      </c>
      <c r="C3724" s="42" t="s">
        <v>597</v>
      </c>
      <c r="D3724" s="40" t="s">
        <v>702</v>
      </c>
      <c r="E3724" s="76" t="s">
        <v>777</v>
      </c>
      <c r="F3724" s="76" t="s">
        <v>703</v>
      </c>
      <c r="G3724" s="76" t="s">
        <v>777</v>
      </c>
      <c r="H3724" s="76" t="s">
        <v>703</v>
      </c>
      <c r="I3724" s="76" t="s">
        <v>3247</v>
      </c>
      <c r="J3724" s="76" t="s">
        <v>3248</v>
      </c>
      <c r="K3724" s="76" t="s">
        <v>591</v>
      </c>
      <c r="L3724" s="11" t="s">
        <v>914</v>
      </c>
      <c r="M3724" s="93">
        <v>1</v>
      </c>
      <c r="N3724" s="94">
        <f t="shared" si="88"/>
        <v>275400</v>
      </c>
      <c r="O3724" s="94">
        <f>321300-45900</f>
        <v>275400</v>
      </c>
      <c r="P3724" s="40" t="s">
        <v>699</v>
      </c>
      <c r="Q3724" s="40" t="s">
        <v>766</v>
      </c>
      <c r="R3724" s="84" t="s">
        <v>3488</v>
      </c>
      <c r="S3724" s="40">
        <v>0</v>
      </c>
    </row>
    <row r="3725" spans="1:19" s="92" customFormat="1" ht="51">
      <c r="A3725" s="5">
        <v>3710</v>
      </c>
      <c r="B3725" s="15" t="s">
        <v>710</v>
      </c>
      <c r="C3725" s="40" t="s">
        <v>597</v>
      </c>
      <c r="D3725" s="40" t="s">
        <v>548</v>
      </c>
      <c r="E3725" s="76" t="s">
        <v>549</v>
      </c>
      <c r="F3725" s="76" t="s">
        <v>550</v>
      </c>
      <c r="G3725" s="76" t="s">
        <v>549</v>
      </c>
      <c r="H3725" s="76" t="s">
        <v>550</v>
      </c>
      <c r="I3725" s="76" t="s">
        <v>1410</v>
      </c>
      <c r="J3725" s="76" t="s">
        <v>69</v>
      </c>
      <c r="K3725" s="40" t="s">
        <v>591</v>
      </c>
      <c r="L3725" s="11" t="s">
        <v>914</v>
      </c>
      <c r="M3725" s="93">
        <v>1</v>
      </c>
      <c r="N3725" s="94">
        <f t="shared" si="88"/>
        <v>31500</v>
      </c>
      <c r="O3725" s="94">
        <f>36750-5250</f>
        <v>31500</v>
      </c>
      <c r="P3725" s="40" t="s">
        <v>699</v>
      </c>
      <c r="Q3725" s="40" t="s">
        <v>766</v>
      </c>
      <c r="R3725" s="84" t="s">
        <v>3487</v>
      </c>
      <c r="S3725" s="40">
        <v>0</v>
      </c>
    </row>
    <row r="3726" spans="1:19" s="92" customFormat="1" ht="76.5">
      <c r="A3726" s="5">
        <v>3711</v>
      </c>
      <c r="B3726" s="15" t="s">
        <v>710</v>
      </c>
      <c r="C3726" s="40" t="s">
        <v>597</v>
      </c>
      <c r="D3726" s="40" t="s">
        <v>556</v>
      </c>
      <c r="E3726" s="76" t="s">
        <v>557</v>
      </c>
      <c r="F3726" s="76" t="s">
        <v>558</v>
      </c>
      <c r="G3726" s="76" t="s">
        <v>559</v>
      </c>
      <c r="H3726" s="76" t="s">
        <v>560</v>
      </c>
      <c r="I3726" s="76" t="s">
        <v>1411</v>
      </c>
      <c r="J3726" s="76" t="s">
        <v>70</v>
      </c>
      <c r="K3726" s="40" t="s">
        <v>591</v>
      </c>
      <c r="L3726" s="11" t="s">
        <v>914</v>
      </c>
      <c r="M3726" s="93">
        <v>1</v>
      </c>
      <c r="N3726" s="94">
        <f t="shared" si="88"/>
        <v>13500</v>
      </c>
      <c r="O3726" s="94">
        <f>15750-2250</f>
        <v>13500</v>
      </c>
      <c r="P3726" s="40" t="s">
        <v>699</v>
      </c>
      <c r="Q3726" s="40" t="s">
        <v>766</v>
      </c>
      <c r="R3726" s="84" t="s">
        <v>3487</v>
      </c>
      <c r="S3726" s="40">
        <v>0</v>
      </c>
    </row>
    <row r="3727" spans="1:19" s="92" customFormat="1" ht="63.75">
      <c r="A3727" s="5">
        <v>3712</v>
      </c>
      <c r="B3727" s="15" t="s">
        <v>710</v>
      </c>
      <c r="C3727" s="40" t="s">
        <v>597</v>
      </c>
      <c r="D3727" s="40" t="s">
        <v>551</v>
      </c>
      <c r="E3727" s="76" t="s">
        <v>552</v>
      </c>
      <c r="F3727" s="76" t="s">
        <v>553</v>
      </c>
      <c r="G3727" s="76" t="s">
        <v>554</v>
      </c>
      <c r="H3727" s="76" t="s">
        <v>555</v>
      </c>
      <c r="I3727" s="76" t="s">
        <v>1412</v>
      </c>
      <c r="J3727" s="76" t="s">
        <v>71</v>
      </c>
      <c r="K3727" s="40" t="s">
        <v>591</v>
      </c>
      <c r="L3727" s="11" t="s">
        <v>914</v>
      </c>
      <c r="M3727" s="93">
        <v>1</v>
      </c>
      <c r="N3727" s="94">
        <f t="shared" si="88"/>
        <v>31500</v>
      </c>
      <c r="O3727" s="94">
        <f>36750-5250</f>
        <v>31500</v>
      </c>
      <c r="P3727" s="40" t="s">
        <v>699</v>
      </c>
      <c r="Q3727" s="40" t="s">
        <v>766</v>
      </c>
      <c r="R3727" s="84" t="s">
        <v>3487</v>
      </c>
      <c r="S3727" s="40">
        <v>0</v>
      </c>
    </row>
    <row r="3728" spans="1:19" s="92" customFormat="1" ht="76.5">
      <c r="A3728" s="5">
        <v>3713</v>
      </c>
      <c r="B3728" s="15" t="s">
        <v>710</v>
      </c>
      <c r="C3728" s="40" t="s">
        <v>597</v>
      </c>
      <c r="D3728" s="40" t="s">
        <v>868</v>
      </c>
      <c r="E3728" s="76" t="s">
        <v>1874</v>
      </c>
      <c r="F3728" s="76" t="s">
        <v>869</v>
      </c>
      <c r="G3728" s="76" t="s">
        <v>1875</v>
      </c>
      <c r="H3728" s="76" t="s">
        <v>870</v>
      </c>
      <c r="I3728" s="76" t="s">
        <v>1873</v>
      </c>
      <c r="J3728" s="76" t="s">
        <v>72</v>
      </c>
      <c r="K3728" s="40" t="s">
        <v>591</v>
      </c>
      <c r="L3728" s="11" t="s">
        <v>914</v>
      </c>
      <c r="M3728" s="97">
        <v>1</v>
      </c>
      <c r="N3728" s="94">
        <f t="shared" si="88"/>
        <v>13500</v>
      </c>
      <c r="O3728" s="94">
        <f>15750-2250</f>
        <v>13500</v>
      </c>
      <c r="P3728" s="40" t="s">
        <v>699</v>
      </c>
      <c r="Q3728" s="40" t="s">
        <v>766</v>
      </c>
      <c r="R3728" s="84" t="s">
        <v>3487</v>
      </c>
      <c r="S3728" s="40">
        <v>0</v>
      </c>
    </row>
    <row r="3729" spans="1:19" s="92" customFormat="1" ht="51">
      <c r="A3729" s="5">
        <v>3714</v>
      </c>
      <c r="B3729" s="15" t="s">
        <v>710</v>
      </c>
      <c r="C3729" s="42" t="s">
        <v>597</v>
      </c>
      <c r="D3729" s="40" t="s">
        <v>702</v>
      </c>
      <c r="E3729" s="76" t="s">
        <v>777</v>
      </c>
      <c r="F3729" s="76" t="s">
        <v>703</v>
      </c>
      <c r="G3729" s="76" t="s">
        <v>777</v>
      </c>
      <c r="H3729" s="76" t="s">
        <v>703</v>
      </c>
      <c r="I3729" s="76" t="s">
        <v>3247</v>
      </c>
      <c r="J3729" s="76" t="s">
        <v>3248</v>
      </c>
      <c r="K3729" s="76" t="s">
        <v>591</v>
      </c>
      <c r="L3729" s="11" t="s">
        <v>914</v>
      </c>
      <c r="M3729" s="93">
        <v>1</v>
      </c>
      <c r="N3729" s="94">
        <f t="shared" si="88"/>
        <v>275400</v>
      </c>
      <c r="O3729" s="94">
        <f>321300-45900</f>
        <v>275400</v>
      </c>
      <c r="P3729" s="40" t="s">
        <v>699</v>
      </c>
      <c r="Q3729" s="40" t="s">
        <v>766</v>
      </c>
      <c r="R3729" s="84" t="s">
        <v>3487</v>
      </c>
      <c r="S3729" s="40">
        <v>0</v>
      </c>
    </row>
    <row r="3730" spans="1:19" s="92" customFormat="1" ht="51">
      <c r="A3730" s="5">
        <v>3715</v>
      </c>
      <c r="B3730" s="15" t="s">
        <v>710</v>
      </c>
      <c r="C3730" s="40" t="s">
        <v>597</v>
      </c>
      <c r="D3730" s="40" t="s">
        <v>548</v>
      </c>
      <c r="E3730" s="76" t="s">
        <v>549</v>
      </c>
      <c r="F3730" s="76" t="s">
        <v>550</v>
      </c>
      <c r="G3730" s="76" t="s">
        <v>549</v>
      </c>
      <c r="H3730" s="76" t="s">
        <v>550</v>
      </c>
      <c r="I3730" s="76" t="s">
        <v>1410</v>
      </c>
      <c r="J3730" s="76" t="s">
        <v>69</v>
      </c>
      <c r="K3730" s="40" t="s">
        <v>591</v>
      </c>
      <c r="L3730" s="11" t="s">
        <v>914</v>
      </c>
      <c r="M3730" s="93">
        <v>1</v>
      </c>
      <c r="N3730" s="94">
        <f t="shared" si="88"/>
        <v>31500</v>
      </c>
      <c r="O3730" s="94">
        <f>36750-5250</f>
        <v>31500</v>
      </c>
      <c r="P3730" s="40" t="s">
        <v>699</v>
      </c>
      <c r="Q3730" s="40" t="s">
        <v>766</v>
      </c>
      <c r="R3730" s="84" t="s">
        <v>3486</v>
      </c>
      <c r="S3730" s="40">
        <v>0</v>
      </c>
    </row>
    <row r="3731" spans="1:19" s="92" customFormat="1" ht="76.5">
      <c r="A3731" s="5">
        <v>3716</v>
      </c>
      <c r="B3731" s="15" t="s">
        <v>710</v>
      </c>
      <c r="C3731" s="40" t="s">
        <v>597</v>
      </c>
      <c r="D3731" s="40" t="s">
        <v>556</v>
      </c>
      <c r="E3731" s="76" t="s">
        <v>557</v>
      </c>
      <c r="F3731" s="76" t="s">
        <v>558</v>
      </c>
      <c r="G3731" s="76" t="s">
        <v>559</v>
      </c>
      <c r="H3731" s="76" t="s">
        <v>560</v>
      </c>
      <c r="I3731" s="76" t="s">
        <v>1411</v>
      </c>
      <c r="J3731" s="76" t="s">
        <v>70</v>
      </c>
      <c r="K3731" s="40" t="s">
        <v>591</v>
      </c>
      <c r="L3731" s="11" t="s">
        <v>914</v>
      </c>
      <c r="M3731" s="93">
        <v>1</v>
      </c>
      <c r="N3731" s="94">
        <f t="shared" si="88"/>
        <v>13500</v>
      </c>
      <c r="O3731" s="94">
        <f>15750-2250</f>
        <v>13500</v>
      </c>
      <c r="P3731" s="40" t="s">
        <v>699</v>
      </c>
      <c r="Q3731" s="40" t="s">
        <v>766</v>
      </c>
      <c r="R3731" s="84" t="s">
        <v>3486</v>
      </c>
      <c r="S3731" s="40">
        <v>0</v>
      </c>
    </row>
    <row r="3732" spans="1:19" s="92" customFormat="1" ht="63.75">
      <c r="A3732" s="5">
        <v>3717</v>
      </c>
      <c r="B3732" s="15" t="s">
        <v>710</v>
      </c>
      <c r="C3732" s="40" t="s">
        <v>597</v>
      </c>
      <c r="D3732" s="40" t="s">
        <v>551</v>
      </c>
      <c r="E3732" s="76" t="s">
        <v>552</v>
      </c>
      <c r="F3732" s="76" t="s">
        <v>553</v>
      </c>
      <c r="G3732" s="76" t="s">
        <v>554</v>
      </c>
      <c r="H3732" s="76" t="s">
        <v>555</v>
      </c>
      <c r="I3732" s="76" t="s">
        <v>1412</v>
      </c>
      <c r="J3732" s="76" t="s">
        <v>71</v>
      </c>
      <c r="K3732" s="40" t="s">
        <v>591</v>
      </c>
      <c r="L3732" s="11" t="s">
        <v>914</v>
      </c>
      <c r="M3732" s="93">
        <v>1</v>
      </c>
      <c r="N3732" s="94">
        <f t="shared" si="88"/>
        <v>31500</v>
      </c>
      <c r="O3732" s="94">
        <f>36750-5250</f>
        <v>31500</v>
      </c>
      <c r="P3732" s="40" t="s">
        <v>699</v>
      </c>
      <c r="Q3732" s="40" t="s">
        <v>766</v>
      </c>
      <c r="R3732" s="84" t="s">
        <v>3486</v>
      </c>
      <c r="S3732" s="40">
        <v>0</v>
      </c>
    </row>
    <row r="3733" spans="1:19" s="92" customFormat="1" ht="76.5">
      <c r="A3733" s="5">
        <v>3718</v>
      </c>
      <c r="B3733" s="15" t="s">
        <v>710</v>
      </c>
      <c r="C3733" s="40" t="s">
        <v>597</v>
      </c>
      <c r="D3733" s="40" t="s">
        <v>868</v>
      </c>
      <c r="E3733" s="76" t="s">
        <v>1874</v>
      </c>
      <c r="F3733" s="76" t="s">
        <v>869</v>
      </c>
      <c r="G3733" s="76" t="s">
        <v>1875</v>
      </c>
      <c r="H3733" s="76" t="s">
        <v>870</v>
      </c>
      <c r="I3733" s="76" t="s">
        <v>1873</v>
      </c>
      <c r="J3733" s="76" t="s">
        <v>72</v>
      </c>
      <c r="K3733" s="40" t="s">
        <v>591</v>
      </c>
      <c r="L3733" s="11" t="s">
        <v>914</v>
      </c>
      <c r="M3733" s="97">
        <v>1</v>
      </c>
      <c r="N3733" s="94">
        <f t="shared" si="88"/>
        <v>13500</v>
      </c>
      <c r="O3733" s="94">
        <f>15750-2250</f>
        <v>13500</v>
      </c>
      <c r="P3733" s="40" t="s">
        <v>699</v>
      </c>
      <c r="Q3733" s="40" t="s">
        <v>766</v>
      </c>
      <c r="R3733" s="84" t="s">
        <v>3486</v>
      </c>
      <c r="S3733" s="40">
        <v>0</v>
      </c>
    </row>
    <row r="3734" spans="1:19" s="92" customFormat="1" ht="51">
      <c r="A3734" s="5">
        <v>3719</v>
      </c>
      <c r="B3734" s="15" t="s">
        <v>710</v>
      </c>
      <c r="C3734" s="40" t="s">
        <v>597</v>
      </c>
      <c r="D3734" s="40" t="s">
        <v>548</v>
      </c>
      <c r="E3734" s="76" t="s">
        <v>549</v>
      </c>
      <c r="F3734" s="76" t="s">
        <v>550</v>
      </c>
      <c r="G3734" s="76" t="s">
        <v>549</v>
      </c>
      <c r="H3734" s="76" t="s">
        <v>550</v>
      </c>
      <c r="I3734" s="76" t="s">
        <v>1410</v>
      </c>
      <c r="J3734" s="76" t="s">
        <v>69</v>
      </c>
      <c r="K3734" s="40" t="s">
        <v>591</v>
      </c>
      <c r="L3734" s="11" t="s">
        <v>914</v>
      </c>
      <c r="M3734" s="93">
        <v>1</v>
      </c>
      <c r="N3734" s="94">
        <f t="shared" si="88"/>
        <v>31500</v>
      </c>
      <c r="O3734" s="94">
        <f>36750-5250</f>
        <v>31500</v>
      </c>
      <c r="P3734" s="40" t="s">
        <v>699</v>
      </c>
      <c r="Q3734" s="40" t="s">
        <v>766</v>
      </c>
      <c r="R3734" s="84" t="s">
        <v>3485</v>
      </c>
      <c r="S3734" s="40">
        <v>0</v>
      </c>
    </row>
    <row r="3735" spans="1:19" s="92" customFormat="1" ht="76.5">
      <c r="A3735" s="5">
        <v>3720</v>
      </c>
      <c r="B3735" s="15" t="s">
        <v>710</v>
      </c>
      <c r="C3735" s="40" t="s">
        <v>597</v>
      </c>
      <c r="D3735" s="40" t="s">
        <v>556</v>
      </c>
      <c r="E3735" s="76" t="s">
        <v>557</v>
      </c>
      <c r="F3735" s="76" t="s">
        <v>558</v>
      </c>
      <c r="G3735" s="76" t="s">
        <v>559</v>
      </c>
      <c r="H3735" s="76" t="s">
        <v>560</v>
      </c>
      <c r="I3735" s="76" t="s">
        <v>1411</v>
      </c>
      <c r="J3735" s="76" t="s">
        <v>70</v>
      </c>
      <c r="K3735" s="40" t="s">
        <v>591</v>
      </c>
      <c r="L3735" s="11" t="s">
        <v>914</v>
      </c>
      <c r="M3735" s="93">
        <v>1</v>
      </c>
      <c r="N3735" s="94">
        <f t="shared" si="88"/>
        <v>13500</v>
      </c>
      <c r="O3735" s="94">
        <f>15750-2250</f>
        <v>13500</v>
      </c>
      <c r="P3735" s="40" t="s">
        <v>699</v>
      </c>
      <c r="Q3735" s="40" t="s">
        <v>766</v>
      </c>
      <c r="R3735" s="84" t="s">
        <v>3485</v>
      </c>
      <c r="S3735" s="40">
        <v>0</v>
      </c>
    </row>
    <row r="3736" spans="1:19" s="92" customFormat="1" ht="63.75">
      <c r="A3736" s="5">
        <v>3721</v>
      </c>
      <c r="B3736" s="15" t="s">
        <v>710</v>
      </c>
      <c r="C3736" s="40" t="s">
        <v>597</v>
      </c>
      <c r="D3736" s="40" t="s">
        <v>551</v>
      </c>
      <c r="E3736" s="76" t="s">
        <v>552</v>
      </c>
      <c r="F3736" s="76" t="s">
        <v>553</v>
      </c>
      <c r="G3736" s="76" t="s">
        <v>554</v>
      </c>
      <c r="H3736" s="76" t="s">
        <v>555</v>
      </c>
      <c r="I3736" s="76" t="s">
        <v>1412</v>
      </c>
      <c r="J3736" s="76" t="s">
        <v>71</v>
      </c>
      <c r="K3736" s="40" t="s">
        <v>591</v>
      </c>
      <c r="L3736" s="11" t="s">
        <v>914</v>
      </c>
      <c r="M3736" s="93">
        <v>1</v>
      </c>
      <c r="N3736" s="94">
        <f t="shared" si="88"/>
        <v>31500</v>
      </c>
      <c r="O3736" s="94">
        <f>36750-5250</f>
        <v>31500</v>
      </c>
      <c r="P3736" s="40" t="s">
        <v>699</v>
      </c>
      <c r="Q3736" s="40" t="s">
        <v>766</v>
      </c>
      <c r="R3736" s="84" t="s">
        <v>3485</v>
      </c>
      <c r="S3736" s="40">
        <v>0</v>
      </c>
    </row>
    <row r="3737" spans="1:19" s="92" customFormat="1" ht="76.5">
      <c r="A3737" s="5">
        <v>3722</v>
      </c>
      <c r="B3737" s="15" t="s">
        <v>710</v>
      </c>
      <c r="C3737" s="40" t="s">
        <v>597</v>
      </c>
      <c r="D3737" s="40" t="s">
        <v>868</v>
      </c>
      <c r="E3737" s="76" t="s">
        <v>1874</v>
      </c>
      <c r="F3737" s="76" t="s">
        <v>869</v>
      </c>
      <c r="G3737" s="76" t="s">
        <v>1875</v>
      </c>
      <c r="H3737" s="76" t="s">
        <v>870</v>
      </c>
      <c r="I3737" s="76" t="s">
        <v>1873</v>
      </c>
      <c r="J3737" s="76" t="s">
        <v>72</v>
      </c>
      <c r="K3737" s="40" t="s">
        <v>591</v>
      </c>
      <c r="L3737" s="11" t="s">
        <v>914</v>
      </c>
      <c r="M3737" s="97">
        <v>1</v>
      </c>
      <c r="N3737" s="94">
        <f t="shared" si="88"/>
        <v>13500</v>
      </c>
      <c r="O3737" s="94">
        <f>15750-2250</f>
        <v>13500</v>
      </c>
      <c r="P3737" s="40" t="s">
        <v>699</v>
      </c>
      <c r="Q3737" s="40" t="s">
        <v>766</v>
      </c>
      <c r="R3737" s="84" t="s">
        <v>3485</v>
      </c>
      <c r="S3737" s="40">
        <v>0</v>
      </c>
    </row>
    <row r="3738" spans="1:19" s="92" customFormat="1" ht="51">
      <c r="A3738" s="5">
        <v>3723</v>
      </c>
      <c r="B3738" s="15" t="s">
        <v>710</v>
      </c>
      <c r="C3738" s="40" t="s">
        <v>597</v>
      </c>
      <c r="D3738" s="40" t="s">
        <v>548</v>
      </c>
      <c r="E3738" s="76" t="s">
        <v>549</v>
      </c>
      <c r="F3738" s="76" t="s">
        <v>550</v>
      </c>
      <c r="G3738" s="76" t="s">
        <v>549</v>
      </c>
      <c r="H3738" s="76" t="s">
        <v>550</v>
      </c>
      <c r="I3738" s="76" t="s">
        <v>1410</v>
      </c>
      <c r="J3738" s="76" t="s">
        <v>69</v>
      </c>
      <c r="K3738" s="40" t="s">
        <v>591</v>
      </c>
      <c r="L3738" s="11" t="s">
        <v>914</v>
      </c>
      <c r="M3738" s="93">
        <v>1</v>
      </c>
      <c r="N3738" s="94">
        <f t="shared" si="88"/>
        <v>31500</v>
      </c>
      <c r="O3738" s="94">
        <f>36750-5250</f>
        <v>31500</v>
      </c>
      <c r="P3738" s="40" t="s">
        <v>699</v>
      </c>
      <c r="Q3738" s="40" t="s">
        <v>766</v>
      </c>
      <c r="R3738" s="84" t="s">
        <v>3484</v>
      </c>
      <c r="S3738" s="40">
        <v>0</v>
      </c>
    </row>
    <row r="3739" spans="1:19" s="92" customFormat="1" ht="76.5">
      <c r="A3739" s="5">
        <v>3724</v>
      </c>
      <c r="B3739" s="15" t="s">
        <v>710</v>
      </c>
      <c r="C3739" s="40" t="s">
        <v>597</v>
      </c>
      <c r="D3739" s="40" t="s">
        <v>556</v>
      </c>
      <c r="E3739" s="76" t="s">
        <v>557</v>
      </c>
      <c r="F3739" s="76" t="s">
        <v>558</v>
      </c>
      <c r="G3739" s="76" t="s">
        <v>559</v>
      </c>
      <c r="H3739" s="76" t="s">
        <v>560</v>
      </c>
      <c r="I3739" s="76" t="s">
        <v>1411</v>
      </c>
      <c r="J3739" s="76" t="s">
        <v>70</v>
      </c>
      <c r="K3739" s="40" t="s">
        <v>591</v>
      </c>
      <c r="L3739" s="11" t="s">
        <v>914</v>
      </c>
      <c r="M3739" s="93">
        <v>1</v>
      </c>
      <c r="N3739" s="94">
        <f t="shared" si="88"/>
        <v>13500</v>
      </c>
      <c r="O3739" s="94">
        <f>15750-2250</f>
        <v>13500</v>
      </c>
      <c r="P3739" s="40" t="s">
        <v>699</v>
      </c>
      <c r="Q3739" s="40" t="s">
        <v>766</v>
      </c>
      <c r="R3739" s="84" t="s">
        <v>3484</v>
      </c>
      <c r="S3739" s="40">
        <v>0</v>
      </c>
    </row>
    <row r="3740" spans="1:19" s="92" customFormat="1" ht="63.75">
      <c r="A3740" s="5">
        <v>3725</v>
      </c>
      <c r="B3740" s="15" t="s">
        <v>710</v>
      </c>
      <c r="C3740" s="40" t="s">
        <v>597</v>
      </c>
      <c r="D3740" s="40" t="s">
        <v>551</v>
      </c>
      <c r="E3740" s="76" t="s">
        <v>552</v>
      </c>
      <c r="F3740" s="76" t="s">
        <v>553</v>
      </c>
      <c r="G3740" s="76" t="s">
        <v>554</v>
      </c>
      <c r="H3740" s="76" t="s">
        <v>555</v>
      </c>
      <c r="I3740" s="76" t="s">
        <v>1412</v>
      </c>
      <c r="J3740" s="76" t="s">
        <v>71</v>
      </c>
      <c r="K3740" s="40" t="s">
        <v>591</v>
      </c>
      <c r="L3740" s="11" t="s">
        <v>914</v>
      </c>
      <c r="M3740" s="93">
        <v>1</v>
      </c>
      <c r="N3740" s="94">
        <f t="shared" si="88"/>
        <v>31500</v>
      </c>
      <c r="O3740" s="94">
        <f>36750-5250</f>
        <v>31500</v>
      </c>
      <c r="P3740" s="40" t="s">
        <v>699</v>
      </c>
      <c r="Q3740" s="40" t="s">
        <v>766</v>
      </c>
      <c r="R3740" s="84" t="s">
        <v>3484</v>
      </c>
      <c r="S3740" s="40">
        <v>0</v>
      </c>
    </row>
    <row r="3741" spans="1:19" s="92" customFormat="1" ht="76.5">
      <c r="A3741" s="5">
        <v>3726</v>
      </c>
      <c r="B3741" s="15" t="s">
        <v>710</v>
      </c>
      <c r="C3741" s="40" t="s">
        <v>597</v>
      </c>
      <c r="D3741" s="40" t="s">
        <v>868</v>
      </c>
      <c r="E3741" s="76" t="s">
        <v>1874</v>
      </c>
      <c r="F3741" s="76" t="s">
        <v>869</v>
      </c>
      <c r="G3741" s="76" t="s">
        <v>1875</v>
      </c>
      <c r="H3741" s="76" t="s">
        <v>870</v>
      </c>
      <c r="I3741" s="76" t="s">
        <v>1873</v>
      </c>
      <c r="J3741" s="76" t="s">
        <v>72</v>
      </c>
      <c r="K3741" s="40" t="s">
        <v>591</v>
      </c>
      <c r="L3741" s="11" t="s">
        <v>914</v>
      </c>
      <c r="M3741" s="97">
        <v>1</v>
      </c>
      <c r="N3741" s="94">
        <f t="shared" si="88"/>
        <v>13500</v>
      </c>
      <c r="O3741" s="94">
        <f>15750-2250</f>
        <v>13500</v>
      </c>
      <c r="P3741" s="40" t="s">
        <v>699</v>
      </c>
      <c r="Q3741" s="40" t="s">
        <v>766</v>
      </c>
      <c r="R3741" s="84" t="s">
        <v>3484</v>
      </c>
      <c r="S3741" s="40">
        <v>0</v>
      </c>
    </row>
    <row r="3742" spans="1:19" s="92" customFormat="1" ht="51">
      <c r="A3742" s="5">
        <v>3727</v>
      </c>
      <c r="B3742" s="15" t="s">
        <v>710</v>
      </c>
      <c r="C3742" s="40" t="s">
        <v>597</v>
      </c>
      <c r="D3742" s="40" t="s">
        <v>548</v>
      </c>
      <c r="E3742" s="76" t="s">
        <v>549</v>
      </c>
      <c r="F3742" s="76" t="s">
        <v>550</v>
      </c>
      <c r="G3742" s="76" t="s">
        <v>549</v>
      </c>
      <c r="H3742" s="76" t="s">
        <v>550</v>
      </c>
      <c r="I3742" s="76" t="s">
        <v>1410</v>
      </c>
      <c r="J3742" s="76" t="s">
        <v>69</v>
      </c>
      <c r="K3742" s="40" t="s">
        <v>591</v>
      </c>
      <c r="L3742" s="11" t="s">
        <v>914</v>
      </c>
      <c r="M3742" s="93">
        <v>1</v>
      </c>
      <c r="N3742" s="94">
        <f t="shared" si="88"/>
        <v>31500</v>
      </c>
      <c r="O3742" s="94">
        <f>36750-5250</f>
        <v>31500</v>
      </c>
      <c r="P3742" s="40" t="s">
        <v>699</v>
      </c>
      <c r="Q3742" s="40" t="s">
        <v>766</v>
      </c>
      <c r="R3742" s="84" t="s">
        <v>3483</v>
      </c>
      <c r="S3742" s="40">
        <v>0</v>
      </c>
    </row>
    <row r="3743" spans="1:19" s="92" customFormat="1" ht="76.5">
      <c r="A3743" s="5">
        <v>3728</v>
      </c>
      <c r="B3743" s="15" t="s">
        <v>710</v>
      </c>
      <c r="C3743" s="40" t="s">
        <v>597</v>
      </c>
      <c r="D3743" s="40" t="s">
        <v>556</v>
      </c>
      <c r="E3743" s="76" t="s">
        <v>557</v>
      </c>
      <c r="F3743" s="76" t="s">
        <v>558</v>
      </c>
      <c r="G3743" s="76" t="s">
        <v>559</v>
      </c>
      <c r="H3743" s="76" t="s">
        <v>560</v>
      </c>
      <c r="I3743" s="76" t="s">
        <v>1411</v>
      </c>
      <c r="J3743" s="76" t="s">
        <v>70</v>
      </c>
      <c r="K3743" s="40" t="s">
        <v>591</v>
      </c>
      <c r="L3743" s="11" t="s">
        <v>914</v>
      </c>
      <c r="M3743" s="93">
        <v>1</v>
      </c>
      <c r="N3743" s="94">
        <f t="shared" si="88"/>
        <v>13500</v>
      </c>
      <c r="O3743" s="94">
        <f>15750-2250</f>
        <v>13500</v>
      </c>
      <c r="P3743" s="40" t="s">
        <v>699</v>
      </c>
      <c r="Q3743" s="40" t="s">
        <v>766</v>
      </c>
      <c r="R3743" s="84" t="s">
        <v>3483</v>
      </c>
      <c r="S3743" s="40">
        <v>0</v>
      </c>
    </row>
    <row r="3744" spans="1:19" s="92" customFormat="1" ht="63.75">
      <c r="A3744" s="5">
        <v>3729</v>
      </c>
      <c r="B3744" s="15" t="s">
        <v>710</v>
      </c>
      <c r="C3744" s="40" t="s">
        <v>597</v>
      </c>
      <c r="D3744" s="40" t="s">
        <v>551</v>
      </c>
      <c r="E3744" s="76" t="s">
        <v>552</v>
      </c>
      <c r="F3744" s="76" t="s">
        <v>553</v>
      </c>
      <c r="G3744" s="76" t="s">
        <v>554</v>
      </c>
      <c r="H3744" s="76" t="s">
        <v>555</v>
      </c>
      <c r="I3744" s="76" t="s">
        <v>1412</v>
      </c>
      <c r="J3744" s="76" t="s">
        <v>71</v>
      </c>
      <c r="K3744" s="40" t="s">
        <v>591</v>
      </c>
      <c r="L3744" s="11" t="s">
        <v>914</v>
      </c>
      <c r="M3744" s="93">
        <v>1</v>
      </c>
      <c r="N3744" s="94">
        <f t="shared" si="88"/>
        <v>31500</v>
      </c>
      <c r="O3744" s="94">
        <f>36750-5250</f>
        <v>31500</v>
      </c>
      <c r="P3744" s="40" t="s">
        <v>699</v>
      </c>
      <c r="Q3744" s="40" t="s">
        <v>766</v>
      </c>
      <c r="R3744" s="84" t="s">
        <v>3483</v>
      </c>
      <c r="S3744" s="40">
        <v>0</v>
      </c>
    </row>
    <row r="3745" spans="1:19" s="92" customFormat="1" ht="76.5">
      <c r="A3745" s="5">
        <v>3730</v>
      </c>
      <c r="B3745" s="15" t="s">
        <v>710</v>
      </c>
      <c r="C3745" s="40" t="s">
        <v>597</v>
      </c>
      <c r="D3745" s="40" t="s">
        <v>868</v>
      </c>
      <c r="E3745" s="76" t="s">
        <v>1874</v>
      </c>
      <c r="F3745" s="76" t="s">
        <v>869</v>
      </c>
      <c r="G3745" s="76" t="s">
        <v>1875</v>
      </c>
      <c r="H3745" s="76" t="s">
        <v>870</v>
      </c>
      <c r="I3745" s="76" t="s">
        <v>1873</v>
      </c>
      <c r="J3745" s="76" t="s">
        <v>72</v>
      </c>
      <c r="K3745" s="40" t="s">
        <v>591</v>
      </c>
      <c r="L3745" s="11" t="s">
        <v>914</v>
      </c>
      <c r="M3745" s="97">
        <v>1</v>
      </c>
      <c r="N3745" s="94">
        <f t="shared" si="88"/>
        <v>13500</v>
      </c>
      <c r="O3745" s="94">
        <f>15750-2250</f>
        <v>13500</v>
      </c>
      <c r="P3745" s="40" t="s">
        <v>699</v>
      </c>
      <c r="Q3745" s="40" t="s">
        <v>766</v>
      </c>
      <c r="R3745" s="84" t="s">
        <v>3483</v>
      </c>
      <c r="S3745" s="40">
        <v>0</v>
      </c>
    </row>
    <row r="3746" spans="1:19" s="92" customFormat="1" ht="51">
      <c r="A3746" s="5">
        <v>3731</v>
      </c>
      <c r="B3746" s="15" t="s">
        <v>710</v>
      </c>
      <c r="C3746" s="42" t="s">
        <v>597</v>
      </c>
      <c r="D3746" s="40" t="s">
        <v>702</v>
      </c>
      <c r="E3746" s="76" t="s">
        <v>777</v>
      </c>
      <c r="F3746" s="76" t="s">
        <v>703</v>
      </c>
      <c r="G3746" s="76" t="s">
        <v>777</v>
      </c>
      <c r="H3746" s="76" t="s">
        <v>703</v>
      </c>
      <c r="I3746" s="76" t="s">
        <v>3247</v>
      </c>
      <c r="J3746" s="76" t="s">
        <v>3248</v>
      </c>
      <c r="K3746" s="76" t="s">
        <v>591</v>
      </c>
      <c r="L3746" s="11" t="s">
        <v>914</v>
      </c>
      <c r="M3746" s="93">
        <v>1</v>
      </c>
      <c r="N3746" s="94">
        <f t="shared" si="88"/>
        <v>275400</v>
      </c>
      <c r="O3746" s="94">
        <f>321300-45900</f>
        <v>275400</v>
      </c>
      <c r="P3746" s="40" t="s">
        <v>699</v>
      </c>
      <c r="Q3746" s="40" t="s">
        <v>766</v>
      </c>
      <c r="R3746" s="84" t="s">
        <v>3483</v>
      </c>
      <c r="S3746" s="40">
        <v>0</v>
      </c>
    </row>
    <row r="3747" spans="1:19" s="92" customFormat="1" ht="51">
      <c r="A3747" s="5">
        <v>3732</v>
      </c>
      <c r="B3747" s="15" t="s">
        <v>710</v>
      </c>
      <c r="C3747" s="40" t="s">
        <v>597</v>
      </c>
      <c r="D3747" s="40" t="s">
        <v>548</v>
      </c>
      <c r="E3747" s="76" t="s">
        <v>549</v>
      </c>
      <c r="F3747" s="76" t="s">
        <v>550</v>
      </c>
      <c r="G3747" s="76" t="s">
        <v>549</v>
      </c>
      <c r="H3747" s="76" t="s">
        <v>550</v>
      </c>
      <c r="I3747" s="76" t="s">
        <v>1410</v>
      </c>
      <c r="J3747" s="76" t="s">
        <v>69</v>
      </c>
      <c r="K3747" s="40" t="s">
        <v>591</v>
      </c>
      <c r="L3747" s="11" t="s">
        <v>914</v>
      </c>
      <c r="M3747" s="93">
        <v>1</v>
      </c>
      <c r="N3747" s="94">
        <f t="shared" si="88"/>
        <v>31500</v>
      </c>
      <c r="O3747" s="94">
        <f>36750-5250</f>
        <v>31500</v>
      </c>
      <c r="P3747" s="40" t="s">
        <v>699</v>
      </c>
      <c r="Q3747" s="40" t="s">
        <v>766</v>
      </c>
      <c r="R3747" s="84" t="s">
        <v>3482</v>
      </c>
      <c r="S3747" s="40">
        <v>0</v>
      </c>
    </row>
    <row r="3748" spans="1:19" s="92" customFormat="1" ht="76.5">
      <c r="A3748" s="5">
        <v>3733</v>
      </c>
      <c r="B3748" s="15" t="s">
        <v>710</v>
      </c>
      <c r="C3748" s="40" t="s">
        <v>597</v>
      </c>
      <c r="D3748" s="40" t="s">
        <v>556</v>
      </c>
      <c r="E3748" s="76" t="s">
        <v>557</v>
      </c>
      <c r="F3748" s="76" t="s">
        <v>558</v>
      </c>
      <c r="G3748" s="76" t="s">
        <v>559</v>
      </c>
      <c r="H3748" s="76" t="s">
        <v>560</v>
      </c>
      <c r="I3748" s="76" t="s">
        <v>1411</v>
      </c>
      <c r="J3748" s="76" t="s">
        <v>70</v>
      </c>
      <c r="K3748" s="40" t="s">
        <v>591</v>
      </c>
      <c r="L3748" s="11" t="s">
        <v>914</v>
      </c>
      <c r="M3748" s="93">
        <v>1</v>
      </c>
      <c r="N3748" s="94">
        <f t="shared" si="88"/>
        <v>13500</v>
      </c>
      <c r="O3748" s="94">
        <f>15750-2250</f>
        <v>13500</v>
      </c>
      <c r="P3748" s="40" t="s">
        <v>699</v>
      </c>
      <c r="Q3748" s="40" t="s">
        <v>766</v>
      </c>
      <c r="R3748" s="84" t="s">
        <v>3482</v>
      </c>
      <c r="S3748" s="40">
        <v>0</v>
      </c>
    </row>
    <row r="3749" spans="1:19" s="92" customFormat="1" ht="63.75">
      <c r="A3749" s="5">
        <v>3734</v>
      </c>
      <c r="B3749" s="15" t="s">
        <v>710</v>
      </c>
      <c r="C3749" s="40" t="s">
        <v>597</v>
      </c>
      <c r="D3749" s="40" t="s">
        <v>551</v>
      </c>
      <c r="E3749" s="76" t="s">
        <v>552</v>
      </c>
      <c r="F3749" s="76" t="s">
        <v>553</v>
      </c>
      <c r="G3749" s="76" t="s">
        <v>554</v>
      </c>
      <c r="H3749" s="76" t="s">
        <v>555</v>
      </c>
      <c r="I3749" s="76" t="s">
        <v>1412</v>
      </c>
      <c r="J3749" s="76" t="s">
        <v>71</v>
      </c>
      <c r="K3749" s="40" t="s">
        <v>591</v>
      </c>
      <c r="L3749" s="11" t="s">
        <v>914</v>
      </c>
      <c r="M3749" s="93">
        <v>1</v>
      </c>
      <c r="N3749" s="94">
        <f t="shared" si="88"/>
        <v>31500</v>
      </c>
      <c r="O3749" s="94">
        <f>36750-5250</f>
        <v>31500</v>
      </c>
      <c r="P3749" s="40" t="s">
        <v>699</v>
      </c>
      <c r="Q3749" s="40" t="s">
        <v>766</v>
      </c>
      <c r="R3749" s="84" t="s">
        <v>3482</v>
      </c>
      <c r="S3749" s="40">
        <v>0</v>
      </c>
    </row>
    <row r="3750" spans="1:19" s="92" customFormat="1" ht="76.5">
      <c r="A3750" s="5">
        <v>3735</v>
      </c>
      <c r="B3750" s="15" t="s">
        <v>710</v>
      </c>
      <c r="C3750" s="40" t="s">
        <v>597</v>
      </c>
      <c r="D3750" s="40" t="s">
        <v>868</v>
      </c>
      <c r="E3750" s="76" t="s">
        <v>1874</v>
      </c>
      <c r="F3750" s="76" t="s">
        <v>869</v>
      </c>
      <c r="G3750" s="76" t="s">
        <v>1875</v>
      </c>
      <c r="H3750" s="76" t="s">
        <v>870</v>
      </c>
      <c r="I3750" s="76" t="s">
        <v>1873</v>
      </c>
      <c r="J3750" s="76" t="s">
        <v>72</v>
      </c>
      <c r="K3750" s="40" t="s">
        <v>591</v>
      </c>
      <c r="L3750" s="11" t="s">
        <v>914</v>
      </c>
      <c r="M3750" s="97">
        <v>1</v>
      </c>
      <c r="N3750" s="94">
        <f t="shared" si="88"/>
        <v>13500</v>
      </c>
      <c r="O3750" s="94">
        <f>15750-2250</f>
        <v>13500</v>
      </c>
      <c r="P3750" s="40" t="s">
        <v>699</v>
      </c>
      <c r="Q3750" s="40" t="s">
        <v>766</v>
      </c>
      <c r="R3750" s="84" t="s">
        <v>3482</v>
      </c>
      <c r="S3750" s="40">
        <v>0</v>
      </c>
    </row>
    <row r="3751" spans="1:19" s="92" customFormat="1" ht="51">
      <c r="A3751" s="5">
        <v>3736</v>
      </c>
      <c r="B3751" s="15" t="s">
        <v>710</v>
      </c>
      <c r="C3751" s="42" t="s">
        <v>597</v>
      </c>
      <c r="D3751" s="40" t="s">
        <v>702</v>
      </c>
      <c r="E3751" s="76" t="s">
        <v>777</v>
      </c>
      <c r="F3751" s="76" t="s">
        <v>703</v>
      </c>
      <c r="G3751" s="76" t="s">
        <v>777</v>
      </c>
      <c r="H3751" s="76" t="s">
        <v>703</v>
      </c>
      <c r="I3751" s="76" t="s">
        <v>3247</v>
      </c>
      <c r="J3751" s="76" t="s">
        <v>3248</v>
      </c>
      <c r="K3751" s="76" t="s">
        <v>591</v>
      </c>
      <c r="L3751" s="11" t="s">
        <v>914</v>
      </c>
      <c r="M3751" s="93">
        <v>1</v>
      </c>
      <c r="N3751" s="94">
        <f t="shared" si="88"/>
        <v>275400</v>
      </c>
      <c r="O3751" s="94">
        <f>321300-45900</f>
        <v>275400</v>
      </c>
      <c r="P3751" s="40" t="s">
        <v>699</v>
      </c>
      <c r="Q3751" s="40" t="s">
        <v>766</v>
      </c>
      <c r="R3751" s="84" t="s">
        <v>3482</v>
      </c>
      <c r="S3751" s="40">
        <v>0</v>
      </c>
    </row>
    <row r="3752" spans="1:19" s="92" customFormat="1" ht="51">
      <c r="A3752" s="5">
        <v>3737</v>
      </c>
      <c r="B3752" s="15" t="s">
        <v>710</v>
      </c>
      <c r="C3752" s="40" t="s">
        <v>597</v>
      </c>
      <c r="D3752" s="40" t="s">
        <v>548</v>
      </c>
      <c r="E3752" s="76" t="s">
        <v>549</v>
      </c>
      <c r="F3752" s="76" t="s">
        <v>550</v>
      </c>
      <c r="G3752" s="76" t="s">
        <v>549</v>
      </c>
      <c r="H3752" s="76" t="s">
        <v>550</v>
      </c>
      <c r="I3752" s="76" t="s">
        <v>1410</v>
      </c>
      <c r="J3752" s="76" t="s">
        <v>69</v>
      </c>
      <c r="K3752" s="40" t="s">
        <v>591</v>
      </c>
      <c r="L3752" s="11" t="s">
        <v>914</v>
      </c>
      <c r="M3752" s="93">
        <v>1</v>
      </c>
      <c r="N3752" s="94">
        <f t="shared" si="88"/>
        <v>31500</v>
      </c>
      <c r="O3752" s="94">
        <f>36750-5250</f>
        <v>31500</v>
      </c>
      <c r="P3752" s="40" t="s">
        <v>699</v>
      </c>
      <c r="Q3752" s="40" t="s">
        <v>766</v>
      </c>
      <c r="R3752" s="84" t="s">
        <v>3481</v>
      </c>
      <c r="S3752" s="40">
        <v>0</v>
      </c>
    </row>
    <row r="3753" spans="1:19" s="92" customFormat="1" ht="76.5">
      <c r="A3753" s="5">
        <v>3738</v>
      </c>
      <c r="B3753" s="15" t="s">
        <v>710</v>
      </c>
      <c r="C3753" s="40" t="s">
        <v>597</v>
      </c>
      <c r="D3753" s="40" t="s">
        <v>556</v>
      </c>
      <c r="E3753" s="76" t="s">
        <v>557</v>
      </c>
      <c r="F3753" s="76" t="s">
        <v>558</v>
      </c>
      <c r="G3753" s="76" t="s">
        <v>559</v>
      </c>
      <c r="H3753" s="76" t="s">
        <v>560</v>
      </c>
      <c r="I3753" s="76" t="s">
        <v>1411</v>
      </c>
      <c r="J3753" s="76" t="s">
        <v>70</v>
      </c>
      <c r="K3753" s="40" t="s">
        <v>591</v>
      </c>
      <c r="L3753" s="11" t="s">
        <v>914</v>
      </c>
      <c r="M3753" s="93">
        <v>1</v>
      </c>
      <c r="N3753" s="94">
        <f t="shared" si="88"/>
        <v>13500</v>
      </c>
      <c r="O3753" s="94">
        <f>15750-2250</f>
        <v>13500</v>
      </c>
      <c r="P3753" s="40" t="s">
        <v>699</v>
      </c>
      <c r="Q3753" s="40" t="s">
        <v>766</v>
      </c>
      <c r="R3753" s="84" t="s">
        <v>3481</v>
      </c>
      <c r="S3753" s="40">
        <v>0</v>
      </c>
    </row>
    <row r="3754" spans="1:19" s="92" customFormat="1" ht="63.75">
      <c r="A3754" s="5">
        <v>3739</v>
      </c>
      <c r="B3754" s="15" t="s">
        <v>710</v>
      </c>
      <c r="C3754" s="40" t="s">
        <v>597</v>
      </c>
      <c r="D3754" s="40" t="s">
        <v>551</v>
      </c>
      <c r="E3754" s="76" t="s">
        <v>552</v>
      </c>
      <c r="F3754" s="76" t="s">
        <v>553</v>
      </c>
      <c r="G3754" s="76" t="s">
        <v>554</v>
      </c>
      <c r="H3754" s="76" t="s">
        <v>555</v>
      </c>
      <c r="I3754" s="76" t="s">
        <v>1412</v>
      </c>
      <c r="J3754" s="76" t="s">
        <v>71</v>
      </c>
      <c r="K3754" s="40" t="s">
        <v>591</v>
      </c>
      <c r="L3754" s="11" t="s">
        <v>914</v>
      </c>
      <c r="M3754" s="93">
        <v>1</v>
      </c>
      <c r="N3754" s="94">
        <f t="shared" si="88"/>
        <v>31500</v>
      </c>
      <c r="O3754" s="94">
        <f>36750-5250</f>
        <v>31500</v>
      </c>
      <c r="P3754" s="40" t="s">
        <v>699</v>
      </c>
      <c r="Q3754" s="40" t="s">
        <v>766</v>
      </c>
      <c r="R3754" s="84" t="s">
        <v>3481</v>
      </c>
      <c r="S3754" s="40">
        <v>0</v>
      </c>
    </row>
    <row r="3755" spans="1:19" s="92" customFormat="1" ht="76.5">
      <c r="A3755" s="5">
        <v>3740</v>
      </c>
      <c r="B3755" s="15" t="s">
        <v>710</v>
      </c>
      <c r="C3755" s="40" t="s">
        <v>597</v>
      </c>
      <c r="D3755" s="40" t="s">
        <v>868</v>
      </c>
      <c r="E3755" s="76" t="s">
        <v>1874</v>
      </c>
      <c r="F3755" s="76" t="s">
        <v>869</v>
      </c>
      <c r="G3755" s="76" t="s">
        <v>1875</v>
      </c>
      <c r="H3755" s="76" t="s">
        <v>870</v>
      </c>
      <c r="I3755" s="76" t="s">
        <v>1873</v>
      </c>
      <c r="J3755" s="76" t="s">
        <v>72</v>
      </c>
      <c r="K3755" s="40" t="s">
        <v>591</v>
      </c>
      <c r="L3755" s="11" t="s">
        <v>914</v>
      </c>
      <c r="M3755" s="97">
        <v>1</v>
      </c>
      <c r="N3755" s="94">
        <f t="shared" si="88"/>
        <v>13500</v>
      </c>
      <c r="O3755" s="94">
        <f>15750-2250</f>
        <v>13500</v>
      </c>
      <c r="P3755" s="40" t="s">
        <v>699</v>
      </c>
      <c r="Q3755" s="40" t="s">
        <v>766</v>
      </c>
      <c r="R3755" s="84" t="s">
        <v>3481</v>
      </c>
      <c r="S3755" s="40">
        <v>0</v>
      </c>
    </row>
    <row r="3756" spans="1:19" s="92" customFormat="1" ht="51">
      <c r="A3756" s="5">
        <v>3741</v>
      </c>
      <c r="B3756" s="15" t="s">
        <v>710</v>
      </c>
      <c r="C3756" s="40" t="s">
        <v>597</v>
      </c>
      <c r="D3756" s="40" t="s">
        <v>548</v>
      </c>
      <c r="E3756" s="76" t="s">
        <v>549</v>
      </c>
      <c r="F3756" s="76" t="s">
        <v>550</v>
      </c>
      <c r="G3756" s="76" t="s">
        <v>549</v>
      </c>
      <c r="H3756" s="76" t="s">
        <v>550</v>
      </c>
      <c r="I3756" s="76" t="s">
        <v>1410</v>
      </c>
      <c r="J3756" s="76" t="s">
        <v>69</v>
      </c>
      <c r="K3756" s="40" t="s">
        <v>591</v>
      </c>
      <c r="L3756" s="11" t="s">
        <v>914</v>
      </c>
      <c r="M3756" s="93">
        <v>1</v>
      </c>
      <c r="N3756" s="94">
        <f t="shared" si="88"/>
        <v>31500</v>
      </c>
      <c r="O3756" s="94">
        <f>36750-5250</f>
        <v>31500</v>
      </c>
      <c r="P3756" s="40" t="s">
        <v>699</v>
      </c>
      <c r="Q3756" s="40" t="s">
        <v>766</v>
      </c>
      <c r="R3756" s="84" t="s">
        <v>3480</v>
      </c>
      <c r="S3756" s="40">
        <v>0</v>
      </c>
    </row>
    <row r="3757" spans="1:19" s="92" customFormat="1" ht="76.5">
      <c r="A3757" s="5">
        <v>3742</v>
      </c>
      <c r="B3757" s="15" t="s">
        <v>710</v>
      </c>
      <c r="C3757" s="40" t="s">
        <v>597</v>
      </c>
      <c r="D3757" s="40" t="s">
        <v>556</v>
      </c>
      <c r="E3757" s="76" t="s">
        <v>557</v>
      </c>
      <c r="F3757" s="76" t="s">
        <v>558</v>
      </c>
      <c r="G3757" s="76" t="s">
        <v>559</v>
      </c>
      <c r="H3757" s="76" t="s">
        <v>560</v>
      </c>
      <c r="I3757" s="76" t="s">
        <v>1411</v>
      </c>
      <c r="J3757" s="76" t="s">
        <v>70</v>
      </c>
      <c r="K3757" s="40" t="s">
        <v>591</v>
      </c>
      <c r="L3757" s="11" t="s">
        <v>914</v>
      </c>
      <c r="M3757" s="93">
        <v>1</v>
      </c>
      <c r="N3757" s="94">
        <f t="shared" si="88"/>
        <v>13500</v>
      </c>
      <c r="O3757" s="94">
        <f>15750-2250</f>
        <v>13500</v>
      </c>
      <c r="P3757" s="40" t="s">
        <v>699</v>
      </c>
      <c r="Q3757" s="40" t="s">
        <v>766</v>
      </c>
      <c r="R3757" s="84" t="s">
        <v>3480</v>
      </c>
      <c r="S3757" s="40">
        <v>0</v>
      </c>
    </row>
    <row r="3758" spans="1:19" s="92" customFormat="1" ht="63.75">
      <c r="A3758" s="5">
        <v>3743</v>
      </c>
      <c r="B3758" s="15" t="s">
        <v>710</v>
      </c>
      <c r="C3758" s="40" t="s">
        <v>597</v>
      </c>
      <c r="D3758" s="40" t="s">
        <v>551</v>
      </c>
      <c r="E3758" s="76" t="s">
        <v>552</v>
      </c>
      <c r="F3758" s="76" t="s">
        <v>553</v>
      </c>
      <c r="G3758" s="76" t="s">
        <v>554</v>
      </c>
      <c r="H3758" s="76" t="s">
        <v>555</v>
      </c>
      <c r="I3758" s="76" t="s">
        <v>1412</v>
      </c>
      <c r="J3758" s="76" t="s">
        <v>71</v>
      </c>
      <c r="K3758" s="40" t="s">
        <v>591</v>
      </c>
      <c r="L3758" s="11" t="s">
        <v>914</v>
      </c>
      <c r="M3758" s="93">
        <v>1</v>
      </c>
      <c r="N3758" s="94">
        <f t="shared" si="88"/>
        <v>31500</v>
      </c>
      <c r="O3758" s="94">
        <f>36750-5250</f>
        <v>31500</v>
      </c>
      <c r="P3758" s="40" t="s">
        <v>699</v>
      </c>
      <c r="Q3758" s="40" t="s">
        <v>766</v>
      </c>
      <c r="R3758" s="84" t="s">
        <v>3480</v>
      </c>
      <c r="S3758" s="40">
        <v>0</v>
      </c>
    </row>
    <row r="3759" spans="1:19" s="92" customFormat="1" ht="76.5">
      <c r="A3759" s="5">
        <v>3744</v>
      </c>
      <c r="B3759" s="15" t="s">
        <v>710</v>
      </c>
      <c r="C3759" s="40" t="s">
        <v>597</v>
      </c>
      <c r="D3759" s="40" t="s">
        <v>868</v>
      </c>
      <c r="E3759" s="76" t="s">
        <v>1874</v>
      </c>
      <c r="F3759" s="76" t="s">
        <v>869</v>
      </c>
      <c r="G3759" s="76" t="s">
        <v>1875</v>
      </c>
      <c r="H3759" s="76" t="s">
        <v>870</v>
      </c>
      <c r="I3759" s="76" t="s">
        <v>1873</v>
      </c>
      <c r="J3759" s="76" t="s">
        <v>72</v>
      </c>
      <c r="K3759" s="40" t="s">
        <v>591</v>
      </c>
      <c r="L3759" s="11" t="s">
        <v>914</v>
      </c>
      <c r="M3759" s="97">
        <v>1</v>
      </c>
      <c r="N3759" s="94">
        <f t="shared" si="88"/>
        <v>13500</v>
      </c>
      <c r="O3759" s="94">
        <f>15750-2250</f>
        <v>13500</v>
      </c>
      <c r="P3759" s="40" t="s">
        <v>699</v>
      </c>
      <c r="Q3759" s="40" t="s">
        <v>766</v>
      </c>
      <c r="R3759" s="84" t="s">
        <v>3480</v>
      </c>
      <c r="S3759" s="40">
        <v>0</v>
      </c>
    </row>
    <row r="3760" spans="1:19" s="92" customFormat="1" ht="51">
      <c r="A3760" s="5">
        <v>3745</v>
      </c>
      <c r="B3760" s="15" t="s">
        <v>710</v>
      </c>
      <c r="C3760" s="40" t="s">
        <v>597</v>
      </c>
      <c r="D3760" s="40" t="s">
        <v>548</v>
      </c>
      <c r="E3760" s="76" t="s">
        <v>549</v>
      </c>
      <c r="F3760" s="76" t="s">
        <v>550</v>
      </c>
      <c r="G3760" s="76" t="s">
        <v>549</v>
      </c>
      <c r="H3760" s="76" t="s">
        <v>550</v>
      </c>
      <c r="I3760" s="76" t="s">
        <v>1410</v>
      </c>
      <c r="J3760" s="76" t="s">
        <v>69</v>
      </c>
      <c r="K3760" s="40" t="s">
        <v>591</v>
      </c>
      <c r="L3760" s="11" t="s">
        <v>914</v>
      </c>
      <c r="M3760" s="93">
        <v>1</v>
      </c>
      <c r="N3760" s="94">
        <f t="shared" si="88"/>
        <v>31500</v>
      </c>
      <c r="O3760" s="94">
        <f>36750-5250</f>
        <v>31500</v>
      </c>
      <c r="P3760" s="40" t="s">
        <v>699</v>
      </c>
      <c r="Q3760" s="40" t="s">
        <v>766</v>
      </c>
      <c r="R3760" s="84" t="s">
        <v>3479</v>
      </c>
      <c r="S3760" s="40">
        <v>0</v>
      </c>
    </row>
    <row r="3761" spans="1:19" s="92" customFormat="1" ht="76.5">
      <c r="A3761" s="5">
        <v>3746</v>
      </c>
      <c r="B3761" s="15" t="s">
        <v>710</v>
      </c>
      <c r="C3761" s="40" t="s">
        <v>597</v>
      </c>
      <c r="D3761" s="40" t="s">
        <v>556</v>
      </c>
      <c r="E3761" s="76" t="s">
        <v>557</v>
      </c>
      <c r="F3761" s="76" t="s">
        <v>558</v>
      </c>
      <c r="G3761" s="76" t="s">
        <v>559</v>
      </c>
      <c r="H3761" s="76" t="s">
        <v>560</v>
      </c>
      <c r="I3761" s="76" t="s">
        <v>1411</v>
      </c>
      <c r="J3761" s="76" t="s">
        <v>70</v>
      </c>
      <c r="K3761" s="40" t="s">
        <v>591</v>
      </c>
      <c r="L3761" s="11" t="s">
        <v>914</v>
      </c>
      <c r="M3761" s="93">
        <v>1</v>
      </c>
      <c r="N3761" s="94">
        <f t="shared" si="88"/>
        <v>13500</v>
      </c>
      <c r="O3761" s="94">
        <f>15750-2250</f>
        <v>13500</v>
      </c>
      <c r="P3761" s="40" t="s">
        <v>699</v>
      </c>
      <c r="Q3761" s="40" t="s">
        <v>766</v>
      </c>
      <c r="R3761" s="84" t="s">
        <v>3479</v>
      </c>
      <c r="S3761" s="40">
        <v>0</v>
      </c>
    </row>
    <row r="3762" spans="1:19" s="92" customFormat="1" ht="63.75">
      <c r="A3762" s="5">
        <v>3747</v>
      </c>
      <c r="B3762" s="15" t="s">
        <v>710</v>
      </c>
      <c r="C3762" s="40" t="s">
        <v>597</v>
      </c>
      <c r="D3762" s="40" t="s">
        <v>551</v>
      </c>
      <c r="E3762" s="76" t="s">
        <v>552</v>
      </c>
      <c r="F3762" s="76" t="s">
        <v>553</v>
      </c>
      <c r="G3762" s="76" t="s">
        <v>554</v>
      </c>
      <c r="H3762" s="76" t="s">
        <v>555</v>
      </c>
      <c r="I3762" s="76" t="s">
        <v>1412</v>
      </c>
      <c r="J3762" s="76" t="s">
        <v>71</v>
      </c>
      <c r="K3762" s="40" t="s">
        <v>591</v>
      </c>
      <c r="L3762" s="11" t="s">
        <v>914</v>
      </c>
      <c r="M3762" s="93">
        <v>1</v>
      </c>
      <c r="N3762" s="94">
        <f t="shared" si="88"/>
        <v>31500</v>
      </c>
      <c r="O3762" s="94">
        <f>36750-5250</f>
        <v>31500</v>
      </c>
      <c r="P3762" s="40" t="s">
        <v>699</v>
      </c>
      <c r="Q3762" s="40" t="s">
        <v>766</v>
      </c>
      <c r="R3762" s="84" t="s">
        <v>3479</v>
      </c>
      <c r="S3762" s="40">
        <v>0</v>
      </c>
    </row>
    <row r="3763" spans="1:19" s="92" customFormat="1" ht="76.5">
      <c r="A3763" s="5">
        <v>3748</v>
      </c>
      <c r="B3763" s="15" t="s">
        <v>710</v>
      </c>
      <c r="C3763" s="40" t="s">
        <v>597</v>
      </c>
      <c r="D3763" s="40" t="s">
        <v>868</v>
      </c>
      <c r="E3763" s="76" t="s">
        <v>1874</v>
      </c>
      <c r="F3763" s="76" t="s">
        <v>869</v>
      </c>
      <c r="G3763" s="76" t="s">
        <v>1875</v>
      </c>
      <c r="H3763" s="76" t="s">
        <v>870</v>
      </c>
      <c r="I3763" s="76" t="s">
        <v>1873</v>
      </c>
      <c r="J3763" s="76" t="s">
        <v>72</v>
      </c>
      <c r="K3763" s="40" t="s">
        <v>591</v>
      </c>
      <c r="L3763" s="11" t="s">
        <v>914</v>
      </c>
      <c r="M3763" s="97">
        <v>1</v>
      </c>
      <c r="N3763" s="94">
        <f t="shared" si="88"/>
        <v>13500</v>
      </c>
      <c r="O3763" s="94">
        <f>15750-2250</f>
        <v>13500</v>
      </c>
      <c r="P3763" s="40" t="s">
        <v>699</v>
      </c>
      <c r="Q3763" s="40" t="s">
        <v>766</v>
      </c>
      <c r="R3763" s="84" t="s">
        <v>3479</v>
      </c>
      <c r="S3763" s="40">
        <v>0</v>
      </c>
    </row>
    <row r="3764" spans="1:19" s="92" customFormat="1" ht="51">
      <c r="A3764" s="5">
        <v>3749</v>
      </c>
      <c r="B3764" s="15" t="s">
        <v>710</v>
      </c>
      <c r="C3764" s="42" t="s">
        <v>597</v>
      </c>
      <c r="D3764" s="40" t="s">
        <v>702</v>
      </c>
      <c r="E3764" s="76" t="s">
        <v>777</v>
      </c>
      <c r="F3764" s="76" t="s">
        <v>703</v>
      </c>
      <c r="G3764" s="76" t="s">
        <v>777</v>
      </c>
      <c r="H3764" s="76" t="s">
        <v>703</v>
      </c>
      <c r="I3764" s="76" t="s">
        <v>3247</v>
      </c>
      <c r="J3764" s="76" t="s">
        <v>3248</v>
      </c>
      <c r="K3764" s="76" t="s">
        <v>591</v>
      </c>
      <c r="L3764" s="11" t="s">
        <v>914</v>
      </c>
      <c r="M3764" s="93">
        <v>1</v>
      </c>
      <c r="N3764" s="94">
        <f t="shared" si="88"/>
        <v>275400</v>
      </c>
      <c r="O3764" s="94">
        <f>321300-45900</f>
        <v>275400</v>
      </c>
      <c r="P3764" s="40" t="s">
        <v>699</v>
      </c>
      <c r="Q3764" s="40" t="s">
        <v>766</v>
      </c>
      <c r="R3764" s="84" t="s">
        <v>3479</v>
      </c>
      <c r="S3764" s="40">
        <v>0</v>
      </c>
    </row>
    <row r="3765" spans="1:19" s="92" customFormat="1" ht="51">
      <c r="A3765" s="5">
        <v>3750</v>
      </c>
      <c r="B3765" s="15" t="s">
        <v>710</v>
      </c>
      <c r="C3765" s="40" t="s">
        <v>597</v>
      </c>
      <c r="D3765" s="40" t="s">
        <v>548</v>
      </c>
      <c r="E3765" s="76" t="s">
        <v>549</v>
      </c>
      <c r="F3765" s="76" t="s">
        <v>550</v>
      </c>
      <c r="G3765" s="76" t="s">
        <v>549</v>
      </c>
      <c r="H3765" s="76" t="s">
        <v>550</v>
      </c>
      <c r="I3765" s="76" t="s">
        <v>1410</v>
      </c>
      <c r="J3765" s="76" t="s">
        <v>69</v>
      </c>
      <c r="K3765" s="40" t="s">
        <v>591</v>
      </c>
      <c r="L3765" s="11" t="s">
        <v>914</v>
      </c>
      <c r="M3765" s="93">
        <v>1</v>
      </c>
      <c r="N3765" s="94">
        <f t="shared" si="88"/>
        <v>31500</v>
      </c>
      <c r="O3765" s="94">
        <f>36750-5250</f>
        <v>31500</v>
      </c>
      <c r="P3765" s="40" t="s">
        <v>699</v>
      </c>
      <c r="Q3765" s="40" t="s">
        <v>766</v>
      </c>
      <c r="R3765" s="84" t="s">
        <v>3478</v>
      </c>
      <c r="S3765" s="40">
        <v>0</v>
      </c>
    </row>
    <row r="3766" spans="1:19" s="92" customFormat="1" ht="76.5">
      <c r="A3766" s="5">
        <v>3751</v>
      </c>
      <c r="B3766" s="15" t="s">
        <v>710</v>
      </c>
      <c r="C3766" s="40" t="s">
        <v>597</v>
      </c>
      <c r="D3766" s="40" t="s">
        <v>556</v>
      </c>
      <c r="E3766" s="76" t="s">
        <v>557</v>
      </c>
      <c r="F3766" s="76" t="s">
        <v>558</v>
      </c>
      <c r="G3766" s="76" t="s">
        <v>559</v>
      </c>
      <c r="H3766" s="76" t="s">
        <v>560</v>
      </c>
      <c r="I3766" s="76" t="s">
        <v>1411</v>
      </c>
      <c r="J3766" s="76" t="s">
        <v>70</v>
      </c>
      <c r="K3766" s="40" t="s">
        <v>591</v>
      </c>
      <c r="L3766" s="11" t="s">
        <v>914</v>
      </c>
      <c r="M3766" s="93">
        <v>1</v>
      </c>
      <c r="N3766" s="94">
        <f t="shared" si="88"/>
        <v>13500</v>
      </c>
      <c r="O3766" s="94">
        <f>15750-2250</f>
        <v>13500</v>
      </c>
      <c r="P3766" s="40" t="s">
        <v>699</v>
      </c>
      <c r="Q3766" s="40" t="s">
        <v>766</v>
      </c>
      <c r="R3766" s="84" t="s">
        <v>3478</v>
      </c>
      <c r="S3766" s="40">
        <v>0</v>
      </c>
    </row>
    <row r="3767" spans="1:19" s="92" customFormat="1" ht="63.75">
      <c r="A3767" s="5">
        <v>3752</v>
      </c>
      <c r="B3767" s="15" t="s">
        <v>710</v>
      </c>
      <c r="C3767" s="40" t="s">
        <v>597</v>
      </c>
      <c r="D3767" s="40" t="s">
        <v>551</v>
      </c>
      <c r="E3767" s="76" t="s">
        <v>552</v>
      </c>
      <c r="F3767" s="76" t="s">
        <v>553</v>
      </c>
      <c r="G3767" s="76" t="s">
        <v>554</v>
      </c>
      <c r="H3767" s="76" t="s">
        <v>555</v>
      </c>
      <c r="I3767" s="76" t="s">
        <v>1412</v>
      </c>
      <c r="J3767" s="76" t="s">
        <v>71</v>
      </c>
      <c r="K3767" s="40" t="s">
        <v>591</v>
      </c>
      <c r="L3767" s="11" t="s">
        <v>914</v>
      </c>
      <c r="M3767" s="93">
        <v>1</v>
      </c>
      <c r="N3767" s="94">
        <f t="shared" si="88"/>
        <v>31500</v>
      </c>
      <c r="O3767" s="94">
        <f>36750-5250</f>
        <v>31500</v>
      </c>
      <c r="P3767" s="40" t="s">
        <v>699</v>
      </c>
      <c r="Q3767" s="40" t="s">
        <v>766</v>
      </c>
      <c r="R3767" s="84" t="s">
        <v>3478</v>
      </c>
      <c r="S3767" s="40">
        <v>0</v>
      </c>
    </row>
    <row r="3768" spans="1:19" s="92" customFormat="1" ht="76.5">
      <c r="A3768" s="5">
        <v>3753</v>
      </c>
      <c r="B3768" s="15" t="s">
        <v>710</v>
      </c>
      <c r="C3768" s="40" t="s">
        <v>597</v>
      </c>
      <c r="D3768" s="40" t="s">
        <v>868</v>
      </c>
      <c r="E3768" s="76" t="s">
        <v>1874</v>
      </c>
      <c r="F3768" s="76" t="s">
        <v>869</v>
      </c>
      <c r="G3768" s="76" t="s">
        <v>1875</v>
      </c>
      <c r="H3768" s="76" t="s">
        <v>870</v>
      </c>
      <c r="I3768" s="76" t="s">
        <v>1873</v>
      </c>
      <c r="J3768" s="76" t="s">
        <v>72</v>
      </c>
      <c r="K3768" s="40" t="s">
        <v>591</v>
      </c>
      <c r="L3768" s="11" t="s">
        <v>914</v>
      </c>
      <c r="M3768" s="97">
        <v>1</v>
      </c>
      <c r="N3768" s="94">
        <f t="shared" si="88"/>
        <v>13500</v>
      </c>
      <c r="O3768" s="94">
        <f>15750-2250</f>
        <v>13500</v>
      </c>
      <c r="P3768" s="40" t="s">
        <v>699</v>
      </c>
      <c r="Q3768" s="40" t="s">
        <v>766</v>
      </c>
      <c r="R3768" s="84" t="s">
        <v>3478</v>
      </c>
      <c r="S3768" s="40">
        <v>0</v>
      </c>
    </row>
    <row r="3769" spans="1:19" s="92" customFormat="1" ht="51">
      <c r="A3769" s="5">
        <v>3754</v>
      </c>
      <c r="B3769" s="15" t="s">
        <v>710</v>
      </c>
      <c r="C3769" s="42" t="s">
        <v>597</v>
      </c>
      <c r="D3769" s="40" t="s">
        <v>702</v>
      </c>
      <c r="E3769" s="76" t="s">
        <v>777</v>
      </c>
      <c r="F3769" s="76" t="s">
        <v>703</v>
      </c>
      <c r="G3769" s="76" t="s">
        <v>777</v>
      </c>
      <c r="H3769" s="76" t="s">
        <v>703</v>
      </c>
      <c r="I3769" s="76" t="s">
        <v>3247</v>
      </c>
      <c r="J3769" s="76" t="s">
        <v>3248</v>
      </c>
      <c r="K3769" s="76" t="s">
        <v>591</v>
      </c>
      <c r="L3769" s="11" t="s">
        <v>914</v>
      </c>
      <c r="M3769" s="93">
        <v>1</v>
      </c>
      <c r="N3769" s="94">
        <f t="shared" si="88"/>
        <v>275400</v>
      </c>
      <c r="O3769" s="94">
        <f>321300-45900</f>
        <v>275400</v>
      </c>
      <c r="P3769" s="40" t="s">
        <v>699</v>
      </c>
      <c r="Q3769" s="40" t="s">
        <v>766</v>
      </c>
      <c r="R3769" s="84" t="s">
        <v>3478</v>
      </c>
      <c r="S3769" s="40">
        <v>0</v>
      </c>
    </row>
    <row r="3770" spans="1:19" s="92" customFormat="1" ht="51">
      <c r="A3770" s="5">
        <v>3755</v>
      </c>
      <c r="B3770" s="15" t="s">
        <v>710</v>
      </c>
      <c r="C3770" s="40" t="s">
        <v>597</v>
      </c>
      <c r="D3770" s="40" t="s">
        <v>548</v>
      </c>
      <c r="E3770" s="76" t="s">
        <v>549</v>
      </c>
      <c r="F3770" s="76" t="s">
        <v>550</v>
      </c>
      <c r="G3770" s="76" t="s">
        <v>549</v>
      </c>
      <c r="H3770" s="76" t="s">
        <v>550</v>
      </c>
      <c r="I3770" s="76" t="s">
        <v>1410</v>
      </c>
      <c r="J3770" s="76" t="s">
        <v>69</v>
      </c>
      <c r="K3770" s="40" t="s">
        <v>591</v>
      </c>
      <c r="L3770" s="11" t="s">
        <v>914</v>
      </c>
      <c r="M3770" s="93">
        <v>1</v>
      </c>
      <c r="N3770" s="94">
        <f t="shared" si="88"/>
        <v>31500</v>
      </c>
      <c r="O3770" s="94">
        <f>36750-5250</f>
        <v>31500</v>
      </c>
      <c r="P3770" s="40" t="s">
        <v>699</v>
      </c>
      <c r="Q3770" s="40" t="s">
        <v>766</v>
      </c>
      <c r="R3770" s="84" t="s">
        <v>3477</v>
      </c>
      <c r="S3770" s="40">
        <v>0</v>
      </c>
    </row>
    <row r="3771" spans="1:19" s="92" customFormat="1" ht="76.5">
      <c r="A3771" s="5">
        <v>3756</v>
      </c>
      <c r="B3771" s="15" t="s">
        <v>710</v>
      </c>
      <c r="C3771" s="40" t="s">
        <v>597</v>
      </c>
      <c r="D3771" s="40" t="s">
        <v>556</v>
      </c>
      <c r="E3771" s="76" t="s">
        <v>557</v>
      </c>
      <c r="F3771" s="76" t="s">
        <v>558</v>
      </c>
      <c r="G3771" s="76" t="s">
        <v>559</v>
      </c>
      <c r="H3771" s="76" t="s">
        <v>560</v>
      </c>
      <c r="I3771" s="76" t="s">
        <v>1411</v>
      </c>
      <c r="J3771" s="76" t="s">
        <v>70</v>
      </c>
      <c r="K3771" s="40" t="s">
        <v>591</v>
      </c>
      <c r="L3771" s="11" t="s">
        <v>914</v>
      </c>
      <c r="M3771" s="93">
        <v>1</v>
      </c>
      <c r="N3771" s="94">
        <f t="shared" si="88"/>
        <v>13500</v>
      </c>
      <c r="O3771" s="94">
        <f>15750-2250</f>
        <v>13500</v>
      </c>
      <c r="P3771" s="40" t="s">
        <v>699</v>
      </c>
      <c r="Q3771" s="40" t="s">
        <v>766</v>
      </c>
      <c r="R3771" s="84" t="s">
        <v>3477</v>
      </c>
      <c r="S3771" s="40">
        <v>0</v>
      </c>
    </row>
    <row r="3772" spans="1:19" s="92" customFormat="1" ht="63.75">
      <c r="A3772" s="5">
        <v>3757</v>
      </c>
      <c r="B3772" s="15" t="s">
        <v>710</v>
      </c>
      <c r="C3772" s="40" t="s">
        <v>597</v>
      </c>
      <c r="D3772" s="40" t="s">
        <v>551</v>
      </c>
      <c r="E3772" s="76" t="s">
        <v>552</v>
      </c>
      <c r="F3772" s="76" t="s">
        <v>553</v>
      </c>
      <c r="G3772" s="76" t="s">
        <v>554</v>
      </c>
      <c r="H3772" s="76" t="s">
        <v>555</v>
      </c>
      <c r="I3772" s="76" t="s">
        <v>1412</v>
      </c>
      <c r="J3772" s="76" t="s">
        <v>71</v>
      </c>
      <c r="K3772" s="40" t="s">
        <v>591</v>
      </c>
      <c r="L3772" s="11" t="s">
        <v>914</v>
      </c>
      <c r="M3772" s="93">
        <v>1</v>
      </c>
      <c r="N3772" s="94">
        <f t="shared" si="88"/>
        <v>31500</v>
      </c>
      <c r="O3772" s="94">
        <f>36750-5250</f>
        <v>31500</v>
      </c>
      <c r="P3772" s="40" t="s">
        <v>699</v>
      </c>
      <c r="Q3772" s="40" t="s">
        <v>766</v>
      </c>
      <c r="R3772" s="84" t="s">
        <v>3477</v>
      </c>
      <c r="S3772" s="40">
        <v>0</v>
      </c>
    </row>
    <row r="3773" spans="1:19" s="92" customFormat="1" ht="76.5">
      <c r="A3773" s="5">
        <v>3758</v>
      </c>
      <c r="B3773" s="15" t="s">
        <v>710</v>
      </c>
      <c r="C3773" s="40" t="s">
        <v>597</v>
      </c>
      <c r="D3773" s="40" t="s">
        <v>868</v>
      </c>
      <c r="E3773" s="76" t="s">
        <v>1874</v>
      </c>
      <c r="F3773" s="76" t="s">
        <v>869</v>
      </c>
      <c r="G3773" s="76" t="s">
        <v>1875</v>
      </c>
      <c r="H3773" s="76" t="s">
        <v>870</v>
      </c>
      <c r="I3773" s="76" t="s">
        <v>1873</v>
      </c>
      <c r="J3773" s="76" t="s">
        <v>72</v>
      </c>
      <c r="K3773" s="40" t="s">
        <v>591</v>
      </c>
      <c r="L3773" s="11" t="s">
        <v>914</v>
      </c>
      <c r="M3773" s="97">
        <v>1</v>
      </c>
      <c r="N3773" s="94">
        <f t="shared" ref="N3773" si="89">O3773/M3773</f>
        <v>13500</v>
      </c>
      <c r="O3773" s="94">
        <f>15750-2250</f>
        <v>13500</v>
      </c>
      <c r="P3773" s="40" t="s">
        <v>699</v>
      </c>
      <c r="Q3773" s="40" t="s">
        <v>766</v>
      </c>
      <c r="R3773" s="84" t="s">
        <v>3477</v>
      </c>
      <c r="S3773" s="40">
        <v>0</v>
      </c>
    </row>
    <row r="3774" spans="1:19" s="92" customFormat="1" ht="51">
      <c r="A3774" s="5">
        <v>3759</v>
      </c>
      <c r="B3774" s="15" t="s">
        <v>710</v>
      </c>
      <c r="C3774" s="40" t="s">
        <v>597</v>
      </c>
      <c r="D3774" s="40" t="s">
        <v>702</v>
      </c>
      <c r="E3774" s="100" t="s">
        <v>777</v>
      </c>
      <c r="F3774" s="100" t="s">
        <v>703</v>
      </c>
      <c r="G3774" s="100" t="s">
        <v>777</v>
      </c>
      <c r="H3774" s="100" t="s">
        <v>703</v>
      </c>
      <c r="I3774" s="100" t="s">
        <v>3247</v>
      </c>
      <c r="J3774" s="100" t="s">
        <v>3248</v>
      </c>
      <c r="K3774" s="40" t="s">
        <v>591</v>
      </c>
      <c r="L3774" s="11" t="s">
        <v>914</v>
      </c>
      <c r="M3774" s="93">
        <v>1</v>
      </c>
      <c r="N3774" s="94">
        <f>O3774/M3774</f>
        <v>0</v>
      </c>
      <c r="O3774" s="94">
        <f t="shared" ref="O3774:O3786" si="90">25000-25000</f>
        <v>0</v>
      </c>
      <c r="P3774" s="40" t="s">
        <v>3139</v>
      </c>
      <c r="Q3774" s="40" t="s">
        <v>766</v>
      </c>
      <c r="R3774" s="11" t="s">
        <v>3252</v>
      </c>
      <c r="S3774" s="40">
        <v>0</v>
      </c>
    </row>
    <row r="3775" spans="1:19" s="92" customFormat="1" ht="51">
      <c r="A3775" s="5">
        <v>3760</v>
      </c>
      <c r="B3775" s="15" t="s">
        <v>710</v>
      </c>
      <c r="C3775" s="40" t="s">
        <v>597</v>
      </c>
      <c r="D3775" s="40" t="s">
        <v>702</v>
      </c>
      <c r="E3775" s="101" t="s">
        <v>777</v>
      </c>
      <c r="F3775" s="101" t="s">
        <v>703</v>
      </c>
      <c r="G3775" s="101" t="s">
        <v>777</v>
      </c>
      <c r="H3775" s="101" t="s">
        <v>703</v>
      </c>
      <c r="I3775" s="101" t="s">
        <v>3247</v>
      </c>
      <c r="J3775" s="101" t="s">
        <v>3248</v>
      </c>
      <c r="K3775" s="40" t="s">
        <v>591</v>
      </c>
      <c r="L3775" s="11" t="s">
        <v>914</v>
      </c>
      <c r="M3775" s="93">
        <v>1</v>
      </c>
      <c r="N3775" s="94">
        <f t="shared" ref="N3775:N3786" si="91">O3775/M3775</f>
        <v>0</v>
      </c>
      <c r="O3775" s="94">
        <f t="shared" si="90"/>
        <v>0</v>
      </c>
      <c r="P3775" s="40" t="s">
        <v>3139</v>
      </c>
      <c r="Q3775" s="40" t="s">
        <v>766</v>
      </c>
      <c r="R3775" s="11" t="s">
        <v>3253</v>
      </c>
      <c r="S3775" s="40">
        <v>0</v>
      </c>
    </row>
    <row r="3776" spans="1:19" s="92" customFormat="1" ht="51">
      <c r="A3776" s="5">
        <v>3761</v>
      </c>
      <c r="B3776" s="15" t="s">
        <v>710</v>
      </c>
      <c r="C3776" s="40" t="s">
        <v>597</v>
      </c>
      <c r="D3776" s="40" t="s">
        <v>702</v>
      </c>
      <c r="E3776" s="101" t="s">
        <v>777</v>
      </c>
      <c r="F3776" s="101" t="s">
        <v>703</v>
      </c>
      <c r="G3776" s="101" t="s">
        <v>777</v>
      </c>
      <c r="H3776" s="101" t="s">
        <v>703</v>
      </c>
      <c r="I3776" s="101" t="s">
        <v>3247</v>
      </c>
      <c r="J3776" s="101" t="s">
        <v>3248</v>
      </c>
      <c r="K3776" s="40" t="s">
        <v>591</v>
      </c>
      <c r="L3776" s="11" t="s">
        <v>914</v>
      </c>
      <c r="M3776" s="93">
        <v>1</v>
      </c>
      <c r="N3776" s="94">
        <f t="shared" si="91"/>
        <v>0</v>
      </c>
      <c r="O3776" s="94">
        <f t="shared" si="90"/>
        <v>0</v>
      </c>
      <c r="P3776" s="40" t="s">
        <v>3139</v>
      </c>
      <c r="Q3776" s="40" t="s">
        <v>766</v>
      </c>
      <c r="R3776" s="11" t="s">
        <v>3254</v>
      </c>
      <c r="S3776" s="40">
        <v>0</v>
      </c>
    </row>
    <row r="3777" spans="1:19" s="92" customFormat="1" ht="51">
      <c r="A3777" s="5">
        <v>3762</v>
      </c>
      <c r="B3777" s="15" t="s">
        <v>710</v>
      </c>
      <c r="C3777" s="40" t="s">
        <v>597</v>
      </c>
      <c r="D3777" s="40" t="s">
        <v>702</v>
      </c>
      <c r="E3777" s="101" t="s">
        <v>777</v>
      </c>
      <c r="F3777" s="101" t="s">
        <v>703</v>
      </c>
      <c r="G3777" s="101" t="s">
        <v>777</v>
      </c>
      <c r="H3777" s="101" t="s">
        <v>703</v>
      </c>
      <c r="I3777" s="101" t="s">
        <v>3247</v>
      </c>
      <c r="J3777" s="101" t="s">
        <v>3248</v>
      </c>
      <c r="K3777" s="40" t="s">
        <v>591</v>
      </c>
      <c r="L3777" s="11" t="s">
        <v>914</v>
      </c>
      <c r="M3777" s="93">
        <v>1</v>
      </c>
      <c r="N3777" s="94">
        <f t="shared" si="91"/>
        <v>0</v>
      </c>
      <c r="O3777" s="94">
        <f t="shared" si="90"/>
        <v>0</v>
      </c>
      <c r="P3777" s="40" t="s">
        <v>3139</v>
      </c>
      <c r="Q3777" s="40" t="s">
        <v>766</v>
      </c>
      <c r="R3777" s="11" t="s">
        <v>3255</v>
      </c>
      <c r="S3777" s="40">
        <v>0</v>
      </c>
    </row>
    <row r="3778" spans="1:19" s="92" customFormat="1" ht="51">
      <c r="A3778" s="5">
        <v>3763</v>
      </c>
      <c r="B3778" s="15" t="s">
        <v>710</v>
      </c>
      <c r="C3778" s="40" t="s">
        <v>597</v>
      </c>
      <c r="D3778" s="40" t="s">
        <v>702</v>
      </c>
      <c r="E3778" s="101" t="s">
        <v>777</v>
      </c>
      <c r="F3778" s="101" t="s">
        <v>703</v>
      </c>
      <c r="G3778" s="101" t="s">
        <v>777</v>
      </c>
      <c r="H3778" s="101" t="s">
        <v>703</v>
      </c>
      <c r="I3778" s="101" t="s">
        <v>3247</v>
      </c>
      <c r="J3778" s="101" t="s">
        <v>3248</v>
      </c>
      <c r="K3778" s="40" t="s">
        <v>591</v>
      </c>
      <c r="L3778" s="11" t="s">
        <v>914</v>
      </c>
      <c r="M3778" s="93">
        <v>1</v>
      </c>
      <c r="N3778" s="94">
        <f t="shared" si="91"/>
        <v>0</v>
      </c>
      <c r="O3778" s="94">
        <f t="shared" si="90"/>
        <v>0</v>
      </c>
      <c r="P3778" s="40" t="s">
        <v>3139</v>
      </c>
      <c r="Q3778" s="40" t="s">
        <v>766</v>
      </c>
      <c r="R3778" s="11" t="s">
        <v>3256</v>
      </c>
      <c r="S3778" s="40">
        <v>0</v>
      </c>
    </row>
    <row r="3779" spans="1:19" s="92" customFormat="1" ht="51">
      <c r="A3779" s="5">
        <v>3764</v>
      </c>
      <c r="B3779" s="15" t="s">
        <v>710</v>
      </c>
      <c r="C3779" s="40" t="s">
        <v>597</v>
      </c>
      <c r="D3779" s="40" t="s">
        <v>702</v>
      </c>
      <c r="E3779" s="101" t="s">
        <v>777</v>
      </c>
      <c r="F3779" s="101" t="s">
        <v>703</v>
      </c>
      <c r="G3779" s="101" t="s">
        <v>777</v>
      </c>
      <c r="H3779" s="101" t="s">
        <v>703</v>
      </c>
      <c r="I3779" s="101" t="s">
        <v>3247</v>
      </c>
      <c r="J3779" s="101" t="s">
        <v>3248</v>
      </c>
      <c r="K3779" s="40" t="s">
        <v>591</v>
      </c>
      <c r="L3779" s="11" t="s">
        <v>914</v>
      </c>
      <c r="M3779" s="93">
        <v>1</v>
      </c>
      <c r="N3779" s="94">
        <f t="shared" si="91"/>
        <v>0</v>
      </c>
      <c r="O3779" s="94">
        <f t="shared" si="90"/>
        <v>0</v>
      </c>
      <c r="P3779" s="40" t="s">
        <v>3139</v>
      </c>
      <c r="Q3779" s="40" t="s">
        <v>766</v>
      </c>
      <c r="R3779" s="11" t="s">
        <v>3257</v>
      </c>
      <c r="S3779" s="40">
        <v>0</v>
      </c>
    </row>
    <row r="3780" spans="1:19" s="92" customFormat="1" ht="51">
      <c r="A3780" s="5">
        <v>3765</v>
      </c>
      <c r="B3780" s="15" t="s">
        <v>710</v>
      </c>
      <c r="C3780" s="40" t="s">
        <v>597</v>
      </c>
      <c r="D3780" s="40" t="s">
        <v>702</v>
      </c>
      <c r="E3780" s="101" t="s">
        <v>777</v>
      </c>
      <c r="F3780" s="101" t="s">
        <v>703</v>
      </c>
      <c r="G3780" s="101" t="s">
        <v>777</v>
      </c>
      <c r="H3780" s="101" t="s">
        <v>703</v>
      </c>
      <c r="I3780" s="101" t="s">
        <v>3247</v>
      </c>
      <c r="J3780" s="101" t="s">
        <v>3248</v>
      </c>
      <c r="K3780" s="40" t="s">
        <v>591</v>
      </c>
      <c r="L3780" s="11" t="s">
        <v>914</v>
      </c>
      <c r="M3780" s="93">
        <v>1</v>
      </c>
      <c r="N3780" s="94">
        <f t="shared" si="91"/>
        <v>0</v>
      </c>
      <c r="O3780" s="94">
        <f t="shared" si="90"/>
        <v>0</v>
      </c>
      <c r="P3780" s="40" t="s">
        <v>3139</v>
      </c>
      <c r="Q3780" s="40" t="s">
        <v>766</v>
      </c>
      <c r="R3780" s="11" t="s">
        <v>3258</v>
      </c>
      <c r="S3780" s="40">
        <v>0</v>
      </c>
    </row>
    <row r="3781" spans="1:19" s="92" customFormat="1" ht="51">
      <c r="A3781" s="5">
        <v>3766</v>
      </c>
      <c r="B3781" s="15" t="s">
        <v>710</v>
      </c>
      <c r="C3781" s="40" t="s">
        <v>597</v>
      </c>
      <c r="D3781" s="40" t="s">
        <v>702</v>
      </c>
      <c r="E3781" s="101" t="s">
        <v>777</v>
      </c>
      <c r="F3781" s="101" t="s">
        <v>703</v>
      </c>
      <c r="G3781" s="101" t="s">
        <v>777</v>
      </c>
      <c r="H3781" s="101" t="s">
        <v>703</v>
      </c>
      <c r="I3781" s="101" t="s">
        <v>3247</v>
      </c>
      <c r="J3781" s="101" t="s">
        <v>3248</v>
      </c>
      <c r="K3781" s="40" t="s">
        <v>591</v>
      </c>
      <c r="L3781" s="11" t="s">
        <v>914</v>
      </c>
      <c r="M3781" s="93">
        <v>1</v>
      </c>
      <c r="N3781" s="94">
        <f t="shared" si="91"/>
        <v>0</v>
      </c>
      <c r="O3781" s="94">
        <f t="shared" si="90"/>
        <v>0</v>
      </c>
      <c r="P3781" s="40" t="s">
        <v>3139</v>
      </c>
      <c r="Q3781" s="40" t="s">
        <v>766</v>
      </c>
      <c r="R3781" s="11" t="s">
        <v>3476</v>
      </c>
      <c r="S3781" s="40">
        <v>0</v>
      </c>
    </row>
    <row r="3782" spans="1:19" s="92" customFormat="1" ht="51">
      <c r="A3782" s="5">
        <v>3767</v>
      </c>
      <c r="B3782" s="15" t="s">
        <v>710</v>
      </c>
      <c r="C3782" s="40" t="s">
        <v>597</v>
      </c>
      <c r="D3782" s="40" t="s">
        <v>702</v>
      </c>
      <c r="E3782" s="101" t="s">
        <v>777</v>
      </c>
      <c r="F3782" s="101" t="s">
        <v>703</v>
      </c>
      <c r="G3782" s="101" t="s">
        <v>777</v>
      </c>
      <c r="H3782" s="101" t="s">
        <v>703</v>
      </c>
      <c r="I3782" s="101" t="s">
        <v>3247</v>
      </c>
      <c r="J3782" s="101" t="s">
        <v>3248</v>
      </c>
      <c r="K3782" s="40" t="s">
        <v>591</v>
      </c>
      <c r="L3782" s="11" t="s">
        <v>914</v>
      </c>
      <c r="M3782" s="93">
        <v>1</v>
      </c>
      <c r="N3782" s="94">
        <f t="shared" si="91"/>
        <v>0</v>
      </c>
      <c r="O3782" s="94">
        <f t="shared" si="90"/>
        <v>0</v>
      </c>
      <c r="P3782" s="40" t="s">
        <v>3139</v>
      </c>
      <c r="Q3782" s="40" t="s">
        <v>766</v>
      </c>
      <c r="R3782" s="11" t="s">
        <v>3259</v>
      </c>
      <c r="S3782" s="40">
        <v>0</v>
      </c>
    </row>
    <row r="3783" spans="1:19" s="92" customFormat="1" ht="51">
      <c r="A3783" s="5">
        <v>3768</v>
      </c>
      <c r="B3783" s="15" t="s">
        <v>710</v>
      </c>
      <c r="C3783" s="40" t="s">
        <v>597</v>
      </c>
      <c r="D3783" s="40" t="s">
        <v>702</v>
      </c>
      <c r="E3783" s="101" t="s">
        <v>777</v>
      </c>
      <c r="F3783" s="101" t="s">
        <v>703</v>
      </c>
      <c r="G3783" s="101" t="s">
        <v>777</v>
      </c>
      <c r="H3783" s="101" t="s">
        <v>703</v>
      </c>
      <c r="I3783" s="101" t="s">
        <v>3247</v>
      </c>
      <c r="J3783" s="101" t="s">
        <v>3248</v>
      </c>
      <c r="K3783" s="40" t="s">
        <v>591</v>
      </c>
      <c r="L3783" s="11" t="s">
        <v>914</v>
      </c>
      <c r="M3783" s="93">
        <v>1</v>
      </c>
      <c r="N3783" s="94">
        <f t="shared" si="91"/>
        <v>0</v>
      </c>
      <c r="O3783" s="94">
        <f t="shared" si="90"/>
        <v>0</v>
      </c>
      <c r="P3783" s="40" t="s">
        <v>3139</v>
      </c>
      <c r="Q3783" s="40" t="s">
        <v>766</v>
      </c>
      <c r="R3783" s="11" t="s">
        <v>3260</v>
      </c>
      <c r="S3783" s="40">
        <v>0</v>
      </c>
    </row>
    <row r="3784" spans="1:19" s="92" customFormat="1" ht="51">
      <c r="A3784" s="5">
        <v>3769</v>
      </c>
      <c r="B3784" s="15" t="s">
        <v>710</v>
      </c>
      <c r="C3784" s="40" t="s">
        <v>597</v>
      </c>
      <c r="D3784" s="40" t="s">
        <v>702</v>
      </c>
      <c r="E3784" s="101" t="s">
        <v>777</v>
      </c>
      <c r="F3784" s="101" t="s">
        <v>703</v>
      </c>
      <c r="G3784" s="101" t="s">
        <v>777</v>
      </c>
      <c r="H3784" s="101" t="s">
        <v>703</v>
      </c>
      <c r="I3784" s="101" t="s">
        <v>3247</v>
      </c>
      <c r="J3784" s="101" t="s">
        <v>3248</v>
      </c>
      <c r="K3784" s="40" t="s">
        <v>591</v>
      </c>
      <c r="L3784" s="11" t="s">
        <v>914</v>
      </c>
      <c r="M3784" s="93">
        <v>1</v>
      </c>
      <c r="N3784" s="94">
        <f t="shared" si="91"/>
        <v>0</v>
      </c>
      <c r="O3784" s="94">
        <f t="shared" si="90"/>
        <v>0</v>
      </c>
      <c r="P3784" s="40" t="s">
        <v>3139</v>
      </c>
      <c r="Q3784" s="40" t="s">
        <v>766</v>
      </c>
      <c r="R3784" s="11" t="s">
        <v>3261</v>
      </c>
      <c r="S3784" s="40">
        <v>0</v>
      </c>
    </row>
    <row r="3785" spans="1:19" s="92" customFormat="1" ht="51">
      <c r="A3785" s="5">
        <v>3770</v>
      </c>
      <c r="B3785" s="15" t="s">
        <v>710</v>
      </c>
      <c r="C3785" s="40" t="s">
        <v>597</v>
      </c>
      <c r="D3785" s="40" t="s">
        <v>702</v>
      </c>
      <c r="E3785" s="101" t="s">
        <v>777</v>
      </c>
      <c r="F3785" s="101" t="s">
        <v>703</v>
      </c>
      <c r="G3785" s="101" t="s">
        <v>777</v>
      </c>
      <c r="H3785" s="101" t="s">
        <v>703</v>
      </c>
      <c r="I3785" s="101" t="s">
        <v>3247</v>
      </c>
      <c r="J3785" s="101" t="s">
        <v>3248</v>
      </c>
      <c r="K3785" s="40" t="s">
        <v>591</v>
      </c>
      <c r="L3785" s="11" t="s">
        <v>914</v>
      </c>
      <c r="M3785" s="93">
        <v>1</v>
      </c>
      <c r="N3785" s="94">
        <f t="shared" si="91"/>
        <v>0</v>
      </c>
      <c r="O3785" s="94">
        <f t="shared" si="90"/>
        <v>0</v>
      </c>
      <c r="P3785" s="40" t="s">
        <v>3139</v>
      </c>
      <c r="Q3785" s="40" t="s">
        <v>766</v>
      </c>
      <c r="R3785" s="11" t="s">
        <v>3262</v>
      </c>
      <c r="S3785" s="40">
        <v>0</v>
      </c>
    </row>
    <row r="3786" spans="1:19" s="92" customFormat="1" ht="51">
      <c r="A3786" s="5">
        <v>3771</v>
      </c>
      <c r="B3786" s="15" t="s">
        <v>710</v>
      </c>
      <c r="C3786" s="40" t="s">
        <v>597</v>
      </c>
      <c r="D3786" s="40" t="s">
        <v>702</v>
      </c>
      <c r="E3786" s="101" t="s">
        <v>777</v>
      </c>
      <c r="F3786" s="101" t="s">
        <v>703</v>
      </c>
      <c r="G3786" s="101" t="s">
        <v>777</v>
      </c>
      <c r="H3786" s="101" t="s">
        <v>703</v>
      </c>
      <c r="I3786" s="101" t="s">
        <v>3247</v>
      </c>
      <c r="J3786" s="101" t="s">
        <v>3248</v>
      </c>
      <c r="K3786" s="40" t="s">
        <v>591</v>
      </c>
      <c r="L3786" s="11" t="s">
        <v>914</v>
      </c>
      <c r="M3786" s="93">
        <v>1</v>
      </c>
      <c r="N3786" s="94">
        <f t="shared" si="91"/>
        <v>0</v>
      </c>
      <c r="O3786" s="94">
        <f t="shared" si="90"/>
        <v>0</v>
      </c>
      <c r="P3786" s="40" t="s">
        <v>3139</v>
      </c>
      <c r="Q3786" s="40" t="s">
        <v>766</v>
      </c>
      <c r="R3786" s="11" t="s">
        <v>3263</v>
      </c>
      <c r="S3786" s="40">
        <v>0</v>
      </c>
    </row>
    <row r="3787" spans="1:19" s="92" customFormat="1" ht="51">
      <c r="A3787" s="5">
        <v>3772</v>
      </c>
      <c r="B3787" s="15" t="s">
        <v>710</v>
      </c>
      <c r="C3787" s="40" t="s">
        <v>597</v>
      </c>
      <c r="D3787" s="40" t="s">
        <v>548</v>
      </c>
      <c r="E3787" s="76" t="s">
        <v>549</v>
      </c>
      <c r="F3787" s="76" t="s">
        <v>550</v>
      </c>
      <c r="G3787" s="76" t="s">
        <v>549</v>
      </c>
      <c r="H3787" s="76" t="s">
        <v>550</v>
      </c>
      <c r="I3787" s="76" t="s">
        <v>1410</v>
      </c>
      <c r="J3787" s="76" t="s">
        <v>69</v>
      </c>
      <c r="K3787" s="40" t="s">
        <v>591</v>
      </c>
      <c r="L3787" s="11" t="s">
        <v>914</v>
      </c>
      <c r="M3787" s="93">
        <v>1</v>
      </c>
      <c r="N3787" s="94">
        <f>O3787/M3787</f>
        <v>42500</v>
      </c>
      <c r="O3787" s="94">
        <f>17500+25000</f>
        <v>42500</v>
      </c>
      <c r="P3787" s="40" t="s">
        <v>699</v>
      </c>
      <c r="Q3787" s="40" t="s">
        <v>766</v>
      </c>
      <c r="R3787" s="11" t="s">
        <v>3252</v>
      </c>
      <c r="S3787" s="40">
        <v>0</v>
      </c>
    </row>
    <row r="3788" spans="1:19" s="92" customFormat="1" ht="51">
      <c r="A3788" s="5">
        <v>3773</v>
      </c>
      <c r="B3788" s="15" t="s">
        <v>710</v>
      </c>
      <c r="C3788" s="40" t="s">
        <v>597</v>
      </c>
      <c r="D3788" s="40" t="s">
        <v>548</v>
      </c>
      <c r="E3788" s="76" t="s">
        <v>549</v>
      </c>
      <c r="F3788" s="76" t="s">
        <v>550</v>
      </c>
      <c r="G3788" s="76" t="s">
        <v>549</v>
      </c>
      <c r="H3788" s="76" t="s">
        <v>550</v>
      </c>
      <c r="I3788" s="76" t="s">
        <v>1410</v>
      </c>
      <c r="J3788" s="76" t="s">
        <v>69</v>
      </c>
      <c r="K3788" s="40" t="s">
        <v>591</v>
      </c>
      <c r="L3788" s="11" t="s">
        <v>914</v>
      </c>
      <c r="M3788" s="93">
        <v>1</v>
      </c>
      <c r="N3788" s="94">
        <f t="shared" ref="N3788:N3799" si="92">O3788/M3788</f>
        <v>42500</v>
      </c>
      <c r="O3788" s="94">
        <f t="shared" ref="O3788:O3799" si="93">17500+25000</f>
        <v>42500</v>
      </c>
      <c r="P3788" s="40" t="s">
        <v>699</v>
      </c>
      <c r="Q3788" s="40" t="s">
        <v>766</v>
      </c>
      <c r="R3788" s="11" t="s">
        <v>3253</v>
      </c>
      <c r="S3788" s="40">
        <v>0</v>
      </c>
    </row>
    <row r="3789" spans="1:19" s="92" customFormat="1" ht="51">
      <c r="A3789" s="5">
        <v>3774</v>
      </c>
      <c r="B3789" s="15" t="s">
        <v>710</v>
      </c>
      <c r="C3789" s="40" t="s">
        <v>597</v>
      </c>
      <c r="D3789" s="40" t="s">
        <v>548</v>
      </c>
      <c r="E3789" s="76" t="s">
        <v>549</v>
      </c>
      <c r="F3789" s="76" t="s">
        <v>550</v>
      </c>
      <c r="G3789" s="76" t="s">
        <v>549</v>
      </c>
      <c r="H3789" s="76" t="s">
        <v>550</v>
      </c>
      <c r="I3789" s="76" t="s">
        <v>1410</v>
      </c>
      <c r="J3789" s="76" t="s">
        <v>69</v>
      </c>
      <c r="K3789" s="40" t="s">
        <v>591</v>
      </c>
      <c r="L3789" s="11" t="s">
        <v>914</v>
      </c>
      <c r="M3789" s="93">
        <v>1</v>
      </c>
      <c r="N3789" s="94">
        <f t="shared" si="92"/>
        <v>42500</v>
      </c>
      <c r="O3789" s="94">
        <f t="shared" si="93"/>
        <v>42500</v>
      </c>
      <c r="P3789" s="40" t="s">
        <v>699</v>
      </c>
      <c r="Q3789" s="40" t="s">
        <v>766</v>
      </c>
      <c r="R3789" s="11" t="s">
        <v>3254</v>
      </c>
      <c r="S3789" s="40">
        <v>0</v>
      </c>
    </row>
    <row r="3790" spans="1:19" s="92" customFormat="1" ht="51">
      <c r="A3790" s="5">
        <v>3775</v>
      </c>
      <c r="B3790" s="15" t="s">
        <v>710</v>
      </c>
      <c r="C3790" s="40" t="s">
        <v>597</v>
      </c>
      <c r="D3790" s="40" t="s">
        <v>548</v>
      </c>
      <c r="E3790" s="76" t="s">
        <v>549</v>
      </c>
      <c r="F3790" s="76" t="s">
        <v>550</v>
      </c>
      <c r="G3790" s="76" t="s">
        <v>549</v>
      </c>
      <c r="H3790" s="76" t="s">
        <v>550</v>
      </c>
      <c r="I3790" s="76" t="s">
        <v>1410</v>
      </c>
      <c r="J3790" s="76" t="s">
        <v>69</v>
      </c>
      <c r="K3790" s="40" t="s">
        <v>591</v>
      </c>
      <c r="L3790" s="11" t="s">
        <v>914</v>
      </c>
      <c r="M3790" s="93">
        <v>1</v>
      </c>
      <c r="N3790" s="94">
        <f t="shared" si="92"/>
        <v>42500</v>
      </c>
      <c r="O3790" s="94">
        <f t="shared" si="93"/>
        <v>42500</v>
      </c>
      <c r="P3790" s="40" t="s">
        <v>699</v>
      </c>
      <c r="Q3790" s="40" t="s">
        <v>766</v>
      </c>
      <c r="R3790" s="11" t="s">
        <v>3255</v>
      </c>
      <c r="S3790" s="40">
        <v>0</v>
      </c>
    </row>
    <row r="3791" spans="1:19" s="92" customFormat="1" ht="51">
      <c r="A3791" s="5">
        <v>3776</v>
      </c>
      <c r="B3791" s="15" t="s">
        <v>710</v>
      </c>
      <c r="C3791" s="40" t="s">
        <v>597</v>
      </c>
      <c r="D3791" s="40" t="s">
        <v>548</v>
      </c>
      <c r="E3791" s="76" t="s">
        <v>549</v>
      </c>
      <c r="F3791" s="76" t="s">
        <v>550</v>
      </c>
      <c r="G3791" s="76" t="s">
        <v>549</v>
      </c>
      <c r="H3791" s="76" t="s">
        <v>550</v>
      </c>
      <c r="I3791" s="76" t="s">
        <v>1410</v>
      </c>
      <c r="J3791" s="76" t="s">
        <v>69</v>
      </c>
      <c r="K3791" s="40" t="s">
        <v>591</v>
      </c>
      <c r="L3791" s="11" t="s">
        <v>914</v>
      </c>
      <c r="M3791" s="93">
        <v>1</v>
      </c>
      <c r="N3791" s="94">
        <f t="shared" si="92"/>
        <v>42500</v>
      </c>
      <c r="O3791" s="94">
        <f t="shared" si="93"/>
        <v>42500</v>
      </c>
      <c r="P3791" s="40" t="s">
        <v>699</v>
      </c>
      <c r="Q3791" s="40" t="s">
        <v>766</v>
      </c>
      <c r="R3791" s="11" t="s">
        <v>3256</v>
      </c>
      <c r="S3791" s="40">
        <v>0</v>
      </c>
    </row>
    <row r="3792" spans="1:19" s="92" customFormat="1" ht="51">
      <c r="A3792" s="5">
        <v>3777</v>
      </c>
      <c r="B3792" s="15" t="s">
        <v>710</v>
      </c>
      <c r="C3792" s="40" t="s">
        <v>597</v>
      </c>
      <c r="D3792" s="40" t="s">
        <v>548</v>
      </c>
      <c r="E3792" s="76" t="s">
        <v>549</v>
      </c>
      <c r="F3792" s="76" t="s">
        <v>550</v>
      </c>
      <c r="G3792" s="76" t="s">
        <v>549</v>
      </c>
      <c r="H3792" s="76" t="s">
        <v>550</v>
      </c>
      <c r="I3792" s="76" t="s">
        <v>1410</v>
      </c>
      <c r="J3792" s="76" t="s">
        <v>69</v>
      </c>
      <c r="K3792" s="40" t="s">
        <v>591</v>
      </c>
      <c r="L3792" s="11" t="s">
        <v>914</v>
      </c>
      <c r="M3792" s="93">
        <v>1</v>
      </c>
      <c r="N3792" s="94">
        <f t="shared" si="92"/>
        <v>42500</v>
      </c>
      <c r="O3792" s="94">
        <f t="shared" si="93"/>
        <v>42500</v>
      </c>
      <c r="P3792" s="40" t="s">
        <v>699</v>
      </c>
      <c r="Q3792" s="40" t="s">
        <v>766</v>
      </c>
      <c r="R3792" s="11" t="s">
        <v>3257</v>
      </c>
      <c r="S3792" s="40">
        <v>0</v>
      </c>
    </row>
    <row r="3793" spans="1:19" s="92" customFormat="1" ht="51">
      <c r="A3793" s="5">
        <v>3778</v>
      </c>
      <c r="B3793" s="15" t="s">
        <v>710</v>
      </c>
      <c r="C3793" s="40" t="s">
        <v>597</v>
      </c>
      <c r="D3793" s="40" t="s">
        <v>548</v>
      </c>
      <c r="E3793" s="76" t="s">
        <v>549</v>
      </c>
      <c r="F3793" s="76" t="s">
        <v>550</v>
      </c>
      <c r="G3793" s="76" t="s">
        <v>549</v>
      </c>
      <c r="H3793" s="76" t="s">
        <v>550</v>
      </c>
      <c r="I3793" s="76" t="s">
        <v>1410</v>
      </c>
      <c r="J3793" s="76" t="s">
        <v>69</v>
      </c>
      <c r="K3793" s="40" t="s">
        <v>591</v>
      </c>
      <c r="L3793" s="11" t="s">
        <v>914</v>
      </c>
      <c r="M3793" s="93">
        <v>1</v>
      </c>
      <c r="N3793" s="94">
        <f t="shared" si="92"/>
        <v>42500</v>
      </c>
      <c r="O3793" s="94">
        <f t="shared" si="93"/>
        <v>42500</v>
      </c>
      <c r="P3793" s="40" t="s">
        <v>699</v>
      </c>
      <c r="Q3793" s="40" t="s">
        <v>766</v>
      </c>
      <c r="R3793" s="11" t="s">
        <v>3258</v>
      </c>
      <c r="S3793" s="40">
        <v>0</v>
      </c>
    </row>
    <row r="3794" spans="1:19" s="92" customFormat="1" ht="51">
      <c r="A3794" s="5">
        <v>3779</v>
      </c>
      <c r="B3794" s="15" t="s">
        <v>710</v>
      </c>
      <c r="C3794" s="40" t="s">
        <v>597</v>
      </c>
      <c r="D3794" s="40" t="s">
        <v>548</v>
      </c>
      <c r="E3794" s="76" t="s">
        <v>549</v>
      </c>
      <c r="F3794" s="76" t="s">
        <v>550</v>
      </c>
      <c r="G3794" s="76" t="s">
        <v>549</v>
      </c>
      <c r="H3794" s="76" t="s">
        <v>550</v>
      </c>
      <c r="I3794" s="76" t="s">
        <v>1410</v>
      </c>
      <c r="J3794" s="76" t="s">
        <v>69</v>
      </c>
      <c r="K3794" s="40" t="s">
        <v>591</v>
      </c>
      <c r="L3794" s="11" t="s">
        <v>914</v>
      </c>
      <c r="M3794" s="93">
        <v>1</v>
      </c>
      <c r="N3794" s="94">
        <f t="shared" si="92"/>
        <v>42500</v>
      </c>
      <c r="O3794" s="94">
        <f t="shared" si="93"/>
        <v>42500</v>
      </c>
      <c r="P3794" s="40" t="s">
        <v>699</v>
      </c>
      <c r="Q3794" s="40" t="s">
        <v>766</v>
      </c>
      <c r="R3794" s="11" t="s">
        <v>3476</v>
      </c>
      <c r="S3794" s="40">
        <v>0</v>
      </c>
    </row>
    <row r="3795" spans="1:19" s="92" customFormat="1" ht="51">
      <c r="A3795" s="5">
        <v>3780</v>
      </c>
      <c r="B3795" s="15" t="s">
        <v>710</v>
      </c>
      <c r="C3795" s="40" t="s">
        <v>597</v>
      </c>
      <c r="D3795" s="40" t="s">
        <v>548</v>
      </c>
      <c r="E3795" s="76" t="s">
        <v>549</v>
      </c>
      <c r="F3795" s="76" t="s">
        <v>550</v>
      </c>
      <c r="G3795" s="76" t="s">
        <v>549</v>
      </c>
      <c r="H3795" s="76" t="s">
        <v>550</v>
      </c>
      <c r="I3795" s="76" t="s">
        <v>1410</v>
      </c>
      <c r="J3795" s="76" t="s">
        <v>69</v>
      </c>
      <c r="K3795" s="40" t="s">
        <v>591</v>
      </c>
      <c r="L3795" s="11" t="s">
        <v>914</v>
      </c>
      <c r="M3795" s="93">
        <v>1</v>
      </c>
      <c r="N3795" s="94">
        <f t="shared" si="92"/>
        <v>42500</v>
      </c>
      <c r="O3795" s="94">
        <f t="shared" si="93"/>
        <v>42500</v>
      </c>
      <c r="P3795" s="40" t="s">
        <v>699</v>
      </c>
      <c r="Q3795" s="40" t="s">
        <v>766</v>
      </c>
      <c r="R3795" s="11" t="s">
        <v>3259</v>
      </c>
      <c r="S3795" s="40">
        <v>0</v>
      </c>
    </row>
    <row r="3796" spans="1:19" s="92" customFormat="1" ht="51">
      <c r="A3796" s="5">
        <v>3781</v>
      </c>
      <c r="B3796" s="15" t="s">
        <v>710</v>
      </c>
      <c r="C3796" s="40" t="s">
        <v>597</v>
      </c>
      <c r="D3796" s="40" t="s">
        <v>548</v>
      </c>
      <c r="E3796" s="76" t="s">
        <v>549</v>
      </c>
      <c r="F3796" s="76" t="s">
        <v>550</v>
      </c>
      <c r="G3796" s="76" t="s">
        <v>549</v>
      </c>
      <c r="H3796" s="76" t="s">
        <v>550</v>
      </c>
      <c r="I3796" s="76" t="s">
        <v>1410</v>
      </c>
      <c r="J3796" s="76" t="s">
        <v>69</v>
      </c>
      <c r="K3796" s="40" t="s">
        <v>591</v>
      </c>
      <c r="L3796" s="11" t="s">
        <v>914</v>
      </c>
      <c r="M3796" s="93">
        <v>1</v>
      </c>
      <c r="N3796" s="94">
        <f t="shared" si="92"/>
        <v>42500</v>
      </c>
      <c r="O3796" s="94">
        <f t="shared" si="93"/>
        <v>42500</v>
      </c>
      <c r="P3796" s="40" t="s">
        <v>699</v>
      </c>
      <c r="Q3796" s="40" t="s">
        <v>766</v>
      </c>
      <c r="R3796" s="11" t="s">
        <v>3260</v>
      </c>
      <c r="S3796" s="40">
        <v>0</v>
      </c>
    </row>
    <row r="3797" spans="1:19" s="92" customFormat="1" ht="51">
      <c r="A3797" s="5">
        <v>3782</v>
      </c>
      <c r="B3797" s="15" t="s">
        <v>710</v>
      </c>
      <c r="C3797" s="40" t="s">
        <v>597</v>
      </c>
      <c r="D3797" s="40" t="s">
        <v>548</v>
      </c>
      <c r="E3797" s="76" t="s">
        <v>549</v>
      </c>
      <c r="F3797" s="76" t="s">
        <v>550</v>
      </c>
      <c r="G3797" s="76" t="s">
        <v>549</v>
      </c>
      <c r="H3797" s="76" t="s">
        <v>550</v>
      </c>
      <c r="I3797" s="76" t="s">
        <v>1410</v>
      </c>
      <c r="J3797" s="76" t="s">
        <v>69</v>
      </c>
      <c r="K3797" s="40" t="s">
        <v>591</v>
      </c>
      <c r="L3797" s="11" t="s">
        <v>914</v>
      </c>
      <c r="M3797" s="93">
        <v>1</v>
      </c>
      <c r="N3797" s="94">
        <f t="shared" si="92"/>
        <v>42500</v>
      </c>
      <c r="O3797" s="94">
        <f t="shared" si="93"/>
        <v>42500</v>
      </c>
      <c r="P3797" s="40" t="s">
        <v>699</v>
      </c>
      <c r="Q3797" s="40" t="s">
        <v>766</v>
      </c>
      <c r="R3797" s="11" t="s">
        <v>3261</v>
      </c>
      <c r="S3797" s="40">
        <v>0</v>
      </c>
    </row>
    <row r="3798" spans="1:19" s="92" customFormat="1" ht="51">
      <c r="A3798" s="5">
        <v>3783</v>
      </c>
      <c r="B3798" s="15" t="s">
        <v>710</v>
      </c>
      <c r="C3798" s="40" t="s">
        <v>597</v>
      </c>
      <c r="D3798" s="40" t="s">
        <v>548</v>
      </c>
      <c r="E3798" s="76" t="s">
        <v>549</v>
      </c>
      <c r="F3798" s="76" t="s">
        <v>550</v>
      </c>
      <c r="G3798" s="76" t="s">
        <v>549</v>
      </c>
      <c r="H3798" s="76" t="s">
        <v>550</v>
      </c>
      <c r="I3798" s="76" t="s">
        <v>1410</v>
      </c>
      <c r="J3798" s="76" t="s">
        <v>69</v>
      </c>
      <c r="K3798" s="40" t="s">
        <v>591</v>
      </c>
      <c r="L3798" s="11" t="s">
        <v>914</v>
      </c>
      <c r="M3798" s="93">
        <v>1</v>
      </c>
      <c r="N3798" s="94">
        <f t="shared" si="92"/>
        <v>42500</v>
      </c>
      <c r="O3798" s="94">
        <f t="shared" si="93"/>
        <v>42500</v>
      </c>
      <c r="P3798" s="40" t="s">
        <v>699</v>
      </c>
      <c r="Q3798" s="40" t="s">
        <v>766</v>
      </c>
      <c r="R3798" s="11" t="s">
        <v>3262</v>
      </c>
      <c r="S3798" s="40">
        <v>0</v>
      </c>
    </row>
    <row r="3799" spans="1:19" s="92" customFormat="1" ht="51">
      <c r="A3799" s="5">
        <v>3784</v>
      </c>
      <c r="B3799" s="15" t="s">
        <v>710</v>
      </c>
      <c r="C3799" s="40" t="s">
        <v>597</v>
      </c>
      <c r="D3799" s="40" t="s">
        <v>548</v>
      </c>
      <c r="E3799" s="76" t="s">
        <v>549</v>
      </c>
      <c r="F3799" s="76" t="s">
        <v>550</v>
      </c>
      <c r="G3799" s="76" t="s">
        <v>549</v>
      </c>
      <c r="H3799" s="76" t="s">
        <v>550</v>
      </c>
      <c r="I3799" s="76" t="s">
        <v>1410</v>
      </c>
      <c r="J3799" s="76" t="s">
        <v>69</v>
      </c>
      <c r="K3799" s="40" t="s">
        <v>591</v>
      </c>
      <c r="L3799" s="11" t="s">
        <v>914</v>
      </c>
      <c r="M3799" s="93">
        <v>1</v>
      </c>
      <c r="N3799" s="94">
        <f t="shared" si="92"/>
        <v>42500</v>
      </c>
      <c r="O3799" s="94">
        <f t="shared" si="93"/>
        <v>42500</v>
      </c>
      <c r="P3799" s="40" t="s">
        <v>699</v>
      </c>
      <c r="Q3799" s="40" t="s">
        <v>766</v>
      </c>
      <c r="R3799" s="11" t="s">
        <v>3263</v>
      </c>
      <c r="S3799" s="40">
        <v>0</v>
      </c>
    </row>
    <row r="3800" spans="1:19" s="92" customFormat="1" ht="63.75">
      <c r="A3800" s="5">
        <v>3785</v>
      </c>
      <c r="B3800" s="15" t="s">
        <v>710</v>
      </c>
      <c r="C3800" s="40" t="s">
        <v>597</v>
      </c>
      <c r="D3800" s="40" t="s">
        <v>551</v>
      </c>
      <c r="E3800" s="76" t="s">
        <v>552</v>
      </c>
      <c r="F3800" s="76" t="s">
        <v>553</v>
      </c>
      <c r="G3800" s="76" t="s">
        <v>554</v>
      </c>
      <c r="H3800" s="76" t="s">
        <v>555</v>
      </c>
      <c r="I3800" s="76" t="s">
        <v>1412</v>
      </c>
      <c r="J3800" s="76" t="s">
        <v>71</v>
      </c>
      <c r="K3800" s="40" t="s">
        <v>591</v>
      </c>
      <c r="L3800" s="11" t="s">
        <v>914</v>
      </c>
      <c r="M3800" s="93">
        <v>1</v>
      </c>
      <c r="N3800" s="94">
        <f>O3800/M3800</f>
        <v>23700</v>
      </c>
      <c r="O3800" s="94">
        <f>17500+6200</f>
        <v>23700</v>
      </c>
      <c r="P3800" s="40" t="s">
        <v>699</v>
      </c>
      <c r="Q3800" s="40" t="s">
        <v>766</v>
      </c>
      <c r="R3800" s="11" t="s">
        <v>3252</v>
      </c>
      <c r="S3800" s="40">
        <v>0</v>
      </c>
    </row>
    <row r="3801" spans="1:19" s="92" customFormat="1" ht="63.75">
      <c r="A3801" s="5">
        <v>3786</v>
      </c>
      <c r="B3801" s="15" t="s">
        <v>710</v>
      </c>
      <c r="C3801" s="40" t="s">
        <v>597</v>
      </c>
      <c r="D3801" s="40" t="s">
        <v>551</v>
      </c>
      <c r="E3801" s="76" t="s">
        <v>552</v>
      </c>
      <c r="F3801" s="76" t="s">
        <v>553</v>
      </c>
      <c r="G3801" s="76" t="s">
        <v>554</v>
      </c>
      <c r="H3801" s="76" t="s">
        <v>555</v>
      </c>
      <c r="I3801" s="76" t="s">
        <v>1412</v>
      </c>
      <c r="J3801" s="76" t="s">
        <v>71</v>
      </c>
      <c r="K3801" s="40" t="s">
        <v>591</v>
      </c>
      <c r="L3801" s="11" t="s">
        <v>914</v>
      </c>
      <c r="M3801" s="93">
        <v>1</v>
      </c>
      <c r="N3801" s="94">
        <f t="shared" ref="N3801:N3812" si="94">O3801/M3801</f>
        <v>23700</v>
      </c>
      <c r="O3801" s="94">
        <f t="shared" ref="O3801:O3812" si="95">17500+6200</f>
        <v>23700</v>
      </c>
      <c r="P3801" s="40" t="s">
        <v>699</v>
      </c>
      <c r="Q3801" s="40" t="s">
        <v>766</v>
      </c>
      <c r="R3801" s="11" t="s">
        <v>3253</v>
      </c>
      <c r="S3801" s="40">
        <v>0</v>
      </c>
    </row>
    <row r="3802" spans="1:19" s="92" customFormat="1" ht="63.75">
      <c r="A3802" s="5">
        <v>3787</v>
      </c>
      <c r="B3802" s="15" t="s">
        <v>710</v>
      </c>
      <c r="C3802" s="40" t="s">
        <v>597</v>
      </c>
      <c r="D3802" s="40" t="s">
        <v>551</v>
      </c>
      <c r="E3802" s="76" t="s">
        <v>552</v>
      </c>
      <c r="F3802" s="76" t="s">
        <v>553</v>
      </c>
      <c r="G3802" s="76" t="s">
        <v>554</v>
      </c>
      <c r="H3802" s="76" t="s">
        <v>555</v>
      </c>
      <c r="I3802" s="76" t="s">
        <v>1412</v>
      </c>
      <c r="J3802" s="76" t="s">
        <v>71</v>
      </c>
      <c r="K3802" s="40" t="s">
        <v>591</v>
      </c>
      <c r="L3802" s="11" t="s">
        <v>914</v>
      </c>
      <c r="M3802" s="93">
        <v>1</v>
      </c>
      <c r="N3802" s="94">
        <f t="shared" si="94"/>
        <v>23700</v>
      </c>
      <c r="O3802" s="94">
        <f t="shared" si="95"/>
        <v>23700</v>
      </c>
      <c r="P3802" s="40" t="s">
        <v>699</v>
      </c>
      <c r="Q3802" s="40" t="s">
        <v>766</v>
      </c>
      <c r="R3802" s="11" t="s">
        <v>3254</v>
      </c>
      <c r="S3802" s="40">
        <v>0</v>
      </c>
    </row>
    <row r="3803" spans="1:19" s="92" customFormat="1" ht="63.75">
      <c r="A3803" s="5">
        <v>3788</v>
      </c>
      <c r="B3803" s="15" t="s">
        <v>710</v>
      </c>
      <c r="C3803" s="40" t="s">
        <v>597</v>
      </c>
      <c r="D3803" s="40" t="s">
        <v>551</v>
      </c>
      <c r="E3803" s="76" t="s">
        <v>552</v>
      </c>
      <c r="F3803" s="76" t="s">
        <v>553</v>
      </c>
      <c r="G3803" s="76" t="s">
        <v>554</v>
      </c>
      <c r="H3803" s="76" t="s">
        <v>555</v>
      </c>
      <c r="I3803" s="76" t="s">
        <v>1412</v>
      </c>
      <c r="J3803" s="76" t="s">
        <v>71</v>
      </c>
      <c r="K3803" s="40" t="s">
        <v>591</v>
      </c>
      <c r="L3803" s="11" t="s">
        <v>914</v>
      </c>
      <c r="M3803" s="93">
        <v>1</v>
      </c>
      <c r="N3803" s="94">
        <f t="shared" si="94"/>
        <v>23700</v>
      </c>
      <c r="O3803" s="94">
        <f t="shared" si="95"/>
        <v>23700</v>
      </c>
      <c r="P3803" s="40" t="s">
        <v>699</v>
      </c>
      <c r="Q3803" s="40" t="s">
        <v>766</v>
      </c>
      <c r="R3803" s="11" t="s">
        <v>3255</v>
      </c>
      <c r="S3803" s="40">
        <v>0</v>
      </c>
    </row>
    <row r="3804" spans="1:19" s="92" customFormat="1" ht="63.75">
      <c r="A3804" s="5">
        <v>3789</v>
      </c>
      <c r="B3804" s="15" t="s">
        <v>710</v>
      </c>
      <c r="C3804" s="40" t="s">
        <v>597</v>
      </c>
      <c r="D3804" s="40" t="s">
        <v>551</v>
      </c>
      <c r="E3804" s="76" t="s">
        <v>552</v>
      </c>
      <c r="F3804" s="76" t="s">
        <v>553</v>
      </c>
      <c r="G3804" s="76" t="s">
        <v>554</v>
      </c>
      <c r="H3804" s="76" t="s">
        <v>555</v>
      </c>
      <c r="I3804" s="76" t="s">
        <v>1412</v>
      </c>
      <c r="J3804" s="76" t="s">
        <v>71</v>
      </c>
      <c r="K3804" s="40" t="s">
        <v>591</v>
      </c>
      <c r="L3804" s="11" t="s">
        <v>914</v>
      </c>
      <c r="M3804" s="93">
        <v>1</v>
      </c>
      <c r="N3804" s="94">
        <f t="shared" si="94"/>
        <v>23700</v>
      </c>
      <c r="O3804" s="94">
        <f t="shared" si="95"/>
        <v>23700</v>
      </c>
      <c r="P3804" s="40" t="s">
        <v>699</v>
      </c>
      <c r="Q3804" s="40" t="s">
        <v>766</v>
      </c>
      <c r="R3804" s="11" t="s">
        <v>3256</v>
      </c>
      <c r="S3804" s="40">
        <v>0</v>
      </c>
    </row>
    <row r="3805" spans="1:19" s="92" customFormat="1" ht="63.75">
      <c r="A3805" s="5">
        <v>3790</v>
      </c>
      <c r="B3805" s="15" t="s">
        <v>710</v>
      </c>
      <c r="C3805" s="40" t="s">
        <v>597</v>
      </c>
      <c r="D3805" s="40" t="s">
        <v>551</v>
      </c>
      <c r="E3805" s="76" t="s">
        <v>552</v>
      </c>
      <c r="F3805" s="76" t="s">
        <v>553</v>
      </c>
      <c r="G3805" s="76" t="s">
        <v>554</v>
      </c>
      <c r="H3805" s="76" t="s">
        <v>555</v>
      </c>
      <c r="I3805" s="76" t="s">
        <v>1412</v>
      </c>
      <c r="J3805" s="76" t="s">
        <v>71</v>
      </c>
      <c r="K3805" s="40" t="s">
        <v>591</v>
      </c>
      <c r="L3805" s="11" t="s">
        <v>914</v>
      </c>
      <c r="M3805" s="93">
        <v>1</v>
      </c>
      <c r="N3805" s="94">
        <f t="shared" si="94"/>
        <v>23700</v>
      </c>
      <c r="O3805" s="94">
        <f t="shared" si="95"/>
        <v>23700</v>
      </c>
      <c r="P3805" s="40" t="s">
        <v>699</v>
      </c>
      <c r="Q3805" s="40" t="s">
        <v>766</v>
      </c>
      <c r="R3805" s="11" t="s">
        <v>3257</v>
      </c>
      <c r="S3805" s="40">
        <v>0</v>
      </c>
    </row>
    <row r="3806" spans="1:19" s="92" customFormat="1" ht="63.75">
      <c r="A3806" s="5">
        <v>3791</v>
      </c>
      <c r="B3806" s="15" t="s">
        <v>710</v>
      </c>
      <c r="C3806" s="40" t="s">
        <v>597</v>
      </c>
      <c r="D3806" s="40" t="s">
        <v>551</v>
      </c>
      <c r="E3806" s="76" t="s">
        <v>552</v>
      </c>
      <c r="F3806" s="76" t="s">
        <v>553</v>
      </c>
      <c r="G3806" s="76" t="s">
        <v>554</v>
      </c>
      <c r="H3806" s="76" t="s">
        <v>555</v>
      </c>
      <c r="I3806" s="76" t="s">
        <v>1412</v>
      </c>
      <c r="J3806" s="76" t="s">
        <v>71</v>
      </c>
      <c r="K3806" s="40" t="s">
        <v>591</v>
      </c>
      <c r="L3806" s="11" t="s">
        <v>914</v>
      </c>
      <c r="M3806" s="93">
        <v>1</v>
      </c>
      <c r="N3806" s="94">
        <f t="shared" si="94"/>
        <v>23700</v>
      </c>
      <c r="O3806" s="94">
        <f t="shared" si="95"/>
        <v>23700</v>
      </c>
      <c r="P3806" s="40" t="s">
        <v>699</v>
      </c>
      <c r="Q3806" s="40" t="s">
        <v>766</v>
      </c>
      <c r="R3806" s="11" t="s">
        <v>3258</v>
      </c>
      <c r="S3806" s="40">
        <v>0</v>
      </c>
    </row>
    <row r="3807" spans="1:19" s="92" customFormat="1" ht="63.75">
      <c r="A3807" s="5">
        <v>3792</v>
      </c>
      <c r="B3807" s="15" t="s">
        <v>710</v>
      </c>
      <c r="C3807" s="40" t="s">
        <v>597</v>
      </c>
      <c r="D3807" s="40" t="s">
        <v>551</v>
      </c>
      <c r="E3807" s="76" t="s">
        <v>552</v>
      </c>
      <c r="F3807" s="76" t="s">
        <v>553</v>
      </c>
      <c r="G3807" s="76" t="s">
        <v>554</v>
      </c>
      <c r="H3807" s="76" t="s">
        <v>555</v>
      </c>
      <c r="I3807" s="76" t="s">
        <v>1412</v>
      </c>
      <c r="J3807" s="76" t="s">
        <v>71</v>
      </c>
      <c r="K3807" s="40" t="s">
        <v>591</v>
      </c>
      <c r="L3807" s="11" t="s">
        <v>914</v>
      </c>
      <c r="M3807" s="93">
        <v>1</v>
      </c>
      <c r="N3807" s="94">
        <f t="shared" si="94"/>
        <v>23700</v>
      </c>
      <c r="O3807" s="94">
        <f t="shared" si="95"/>
        <v>23700</v>
      </c>
      <c r="P3807" s="40" t="s">
        <v>699</v>
      </c>
      <c r="Q3807" s="40" t="s">
        <v>766</v>
      </c>
      <c r="R3807" s="11" t="s">
        <v>3476</v>
      </c>
      <c r="S3807" s="40">
        <v>0</v>
      </c>
    </row>
    <row r="3808" spans="1:19" s="92" customFormat="1" ht="63.75">
      <c r="A3808" s="5">
        <v>3793</v>
      </c>
      <c r="B3808" s="15" t="s">
        <v>710</v>
      </c>
      <c r="C3808" s="40" t="s">
        <v>597</v>
      </c>
      <c r="D3808" s="40" t="s">
        <v>551</v>
      </c>
      <c r="E3808" s="76" t="s">
        <v>552</v>
      </c>
      <c r="F3808" s="76" t="s">
        <v>553</v>
      </c>
      <c r="G3808" s="76" t="s">
        <v>554</v>
      </c>
      <c r="H3808" s="76" t="s">
        <v>555</v>
      </c>
      <c r="I3808" s="76" t="s">
        <v>1412</v>
      </c>
      <c r="J3808" s="76" t="s">
        <v>71</v>
      </c>
      <c r="K3808" s="40" t="s">
        <v>591</v>
      </c>
      <c r="L3808" s="11" t="s">
        <v>914</v>
      </c>
      <c r="M3808" s="93">
        <v>1</v>
      </c>
      <c r="N3808" s="94">
        <f t="shared" si="94"/>
        <v>23700</v>
      </c>
      <c r="O3808" s="94">
        <f t="shared" si="95"/>
        <v>23700</v>
      </c>
      <c r="P3808" s="40" t="s">
        <v>699</v>
      </c>
      <c r="Q3808" s="40" t="s">
        <v>766</v>
      </c>
      <c r="R3808" s="11" t="s">
        <v>3259</v>
      </c>
      <c r="S3808" s="40">
        <v>0</v>
      </c>
    </row>
    <row r="3809" spans="1:19" s="92" customFormat="1" ht="63.75">
      <c r="A3809" s="5">
        <v>3794</v>
      </c>
      <c r="B3809" s="15" t="s">
        <v>710</v>
      </c>
      <c r="C3809" s="40" t="s">
        <v>597</v>
      </c>
      <c r="D3809" s="40" t="s">
        <v>551</v>
      </c>
      <c r="E3809" s="76" t="s">
        <v>552</v>
      </c>
      <c r="F3809" s="76" t="s">
        <v>553</v>
      </c>
      <c r="G3809" s="76" t="s">
        <v>554</v>
      </c>
      <c r="H3809" s="76" t="s">
        <v>555</v>
      </c>
      <c r="I3809" s="76" t="s">
        <v>1412</v>
      </c>
      <c r="J3809" s="76" t="s">
        <v>71</v>
      </c>
      <c r="K3809" s="40" t="s">
        <v>591</v>
      </c>
      <c r="L3809" s="11" t="s">
        <v>914</v>
      </c>
      <c r="M3809" s="93">
        <v>1</v>
      </c>
      <c r="N3809" s="94">
        <f t="shared" si="94"/>
        <v>23700</v>
      </c>
      <c r="O3809" s="94">
        <f t="shared" si="95"/>
        <v>23700</v>
      </c>
      <c r="P3809" s="40" t="s">
        <v>699</v>
      </c>
      <c r="Q3809" s="40" t="s">
        <v>766</v>
      </c>
      <c r="R3809" s="11" t="s">
        <v>3260</v>
      </c>
      <c r="S3809" s="40">
        <v>0</v>
      </c>
    </row>
    <row r="3810" spans="1:19" s="92" customFormat="1" ht="63.75">
      <c r="A3810" s="5">
        <v>3795</v>
      </c>
      <c r="B3810" s="15" t="s">
        <v>710</v>
      </c>
      <c r="C3810" s="40" t="s">
        <v>597</v>
      </c>
      <c r="D3810" s="40" t="s">
        <v>551</v>
      </c>
      <c r="E3810" s="76" t="s">
        <v>552</v>
      </c>
      <c r="F3810" s="76" t="s">
        <v>553</v>
      </c>
      <c r="G3810" s="76" t="s">
        <v>554</v>
      </c>
      <c r="H3810" s="76" t="s">
        <v>555</v>
      </c>
      <c r="I3810" s="76" t="s">
        <v>1412</v>
      </c>
      <c r="J3810" s="76" t="s">
        <v>71</v>
      </c>
      <c r="K3810" s="40" t="s">
        <v>591</v>
      </c>
      <c r="L3810" s="11" t="s">
        <v>914</v>
      </c>
      <c r="M3810" s="93">
        <v>1</v>
      </c>
      <c r="N3810" s="94">
        <f t="shared" si="94"/>
        <v>23700</v>
      </c>
      <c r="O3810" s="94">
        <f t="shared" si="95"/>
        <v>23700</v>
      </c>
      <c r="P3810" s="40" t="s">
        <v>699</v>
      </c>
      <c r="Q3810" s="40" t="s">
        <v>766</v>
      </c>
      <c r="R3810" s="11" t="s">
        <v>3261</v>
      </c>
      <c r="S3810" s="40">
        <v>0</v>
      </c>
    </row>
    <row r="3811" spans="1:19" s="92" customFormat="1" ht="63.75">
      <c r="A3811" s="5">
        <v>3796</v>
      </c>
      <c r="B3811" s="15" t="s">
        <v>710</v>
      </c>
      <c r="C3811" s="40" t="s">
        <v>597</v>
      </c>
      <c r="D3811" s="40" t="s">
        <v>551</v>
      </c>
      <c r="E3811" s="76" t="s">
        <v>552</v>
      </c>
      <c r="F3811" s="76" t="s">
        <v>553</v>
      </c>
      <c r="G3811" s="76" t="s">
        <v>554</v>
      </c>
      <c r="H3811" s="76" t="s">
        <v>555</v>
      </c>
      <c r="I3811" s="76" t="s">
        <v>1412</v>
      </c>
      <c r="J3811" s="76" t="s">
        <v>71</v>
      </c>
      <c r="K3811" s="40" t="s">
        <v>591</v>
      </c>
      <c r="L3811" s="11" t="s">
        <v>914</v>
      </c>
      <c r="M3811" s="93">
        <v>1</v>
      </c>
      <c r="N3811" s="94">
        <f t="shared" si="94"/>
        <v>23700</v>
      </c>
      <c r="O3811" s="94">
        <f t="shared" si="95"/>
        <v>23700</v>
      </c>
      <c r="P3811" s="40" t="s">
        <v>699</v>
      </c>
      <c r="Q3811" s="40" t="s">
        <v>766</v>
      </c>
      <c r="R3811" s="11" t="s">
        <v>3262</v>
      </c>
      <c r="S3811" s="40">
        <v>0</v>
      </c>
    </row>
    <row r="3812" spans="1:19" s="92" customFormat="1" ht="63.75">
      <c r="A3812" s="5">
        <v>3797</v>
      </c>
      <c r="B3812" s="15" t="s">
        <v>710</v>
      </c>
      <c r="C3812" s="40" t="s">
        <v>597</v>
      </c>
      <c r="D3812" s="40" t="s">
        <v>551</v>
      </c>
      <c r="E3812" s="76" t="s">
        <v>552</v>
      </c>
      <c r="F3812" s="76" t="s">
        <v>553</v>
      </c>
      <c r="G3812" s="76" t="s">
        <v>554</v>
      </c>
      <c r="H3812" s="76" t="s">
        <v>555</v>
      </c>
      <c r="I3812" s="76" t="s">
        <v>1412</v>
      </c>
      <c r="J3812" s="76" t="s">
        <v>71</v>
      </c>
      <c r="K3812" s="40" t="s">
        <v>591</v>
      </c>
      <c r="L3812" s="11" t="s">
        <v>914</v>
      </c>
      <c r="M3812" s="93">
        <v>1</v>
      </c>
      <c r="N3812" s="94">
        <f t="shared" si="94"/>
        <v>23700</v>
      </c>
      <c r="O3812" s="94">
        <f t="shared" si="95"/>
        <v>23700</v>
      </c>
      <c r="P3812" s="40" t="s">
        <v>699</v>
      </c>
      <c r="Q3812" s="40" t="s">
        <v>766</v>
      </c>
      <c r="R3812" s="11" t="s">
        <v>3263</v>
      </c>
      <c r="S3812" s="40">
        <v>0</v>
      </c>
    </row>
    <row r="3813" spans="1:19" s="92" customFormat="1" ht="76.5">
      <c r="A3813" s="5">
        <v>3798</v>
      </c>
      <c r="B3813" s="15" t="s">
        <v>710</v>
      </c>
      <c r="C3813" s="40" t="s">
        <v>597</v>
      </c>
      <c r="D3813" s="40" t="s">
        <v>868</v>
      </c>
      <c r="E3813" s="76" t="s">
        <v>1874</v>
      </c>
      <c r="F3813" s="76" t="s">
        <v>869</v>
      </c>
      <c r="G3813" s="76" t="s">
        <v>1875</v>
      </c>
      <c r="H3813" s="76" t="s">
        <v>870</v>
      </c>
      <c r="I3813" s="76" t="s">
        <v>1873</v>
      </c>
      <c r="J3813" s="76" t="s">
        <v>72</v>
      </c>
      <c r="K3813" s="40" t="s">
        <v>591</v>
      </c>
      <c r="L3813" s="11" t="s">
        <v>914</v>
      </c>
      <c r="M3813" s="97">
        <v>1</v>
      </c>
      <c r="N3813" s="94">
        <f>O3813/M3813</f>
        <v>28200</v>
      </c>
      <c r="O3813" s="94">
        <f>32900-4700</f>
        <v>28200</v>
      </c>
      <c r="P3813" s="40" t="s">
        <v>699</v>
      </c>
      <c r="Q3813" s="40" t="s">
        <v>766</v>
      </c>
      <c r="R3813" s="11" t="s">
        <v>3252</v>
      </c>
      <c r="S3813" s="40">
        <v>0</v>
      </c>
    </row>
    <row r="3814" spans="1:19" s="92" customFormat="1" ht="76.5">
      <c r="A3814" s="5">
        <v>3799</v>
      </c>
      <c r="B3814" s="15" t="s">
        <v>710</v>
      </c>
      <c r="C3814" s="40" t="s">
        <v>597</v>
      </c>
      <c r="D3814" s="40" t="s">
        <v>868</v>
      </c>
      <c r="E3814" s="76" t="s">
        <v>1874</v>
      </c>
      <c r="F3814" s="76" t="s">
        <v>869</v>
      </c>
      <c r="G3814" s="76" t="s">
        <v>1875</v>
      </c>
      <c r="H3814" s="76" t="s">
        <v>870</v>
      </c>
      <c r="I3814" s="76" t="s">
        <v>1873</v>
      </c>
      <c r="J3814" s="76" t="s">
        <v>72</v>
      </c>
      <c r="K3814" s="40" t="s">
        <v>591</v>
      </c>
      <c r="L3814" s="11" t="s">
        <v>914</v>
      </c>
      <c r="M3814" s="97">
        <v>1</v>
      </c>
      <c r="N3814" s="94">
        <f t="shared" ref="N3814:N3825" si="96">O3814/M3814</f>
        <v>28200</v>
      </c>
      <c r="O3814" s="94">
        <f t="shared" ref="O3814:O3825" si="97">32900-4700</f>
        <v>28200</v>
      </c>
      <c r="P3814" s="40" t="s">
        <v>699</v>
      </c>
      <c r="Q3814" s="40" t="s">
        <v>766</v>
      </c>
      <c r="R3814" s="11" t="s">
        <v>3253</v>
      </c>
      <c r="S3814" s="40">
        <v>0</v>
      </c>
    </row>
    <row r="3815" spans="1:19" s="92" customFormat="1" ht="76.5">
      <c r="A3815" s="5">
        <v>3800</v>
      </c>
      <c r="B3815" s="15" t="s">
        <v>710</v>
      </c>
      <c r="C3815" s="40" t="s">
        <v>597</v>
      </c>
      <c r="D3815" s="40" t="s">
        <v>868</v>
      </c>
      <c r="E3815" s="76" t="s">
        <v>1874</v>
      </c>
      <c r="F3815" s="76" t="s">
        <v>869</v>
      </c>
      <c r="G3815" s="76" t="s">
        <v>1875</v>
      </c>
      <c r="H3815" s="76" t="s">
        <v>870</v>
      </c>
      <c r="I3815" s="76" t="s">
        <v>1873</v>
      </c>
      <c r="J3815" s="76" t="s">
        <v>72</v>
      </c>
      <c r="K3815" s="40" t="s">
        <v>591</v>
      </c>
      <c r="L3815" s="11" t="s">
        <v>914</v>
      </c>
      <c r="M3815" s="97">
        <v>1</v>
      </c>
      <c r="N3815" s="94">
        <f t="shared" si="96"/>
        <v>28200</v>
      </c>
      <c r="O3815" s="94">
        <f t="shared" si="97"/>
        <v>28200</v>
      </c>
      <c r="P3815" s="40" t="s">
        <v>699</v>
      </c>
      <c r="Q3815" s="40" t="s">
        <v>766</v>
      </c>
      <c r="R3815" s="11" t="s">
        <v>3254</v>
      </c>
      <c r="S3815" s="40">
        <v>0</v>
      </c>
    </row>
    <row r="3816" spans="1:19" s="92" customFormat="1" ht="76.5">
      <c r="A3816" s="5">
        <v>3801</v>
      </c>
      <c r="B3816" s="15" t="s">
        <v>710</v>
      </c>
      <c r="C3816" s="40" t="s">
        <v>597</v>
      </c>
      <c r="D3816" s="40" t="s">
        <v>868</v>
      </c>
      <c r="E3816" s="76" t="s">
        <v>1874</v>
      </c>
      <c r="F3816" s="76" t="s">
        <v>869</v>
      </c>
      <c r="G3816" s="76" t="s">
        <v>1875</v>
      </c>
      <c r="H3816" s="76" t="s">
        <v>870</v>
      </c>
      <c r="I3816" s="76" t="s">
        <v>1873</v>
      </c>
      <c r="J3816" s="76" t="s">
        <v>72</v>
      </c>
      <c r="K3816" s="40" t="s">
        <v>591</v>
      </c>
      <c r="L3816" s="11" t="s">
        <v>914</v>
      </c>
      <c r="M3816" s="97">
        <v>1</v>
      </c>
      <c r="N3816" s="94">
        <f t="shared" si="96"/>
        <v>28200</v>
      </c>
      <c r="O3816" s="94">
        <f t="shared" si="97"/>
        <v>28200</v>
      </c>
      <c r="P3816" s="40" t="s">
        <v>699</v>
      </c>
      <c r="Q3816" s="40" t="s">
        <v>766</v>
      </c>
      <c r="R3816" s="11" t="s">
        <v>3255</v>
      </c>
      <c r="S3816" s="40">
        <v>0</v>
      </c>
    </row>
    <row r="3817" spans="1:19" s="92" customFormat="1" ht="76.5">
      <c r="A3817" s="5">
        <v>3802</v>
      </c>
      <c r="B3817" s="15" t="s">
        <v>710</v>
      </c>
      <c r="C3817" s="40" t="s">
        <v>597</v>
      </c>
      <c r="D3817" s="40" t="s">
        <v>868</v>
      </c>
      <c r="E3817" s="76" t="s">
        <v>1874</v>
      </c>
      <c r="F3817" s="76" t="s">
        <v>869</v>
      </c>
      <c r="G3817" s="76" t="s">
        <v>1875</v>
      </c>
      <c r="H3817" s="76" t="s">
        <v>870</v>
      </c>
      <c r="I3817" s="76" t="s">
        <v>1873</v>
      </c>
      <c r="J3817" s="76" t="s">
        <v>72</v>
      </c>
      <c r="K3817" s="40" t="s">
        <v>591</v>
      </c>
      <c r="L3817" s="11" t="s">
        <v>914</v>
      </c>
      <c r="M3817" s="97">
        <v>1</v>
      </c>
      <c r="N3817" s="94">
        <f t="shared" si="96"/>
        <v>28200</v>
      </c>
      <c r="O3817" s="94">
        <f t="shared" si="97"/>
        <v>28200</v>
      </c>
      <c r="P3817" s="40" t="s">
        <v>699</v>
      </c>
      <c r="Q3817" s="40" t="s">
        <v>766</v>
      </c>
      <c r="R3817" s="11" t="s">
        <v>3256</v>
      </c>
      <c r="S3817" s="40">
        <v>0</v>
      </c>
    </row>
    <row r="3818" spans="1:19" s="92" customFormat="1" ht="76.5">
      <c r="A3818" s="5">
        <v>3803</v>
      </c>
      <c r="B3818" s="15" t="s">
        <v>710</v>
      </c>
      <c r="C3818" s="40" t="s">
        <v>597</v>
      </c>
      <c r="D3818" s="40" t="s">
        <v>868</v>
      </c>
      <c r="E3818" s="76" t="s">
        <v>1874</v>
      </c>
      <c r="F3818" s="76" t="s">
        <v>869</v>
      </c>
      <c r="G3818" s="76" t="s">
        <v>1875</v>
      </c>
      <c r="H3818" s="76" t="s">
        <v>870</v>
      </c>
      <c r="I3818" s="76" t="s">
        <v>1873</v>
      </c>
      <c r="J3818" s="76" t="s">
        <v>72</v>
      </c>
      <c r="K3818" s="40" t="s">
        <v>591</v>
      </c>
      <c r="L3818" s="11" t="s">
        <v>914</v>
      </c>
      <c r="M3818" s="97">
        <v>1</v>
      </c>
      <c r="N3818" s="94">
        <f t="shared" si="96"/>
        <v>28200</v>
      </c>
      <c r="O3818" s="94">
        <f t="shared" si="97"/>
        <v>28200</v>
      </c>
      <c r="P3818" s="40" t="s">
        <v>699</v>
      </c>
      <c r="Q3818" s="40" t="s">
        <v>766</v>
      </c>
      <c r="R3818" s="11" t="s">
        <v>3257</v>
      </c>
      <c r="S3818" s="40">
        <v>0</v>
      </c>
    </row>
    <row r="3819" spans="1:19" s="92" customFormat="1" ht="76.5">
      <c r="A3819" s="5">
        <v>3804</v>
      </c>
      <c r="B3819" s="15" t="s">
        <v>710</v>
      </c>
      <c r="C3819" s="40" t="s">
        <v>597</v>
      </c>
      <c r="D3819" s="40" t="s">
        <v>868</v>
      </c>
      <c r="E3819" s="76" t="s">
        <v>1874</v>
      </c>
      <c r="F3819" s="76" t="s">
        <v>869</v>
      </c>
      <c r="G3819" s="76" t="s">
        <v>1875</v>
      </c>
      <c r="H3819" s="76" t="s">
        <v>870</v>
      </c>
      <c r="I3819" s="76" t="s">
        <v>1873</v>
      </c>
      <c r="J3819" s="76" t="s">
        <v>72</v>
      </c>
      <c r="K3819" s="40" t="s">
        <v>591</v>
      </c>
      <c r="L3819" s="11" t="s">
        <v>914</v>
      </c>
      <c r="M3819" s="97">
        <v>1</v>
      </c>
      <c r="N3819" s="94">
        <f t="shared" si="96"/>
        <v>28200</v>
      </c>
      <c r="O3819" s="94">
        <f t="shared" si="97"/>
        <v>28200</v>
      </c>
      <c r="P3819" s="40" t="s">
        <v>699</v>
      </c>
      <c r="Q3819" s="40" t="s">
        <v>766</v>
      </c>
      <c r="R3819" s="11" t="s">
        <v>3258</v>
      </c>
      <c r="S3819" s="40">
        <v>0</v>
      </c>
    </row>
    <row r="3820" spans="1:19" s="92" customFormat="1" ht="76.5">
      <c r="A3820" s="5">
        <v>3805</v>
      </c>
      <c r="B3820" s="15" t="s">
        <v>710</v>
      </c>
      <c r="C3820" s="40" t="s">
        <v>597</v>
      </c>
      <c r="D3820" s="40" t="s">
        <v>868</v>
      </c>
      <c r="E3820" s="76" t="s">
        <v>1874</v>
      </c>
      <c r="F3820" s="76" t="s">
        <v>869</v>
      </c>
      <c r="G3820" s="76" t="s">
        <v>1875</v>
      </c>
      <c r="H3820" s="76" t="s">
        <v>870</v>
      </c>
      <c r="I3820" s="76" t="s">
        <v>1873</v>
      </c>
      <c r="J3820" s="76" t="s">
        <v>72</v>
      </c>
      <c r="K3820" s="40" t="s">
        <v>591</v>
      </c>
      <c r="L3820" s="11" t="s">
        <v>914</v>
      </c>
      <c r="M3820" s="97">
        <v>1</v>
      </c>
      <c r="N3820" s="94">
        <f t="shared" si="96"/>
        <v>28200</v>
      </c>
      <c r="O3820" s="94">
        <f t="shared" si="97"/>
        <v>28200</v>
      </c>
      <c r="P3820" s="40" t="s">
        <v>699</v>
      </c>
      <c r="Q3820" s="40" t="s">
        <v>766</v>
      </c>
      <c r="R3820" s="11" t="s">
        <v>3476</v>
      </c>
      <c r="S3820" s="40">
        <v>0</v>
      </c>
    </row>
    <row r="3821" spans="1:19" s="92" customFormat="1" ht="76.5">
      <c r="A3821" s="5">
        <v>3806</v>
      </c>
      <c r="B3821" s="15" t="s">
        <v>710</v>
      </c>
      <c r="C3821" s="40" t="s">
        <v>597</v>
      </c>
      <c r="D3821" s="40" t="s">
        <v>868</v>
      </c>
      <c r="E3821" s="76" t="s">
        <v>1874</v>
      </c>
      <c r="F3821" s="76" t="s">
        <v>869</v>
      </c>
      <c r="G3821" s="76" t="s">
        <v>1875</v>
      </c>
      <c r="H3821" s="76" t="s">
        <v>870</v>
      </c>
      <c r="I3821" s="76" t="s">
        <v>1873</v>
      </c>
      <c r="J3821" s="76" t="s">
        <v>72</v>
      </c>
      <c r="K3821" s="40" t="s">
        <v>591</v>
      </c>
      <c r="L3821" s="11" t="s">
        <v>914</v>
      </c>
      <c r="M3821" s="97">
        <v>1</v>
      </c>
      <c r="N3821" s="94">
        <f t="shared" si="96"/>
        <v>28200</v>
      </c>
      <c r="O3821" s="94">
        <f t="shared" si="97"/>
        <v>28200</v>
      </c>
      <c r="P3821" s="40" t="s">
        <v>699</v>
      </c>
      <c r="Q3821" s="40" t="s">
        <v>766</v>
      </c>
      <c r="R3821" s="11" t="s">
        <v>3259</v>
      </c>
      <c r="S3821" s="40">
        <v>0</v>
      </c>
    </row>
    <row r="3822" spans="1:19" s="92" customFormat="1" ht="76.5">
      <c r="A3822" s="5">
        <v>3807</v>
      </c>
      <c r="B3822" s="15" t="s">
        <v>710</v>
      </c>
      <c r="C3822" s="40" t="s">
        <v>597</v>
      </c>
      <c r="D3822" s="40" t="s">
        <v>868</v>
      </c>
      <c r="E3822" s="76" t="s">
        <v>1874</v>
      </c>
      <c r="F3822" s="76" t="s">
        <v>869</v>
      </c>
      <c r="G3822" s="76" t="s">
        <v>1875</v>
      </c>
      <c r="H3822" s="76" t="s">
        <v>870</v>
      </c>
      <c r="I3822" s="76" t="s">
        <v>1873</v>
      </c>
      <c r="J3822" s="76" t="s">
        <v>72</v>
      </c>
      <c r="K3822" s="40" t="s">
        <v>591</v>
      </c>
      <c r="L3822" s="11" t="s">
        <v>914</v>
      </c>
      <c r="M3822" s="97">
        <v>1</v>
      </c>
      <c r="N3822" s="94">
        <f t="shared" si="96"/>
        <v>28200</v>
      </c>
      <c r="O3822" s="94">
        <f t="shared" si="97"/>
        <v>28200</v>
      </c>
      <c r="P3822" s="40" t="s">
        <v>699</v>
      </c>
      <c r="Q3822" s="40" t="s">
        <v>766</v>
      </c>
      <c r="R3822" s="11" t="s">
        <v>3260</v>
      </c>
      <c r="S3822" s="40">
        <v>0</v>
      </c>
    </row>
    <row r="3823" spans="1:19" s="92" customFormat="1" ht="76.5">
      <c r="A3823" s="5">
        <v>3808</v>
      </c>
      <c r="B3823" s="15" t="s">
        <v>710</v>
      </c>
      <c r="C3823" s="40" t="s">
        <v>597</v>
      </c>
      <c r="D3823" s="40" t="s">
        <v>868</v>
      </c>
      <c r="E3823" s="76" t="s">
        <v>1874</v>
      </c>
      <c r="F3823" s="76" t="s">
        <v>869</v>
      </c>
      <c r="G3823" s="76" t="s">
        <v>1875</v>
      </c>
      <c r="H3823" s="76" t="s">
        <v>870</v>
      </c>
      <c r="I3823" s="76" t="s">
        <v>1873</v>
      </c>
      <c r="J3823" s="76" t="s">
        <v>72</v>
      </c>
      <c r="K3823" s="40" t="s">
        <v>591</v>
      </c>
      <c r="L3823" s="11" t="s">
        <v>914</v>
      </c>
      <c r="M3823" s="97">
        <v>1</v>
      </c>
      <c r="N3823" s="94">
        <f t="shared" si="96"/>
        <v>28200</v>
      </c>
      <c r="O3823" s="94">
        <f t="shared" si="97"/>
        <v>28200</v>
      </c>
      <c r="P3823" s="40" t="s">
        <v>699</v>
      </c>
      <c r="Q3823" s="40" t="s">
        <v>766</v>
      </c>
      <c r="R3823" s="11" t="s">
        <v>3261</v>
      </c>
      <c r="S3823" s="40">
        <v>0</v>
      </c>
    </row>
    <row r="3824" spans="1:19" s="92" customFormat="1" ht="76.5">
      <c r="A3824" s="5">
        <v>3809</v>
      </c>
      <c r="B3824" s="15" t="s">
        <v>710</v>
      </c>
      <c r="C3824" s="40" t="s">
        <v>597</v>
      </c>
      <c r="D3824" s="40" t="s">
        <v>868</v>
      </c>
      <c r="E3824" s="76" t="s">
        <v>1874</v>
      </c>
      <c r="F3824" s="76" t="s">
        <v>869</v>
      </c>
      <c r="G3824" s="76" t="s">
        <v>1875</v>
      </c>
      <c r="H3824" s="76" t="s">
        <v>870</v>
      </c>
      <c r="I3824" s="76" t="s">
        <v>1873</v>
      </c>
      <c r="J3824" s="76" t="s">
        <v>72</v>
      </c>
      <c r="K3824" s="40" t="s">
        <v>591</v>
      </c>
      <c r="L3824" s="11" t="s">
        <v>914</v>
      </c>
      <c r="M3824" s="97">
        <v>1</v>
      </c>
      <c r="N3824" s="94">
        <f t="shared" si="96"/>
        <v>28200</v>
      </c>
      <c r="O3824" s="94">
        <f t="shared" si="97"/>
        <v>28200</v>
      </c>
      <c r="P3824" s="40" t="s">
        <v>699</v>
      </c>
      <c r="Q3824" s="40" t="s">
        <v>766</v>
      </c>
      <c r="R3824" s="11" t="s">
        <v>3262</v>
      </c>
      <c r="S3824" s="40">
        <v>0</v>
      </c>
    </row>
    <row r="3825" spans="1:19" s="92" customFormat="1" ht="76.5">
      <c r="A3825" s="5">
        <v>3810</v>
      </c>
      <c r="B3825" s="15" t="s">
        <v>710</v>
      </c>
      <c r="C3825" s="40" t="s">
        <v>597</v>
      </c>
      <c r="D3825" s="40" t="s">
        <v>868</v>
      </c>
      <c r="E3825" s="76" t="s">
        <v>1874</v>
      </c>
      <c r="F3825" s="76" t="s">
        <v>869</v>
      </c>
      <c r="G3825" s="76" t="s">
        <v>1875</v>
      </c>
      <c r="H3825" s="76" t="s">
        <v>870</v>
      </c>
      <c r="I3825" s="76" t="s">
        <v>1873</v>
      </c>
      <c r="J3825" s="76" t="s">
        <v>72</v>
      </c>
      <c r="K3825" s="40" t="s">
        <v>591</v>
      </c>
      <c r="L3825" s="11" t="s">
        <v>914</v>
      </c>
      <c r="M3825" s="97">
        <v>1</v>
      </c>
      <c r="N3825" s="94">
        <f t="shared" si="96"/>
        <v>28200</v>
      </c>
      <c r="O3825" s="94">
        <f t="shared" si="97"/>
        <v>28200</v>
      </c>
      <c r="P3825" s="40" t="s">
        <v>699</v>
      </c>
      <c r="Q3825" s="40" t="s">
        <v>766</v>
      </c>
      <c r="R3825" s="11" t="s">
        <v>3263</v>
      </c>
      <c r="S3825" s="40">
        <v>0</v>
      </c>
    </row>
    <row r="3826" spans="1:19" s="92" customFormat="1" ht="51">
      <c r="A3826" s="5">
        <v>3811</v>
      </c>
      <c r="B3826" s="15" t="s">
        <v>710</v>
      </c>
      <c r="C3826" s="40" t="s">
        <v>597</v>
      </c>
      <c r="D3826" s="40" t="s">
        <v>561</v>
      </c>
      <c r="E3826" s="76" t="s">
        <v>562</v>
      </c>
      <c r="F3826" s="76" t="s">
        <v>563</v>
      </c>
      <c r="G3826" s="76" t="s">
        <v>564</v>
      </c>
      <c r="H3826" s="76" t="s">
        <v>565</v>
      </c>
      <c r="I3826" s="76" t="s">
        <v>562</v>
      </c>
      <c r="J3826" s="76" t="s">
        <v>73</v>
      </c>
      <c r="K3826" s="76" t="s">
        <v>591</v>
      </c>
      <c r="L3826" s="11" t="s">
        <v>914</v>
      </c>
      <c r="M3826" s="53">
        <v>1</v>
      </c>
      <c r="N3826" s="94">
        <f>O3826/M3826</f>
        <v>9000</v>
      </c>
      <c r="O3826" s="94">
        <f>10500-1500</f>
        <v>9000</v>
      </c>
      <c r="P3826" s="40" t="s">
        <v>699</v>
      </c>
      <c r="Q3826" s="40" t="s">
        <v>766</v>
      </c>
      <c r="R3826" s="11" t="s">
        <v>3252</v>
      </c>
      <c r="S3826" s="40">
        <v>0</v>
      </c>
    </row>
    <row r="3827" spans="1:19" s="92" customFormat="1" ht="51">
      <c r="A3827" s="5">
        <v>3812</v>
      </c>
      <c r="B3827" s="15" t="s">
        <v>710</v>
      </c>
      <c r="C3827" s="40" t="s">
        <v>597</v>
      </c>
      <c r="D3827" s="40" t="s">
        <v>561</v>
      </c>
      <c r="E3827" s="76" t="s">
        <v>562</v>
      </c>
      <c r="F3827" s="76" t="s">
        <v>563</v>
      </c>
      <c r="G3827" s="76" t="s">
        <v>564</v>
      </c>
      <c r="H3827" s="76" t="s">
        <v>565</v>
      </c>
      <c r="I3827" s="76" t="s">
        <v>562</v>
      </c>
      <c r="J3827" s="76" t="s">
        <v>73</v>
      </c>
      <c r="K3827" s="76" t="s">
        <v>591</v>
      </c>
      <c r="L3827" s="11" t="s">
        <v>914</v>
      </c>
      <c r="M3827" s="53">
        <v>1</v>
      </c>
      <c r="N3827" s="94">
        <f t="shared" ref="N3827:N3838" si="98">O3827/M3827</f>
        <v>9000</v>
      </c>
      <c r="O3827" s="94">
        <f t="shared" ref="O3827:O3838" si="99">10500-1500</f>
        <v>9000</v>
      </c>
      <c r="P3827" s="40" t="s">
        <v>699</v>
      </c>
      <c r="Q3827" s="40" t="s">
        <v>766</v>
      </c>
      <c r="R3827" s="11" t="s">
        <v>3253</v>
      </c>
      <c r="S3827" s="40">
        <v>0</v>
      </c>
    </row>
    <row r="3828" spans="1:19" s="92" customFormat="1" ht="51">
      <c r="A3828" s="5">
        <v>3813</v>
      </c>
      <c r="B3828" s="15" t="s">
        <v>710</v>
      </c>
      <c r="C3828" s="40" t="s">
        <v>597</v>
      </c>
      <c r="D3828" s="40" t="s">
        <v>561</v>
      </c>
      <c r="E3828" s="76" t="s">
        <v>562</v>
      </c>
      <c r="F3828" s="76" t="s">
        <v>563</v>
      </c>
      <c r="G3828" s="76" t="s">
        <v>564</v>
      </c>
      <c r="H3828" s="76" t="s">
        <v>565</v>
      </c>
      <c r="I3828" s="76" t="s">
        <v>562</v>
      </c>
      <c r="J3828" s="76" t="s">
        <v>73</v>
      </c>
      <c r="K3828" s="76" t="s">
        <v>591</v>
      </c>
      <c r="L3828" s="11" t="s">
        <v>914</v>
      </c>
      <c r="M3828" s="53">
        <v>1</v>
      </c>
      <c r="N3828" s="94">
        <f t="shared" si="98"/>
        <v>9000</v>
      </c>
      <c r="O3828" s="94">
        <f t="shared" si="99"/>
        <v>9000</v>
      </c>
      <c r="P3828" s="40" t="s">
        <v>699</v>
      </c>
      <c r="Q3828" s="40" t="s">
        <v>766</v>
      </c>
      <c r="R3828" s="11" t="s">
        <v>3254</v>
      </c>
      <c r="S3828" s="40">
        <v>0</v>
      </c>
    </row>
    <row r="3829" spans="1:19" s="92" customFormat="1" ht="51">
      <c r="A3829" s="5">
        <v>3814</v>
      </c>
      <c r="B3829" s="15" t="s">
        <v>710</v>
      </c>
      <c r="C3829" s="40" t="s">
        <v>597</v>
      </c>
      <c r="D3829" s="40" t="s">
        <v>561</v>
      </c>
      <c r="E3829" s="76" t="s">
        <v>562</v>
      </c>
      <c r="F3829" s="76" t="s">
        <v>563</v>
      </c>
      <c r="G3829" s="76" t="s">
        <v>564</v>
      </c>
      <c r="H3829" s="76" t="s">
        <v>565</v>
      </c>
      <c r="I3829" s="76" t="s">
        <v>562</v>
      </c>
      <c r="J3829" s="76" t="s">
        <v>73</v>
      </c>
      <c r="K3829" s="76" t="s">
        <v>591</v>
      </c>
      <c r="L3829" s="11" t="s">
        <v>914</v>
      </c>
      <c r="M3829" s="53">
        <v>1</v>
      </c>
      <c r="N3829" s="94">
        <f t="shared" si="98"/>
        <v>9000</v>
      </c>
      <c r="O3829" s="94">
        <f t="shared" si="99"/>
        <v>9000</v>
      </c>
      <c r="P3829" s="40" t="s">
        <v>699</v>
      </c>
      <c r="Q3829" s="40" t="s">
        <v>766</v>
      </c>
      <c r="R3829" s="11" t="s">
        <v>3255</v>
      </c>
      <c r="S3829" s="40">
        <v>0</v>
      </c>
    </row>
    <row r="3830" spans="1:19" s="92" customFormat="1" ht="51">
      <c r="A3830" s="5">
        <v>3815</v>
      </c>
      <c r="B3830" s="15" t="s">
        <v>710</v>
      </c>
      <c r="C3830" s="40" t="s">
        <v>597</v>
      </c>
      <c r="D3830" s="40" t="s">
        <v>561</v>
      </c>
      <c r="E3830" s="76" t="s">
        <v>562</v>
      </c>
      <c r="F3830" s="76" t="s">
        <v>563</v>
      </c>
      <c r="G3830" s="76" t="s">
        <v>564</v>
      </c>
      <c r="H3830" s="76" t="s">
        <v>565</v>
      </c>
      <c r="I3830" s="76" t="s">
        <v>562</v>
      </c>
      <c r="J3830" s="76" t="s">
        <v>73</v>
      </c>
      <c r="K3830" s="76" t="s">
        <v>591</v>
      </c>
      <c r="L3830" s="11" t="s">
        <v>914</v>
      </c>
      <c r="M3830" s="53">
        <v>1</v>
      </c>
      <c r="N3830" s="94">
        <f t="shared" si="98"/>
        <v>9000</v>
      </c>
      <c r="O3830" s="94">
        <f t="shared" si="99"/>
        <v>9000</v>
      </c>
      <c r="P3830" s="40" t="s">
        <v>699</v>
      </c>
      <c r="Q3830" s="40" t="s">
        <v>766</v>
      </c>
      <c r="R3830" s="11" t="s">
        <v>3256</v>
      </c>
      <c r="S3830" s="40">
        <v>0</v>
      </c>
    </row>
    <row r="3831" spans="1:19" s="92" customFormat="1" ht="51">
      <c r="A3831" s="5">
        <v>3816</v>
      </c>
      <c r="B3831" s="15" t="s">
        <v>710</v>
      </c>
      <c r="C3831" s="40" t="s">
        <v>597</v>
      </c>
      <c r="D3831" s="40" t="s">
        <v>561</v>
      </c>
      <c r="E3831" s="76" t="s">
        <v>562</v>
      </c>
      <c r="F3831" s="76" t="s">
        <v>563</v>
      </c>
      <c r="G3831" s="76" t="s">
        <v>564</v>
      </c>
      <c r="H3831" s="76" t="s">
        <v>565</v>
      </c>
      <c r="I3831" s="76" t="s">
        <v>562</v>
      </c>
      <c r="J3831" s="76" t="s">
        <v>73</v>
      </c>
      <c r="K3831" s="76" t="s">
        <v>591</v>
      </c>
      <c r="L3831" s="11" t="s">
        <v>914</v>
      </c>
      <c r="M3831" s="53">
        <v>1</v>
      </c>
      <c r="N3831" s="94">
        <f t="shared" si="98"/>
        <v>9000</v>
      </c>
      <c r="O3831" s="94">
        <f t="shared" si="99"/>
        <v>9000</v>
      </c>
      <c r="P3831" s="40" t="s">
        <v>699</v>
      </c>
      <c r="Q3831" s="40" t="s">
        <v>766</v>
      </c>
      <c r="R3831" s="11" t="s">
        <v>3257</v>
      </c>
      <c r="S3831" s="40">
        <v>0</v>
      </c>
    </row>
    <row r="3832" spans="1:19" s="92" customFormat="1" ht="51">
      <c r="A3832" s="5">
        <v>3817</v>
      </c>
      <c r="B3832" s="15" t="s">
        <v>710</v>
      </c>
      <c r="C3832" s="40" t="s">
        <v>597</v>
      </c>
      <c r="D3832" s="40" t="s">
        <v>561</v>
      </c>
      <c r="E3832" s="76" t="s">
        <v>562</v>
      </c>
      <c r="F3832" s="76" t="s">
        <v>563</v>
      </c>
      <c r="G3832" s="76" t="s">
        <v>564</v>
      </c>
      <c r="H3832" s="76" t="s">
        <v>565</v>
      </c>
      <c r="I3832" s="76" t="s">
        <v>562</v>
      </c>
      <c r="J3832" s="76" t="s">
        <v>73</v>
      </c>
      <c r="K3832" s="76" t="s">
        <v>591</v>
      </c>
      <c r="L3832" s="11" t="s">
        <v>914</v>
      </c>
      <c r="M3832" s="53">
        <v>1</v>
      </c>
      <c r="N3832" s="94">
        <f t="shared" si="98"/>
        <v>9000</v>
      </c>
      <c r="O3832" s="94">
        <f t="shared" si="99"/>
        <v>9000</v>
      </c>
      <c r="P3832" s="40" t="s">
        <v>699</v>
      </c>
      <c r="Q3832" s="40" t="s">
        <v>766</v>
      </c>
      <c r="R3832" s="11" t="s">
        <v>3258</v>
      </c>
      <c r="S3832" s="40">
        <v>0</v>
      </c>
    </row>
    <row r="3833" spans="1:19" s="92" customFormat="1" ht="51">
      <c r="A3833" s="5">
        <v>3818</v>
      </c>
      <c r="B3833" s="15" t="s">
        <v>710</v>
      </c>
      <c r="C3833" s="40" t="s">
        <v>597</v>
      </c>
      <c r="D3833" s="40" t="s">
        <v>561</v>
      </c>
      <c r="E3833" s="76" t="s">
        <v>562</v>
      </c>
      <c r="F3833" s="76" t="s">
        <v>563</v>
      </c>
      <c r="G3833" s="76" t="s">
        <v>564</v>
      </c>
      <c r="H3833" s="76" t="s">
        <v>565</v>
      </c>
      <c r="I3833" s="76" t="s">
        <v>562</v>
      </c>
      <c r="J3833" s="76" t="s">
        <v>73</v>
      </c>
      <c r="K3833" s="76" t="s">
        <v>591</v>
      </c>
      <c r="L3833" s="11" t="s">
        <v>914</v>
      </c>
      <c r="M3833" s="53">
        <v>1</v>
      </c>
      <c r="N3833" s="94">
        <f t="shared" si="98"/>
        <v>9000</v>
      </c>
      <c r="O3833" s="94">
        <f t="shared" si="99"/>
        <v>9000</v>
      </c>
      <c r="P3833" s="40" t="s">
        <v>699</v>
      </c>
      <c r="Q3833" s="40" t="s">
        <v>766</v>
      </c>
      <c r="R3833" s="11" t="s">
        <v>3476</v>
      </c>
      <c r="S3833" s="40">
        <v>0</v>
      </c>
    </row>
    <row r="3834" spans="1:19" s="92" customFormat="1" ht="51">
      <c r="A3834" s="5">
        <v>3819</v>
      </c>
      <c r="B3834" s="15" t="s">
        <v>710</v>
      </c>
      <c r="C3834" s="40" t="s">
        <v>597</v>
      </c>
      <c r="D3834" s="40" t="s">
        <v>561</v>
      </c>
      <c r="E3834" s="76" t="s">
        <v>562</v>
      </c>
      <c r="F3834" s="76" t="s">
        <v>563</v>
      </c>
      <c r="G3834" s="76" t="s">
        <v>564</v>
      </c>
      <c r="H3834" s="76" t="s">
        <v>565</v>
      </c>
      <c r="I3834" s="76" t="s">
        <v>562</v>
      </c>
      <c r="J3834" s="76" t="s">
        <v>73</v>
      </c>
      <c r="K3834" s="76" t="s">
        <v>591</v>
      </c>
      <c r="L3834" s="11" t="s">
        <v>914</v>
      </c>
      <c r="M3834" s="53">
        <v>1</v>
      </c>
      <c r="N3834" s="94">
        <f t="shared" si="98"/>
        <v>9000</v>
      </c>
      <c r="O3834" s="94">
        <f t="shared" si="99"/>
        <v>9000</v>
      </c>
      <c r="P3834" s="40" t="s">
        <v>699</v>
      </c>
      <c r="Q3834" s="40" t="s">
        <v>766</v>
      </c>
      <c r="R3834" s="11" t="s">
        <v>3259</v>
      </c>
      <c r="S3834" s="40">
        <v>0</v>
      </c>
    </row>
    <row r="3835" spans="1:19" s="92" customFormat="1" ht="51">
      <c r="A3835" s="5">
        <v>3820</v>
      </c>
      <c r="B3835" s="15" t="s">
        <v>710</v>
      </c>
      <c r="C3835" s="40" t="s">
        <v>597</v>
      </c>
      <c r="D3835" s="40" t="s">
        <v>561</v>
      </c>
      <c r="E3835" s="76" t="s">
        <v>562</v>
      </c>
      <c r="F3835" s="76" t="s">
        <v>563</v>
      </c>
      <c r="G3835" s="76" t="s">
        <v>564</v>
      </c>
      <c r="H3835" s="76" t="s">
        <v>565</v>
      </c>
      <c r="I3835" s="76" t="s">
        <v>562</v>
      </c>
      <c r="J3835" s="76" t="s">
        <v>73</v>
      </c>
      <c r="K3835" s="76" t="s">
        <v>591</v>
      </c>
      <c r="L3835" s="11" t="s">
        <v>914</v>
      </c>
      <c r="M3835" s="53">
        <v>1</v>
      </c>
      <c r="N3835" s="94">
        <f t="shared" si="98"/>
        <v>9000</v>
      </c>
      <c r="O3835" s="94">
        <f t="shared" si="99"/>
        <v>9000</v>
      </c>
      <c r="P3835" s="40" t="s">
        <v>699</v>
      </c>
      <c r="Q3835" s="40" t="s">
        <v>766</v>
      </c>
      <c r="R3835" s="11" t="s">
        <v>3260</v>
      </c>
      <c r="S3835" s="40">
        <v>0</v>
      </c>
    </row>
    <row r="3836" spans="1:19" s="92" customFormat="1" ht="51">
      <c r="A3836" s="5">
        <v>3821</v>
      </c>
      <c r="B3836" s="15" t="s">
        <v>710</v>
      </c>
      <c r="C3836" s="40" t="s">
        <v>597</v>
      </c>
      <c r="D3836" s="40" t="s">
        <v>561</v>
      </c>
      <c r="E3836" s="76" t="s">
        <v>562</v>
      </c>
      <c r="F3836" s="76" t="s">
        <v>563</v>
      </c>
      <c r="G3836" s="76" t="s">
        <v>564</v>
      </c>
      <c r="H3836" s="76" t="s">
        <v>565</v>
      </c>
      <c r="I3836" s="76" t="s">
        <v>562</v>
      </c>
      <c r="J3836" s="76" t="s">
        <v>73</v>
      </c>
      <c r="K3836" s="76" t="s">
        <v>591</v>
      </c>
      <c r="L3836" s="11" t="s">
        <v>914</v>
      </c>
      <c r="M3836" s="53">
        <v>1</v>
      </c>
      <c r="N3836" s="94">
        <f t="shared" si="98"/>
        <v>9000</v>
      </c>
      <c r="O3836" s="94">
        <f t="shared" si="99"/>
        <v>9000</v>
      </c>
      <c r="P3836" s="40" t="s">
        <v>699</v>
      </c>
      <c r="Q3836" s="40" t="s">
        <v>766</v>
      </c>
      <c r="R3836" s="11" t="s">
        <v>3261</v>
      </c>
      <c r="S3836" s="40">
        <v>0</v>
      </c>
    </row>
    <row r="3837" spans="1:19" s="92" customFormat="1" ht="51">
      <c r="A3837" s="5">
        <v>3822</v>
      </c>
      <c r="B3837" s="15" t="s">
        <v>710</v>
      </c>
      <c r="C3837" s="40" t="s">
        <v>597</v>
      </c>
      <c r="D3837" s="40" t="s">
        <v>561</v>
      </c>
      <c r="E3837" s="76" t="s">
        <v>562</v>
      </c>
      <c r="F3837" s="76" t="s">
        <v>563</v>
      </c>
      <c r="G3837" s="76" t="s">
        <v>564</v>
      </c>
      <c r="H3837" s="76" t="s">
        <v>565</v>
      </c>
      <c r="I3837" s="76" t="s">
        <v>562</v>
      </c>
      <c r="J3837" s="76" t="s">
        <v>73</v>
      </c>
      <c r="K3837" s="76" t="s">
        <v>591</v>
      </c>
      <c r="L3837" s="11" t="s">
        <v>914</v>
      </c>
      <c r="M3837" s="53">
        <v>1</v>
      </c>
      <c r="N3837" s="94">
        <f t="shared" si="98"/>
        <v>9000</v>
      </c>
      <c r="O3837" s="94">
        <f t="shared" si="99"/>
        <v>9000</v>
      </c>
      <c r="P3837" s="40" t="s">
        <v>699</v>
      </c>
      <c r="Q3837" s="40" t="s">
        <v>766</v>
      </c>
      <c r="R3837" s="11" t="s">
        <v>3262</v>
      </c>
      <c r="S3837" s="40">
        <v>0</v>
      </c>
    </row>
    <row r="3838" spans="1:19" s="92" customFormat="1" ht="51">
      <c r="A3838" s="5">
        <v>3823</v>
      </c>
      <c r="B3838" s="15" t="s">
        <v>710</v>
      </c>
      <c r="C3838" s="40" t="s">
        <v>597</v>
      </c>
      <c r="D3838" s="40" t="s">
        <v>561</v>
      </c>
      <c r="E3838" s="76" t="s">
        <v>562</v>
      </c>
      <c r="F3838" s="76" t="s">
        <v>563</v>
      </c>
      <c r="G3838" s="76" t="s">
        <v>564</v>
      </c>
      <c r="H3838" s="76" t="s">
        <v>565</v>
      </c>
      <c r="I3838" s="76" t="s">
        <v>562</v>
      </c>
      <c r="J3838" s="76" t="s">
        <v>73</v>
      </c>
      <c r="K3838" s="76" t="s">
        <v>591</v>
      </c>
      <c r="L3838" s="11" t="s">
        <v>914</v>
      </c>
      <c r="M3838" s="53">
        <v>1</v>
      </c>
      <c r="N3838" s="94">
        <f t="shared" si="98"/>
        <v>9000</v>
      </c>
      <c r="O3838" s="94">
        <f t="shared" si="99"/>
        <v>9000</v>
      </c>
      <c r="P3838" s="40" t="s">
        <v>699</v>
      </c>
      <c r="Q3838" s="40" t="s">
        <v>766</v>
      </c>
      <c r="R3838" s="11" t="s">
        <v>3263</v>
      </c>
      <c r="S3838" s="40">
        <v>0</v>
      </c>
    </row>
    <row r="3839" spans="1:19" s="92" customFormat="1" ht="51">
      <c r="A3839" s="5">
        <v>3824</v>
      </c>
      <c r="B3839" s="15" t="s">
        <v>710</v>
      </c>
      <c r="C3839" s="42" t="s">
        <v>597</v>
      </c>
      <c r="D3839" s="40" t="s">
        <v>702</v>
      </c>
      <c r="E3839" s="76" t="s">
        <v>777</v>
      </c>
      <c r="F3839" s="76" t="s">
        <v>703</v>
      </c>
      <c r="G3839" s="76" t="s">
        <v>777</v>
      </c>
      <c r="H3839" s="76" t="s">
        <v>703</v>
      </c>
      <c r="I3839" s="76" t="s">
        <v>3247</v>
      </c>
      <c r="J3839" s="76" t="s">
        <v>3248</v>
      </c>
      <c r="K3839" s="76" t="s">
        <v>591</v>
      </c>
      <c r="L3839" s="11" t="s">
        <v>914</v>
      </c>
      <c r="M3839" s="93">
        <v>1</v>
      </c>
      <c r="N3839" s="94">
        <f>O3839/M3839</f>
        <v>0</v>
      </c>
      <c r="O3839" s="94">
        <f>321300-321300</f>
        <v>0</v>
      </c>
      <c r="P3839" s="40" t="s">
        <v>3139</v>
      </c>
      <c r="Q3839" s="40" t="s">
        <v>766</v>
      </c>
      <c r="R3839" s="84" t="s">
        <v>3475</v>
      </c>
      <c r="S3839" s="93">
        <v>0</v>
      </c>
    </row>
    <row r="3840" spans="1:19" s="92" customFormat="1" ht="51">
      <c r="A3840" s="5">
        <v>3825</v>
      </c>
      <c r="B3840" s="15" t="s">
        <v>710</v>
      </c>
      <c r="C3840" s="42" t="s">
        <v>597</v>
      </c>
      <c r="D3840" s="40" t="s">
        <v>548</v>
      </c>
      <c r="E3840" s="40" t="s">
        <v>549</v>
      </c>
      <c r="F3840" s="40" t="s">
        <v>550</v>
      </c>
      <c r="G3840" s="40" t="s">
        <v>549</v>
      </c>
      <c r="H3840" s="40" t="s">
        <v>550</v>
      </c>
      <c r="I3840" s="40" t="s">
        <v>1410</v>
      </c>
      <c r="J3840" s="40" t="s">
        <v>69</v>
      </c>
      <c r="K3840" s="40" t="s">
        <v>591</v>
      </c>
      <c r="L3840" s="11" t="s">
        <v>914</v>
      </c>
      <c r="M3840" s="40">
        <v>1</v>
      </c>
      <c r="N3840" s="94">
        <v>17850</v>
      </c>
      <c r="O3840" s="94">
        <v>17850</v>
      </c>
      <c r="P3840" s="40" t="s">
        <v>3139</v>
      </c>
      <c r="Q3840" s="40" t="s">
        <v>766</v>
      </c>
      <c r="R3840" s="84" t="s">
        <v>3474</v>
      </c>
      <c r="S3840" s="93">
        <v>0</v>
      </c>
    </row>
    <row r="3841" spans="1:19" s="92" customFormat="1" ht="76.5">
      <c r="A3841" s="5">
        <v>3826</v>
      </c>
      <c r="B3841" s="15" t="s">
        <v>710</v>
      </c>
      <c r="C3841" s="40" t="s">
        <v>597</v>
      </c>
      <c r="D3841" s="40" t="s">
        <v>556</v>
      </c>
      <c r="E3841" s="76" t="s">
        <v>557</v>
      </c>
      <c r="F3841" s="76" t="s">
        <v>558</v>
      </c>
      <c r="G3841" s="76" t="s">
        <v>559</v>
      </c>
      <c r="H3841" s="76" t="s">
        <v>560</v>
      </c>
      <c r="I3841" s="76" t="s">
        <v>1411</v>
      </c>
      <c r="J3841" s="76" t="s">
        <v>70</v>
      </c>
      <c r="K3841" s="40" t="s">
        <v>591</v>
      </c>
      <c r="L3841" s="11" t="s">
        <v>914</v>
      </c>
      <c r="M3841" s="93">
        <v>1</v>
      </c>
      <c r="N3841" s="94">
        <v>8400</v>
      </c>
      <c r="O3841" s="94">
        <v>8400</v>
      </c>
      <c r="P3841" s="40" t="s">
        <v>3139</v>
      </c>
      <c r="Q3841" s="40" t="s">
        <v>766</v>
      </c>
      <c r="R3841" s="84" t="s">
        <v>3474</v>
      </c>
      <c r="S3841" s="93">
        <v>0</v>
      </c>
    </row>
    <row r="3842" spans="1:19" s="92" customFormat="1" ht="63.75">
      <c r="A3842" s="5">
        <v>3827</v>
      </c>
      <c r="B3842" s="15" t="s">
        <v>710</v>
      </c>
      <c r="C3842" s="40" t="s">
        <v>597</v>
      </c>
      <c r="D3842" s="40" t="s">
        <v>551</v>
      </c>
      <c r="E3842" s="76" t="s">
        <v>552</v>
      </c>
      <c r="F3842" s="76" t="s">
        <v>553</v>
      </c>
      <c r="G3842" s="76" t="s">
        <v>554</v>
      </c>
      <c r="H3842" s="76" t="s">
        <v>555</v>
      </c>
      <c r="I3842" s="76" t="s">
        <v>1412</v>
      </c>
      <c r="J3842" s="76" t="s">
        <v>71</v>
      </c>
      <c r="K3842" s="40" t="s">
        <v>591</v>
      </c>
      <c r="L3842" s="11" t="s">
        <v>914</v>
      </c>
      <c r="M3842" s="93">
        <v>1</v>
      </c>
      <c r="N3842" s="94">
        <v>17850</v>
      </c>
      <c r="O3842" s="94">
        <f>N3842</f>
        <v>17850</v>
      </c>
      <c r="P3842" s="40" t="s">
        <v>3139</v>
      </c>
      <c r="Q3842" s="40" t="s">
        <v>766</v>
      </c>
      <c r="R3842" s="84" t="s">
        <v>3474</v>
      </c>
      <c r="S3842" s="93">
        <v>0</v>
      </c>
    </row>
    <row r="3843" spans="1:19" s="92" customFormat="1" ht="76.5">
      <c r="A3843" s="5">
        <v>3828</v>
      </c>
      <c r="B3843" s="15" t="s">
        <v>710</v>
      </c>
      <c r="C3843" s="40" t="s">
        <v>597</v>
      </c>
      <c r="D3843" s="40" t="s">
        <v>868</v>
      </c>
      <c r="E3843" s="76" t="s">
        <v>1874</v>
      </c>
      <c r="F3843" s="76" t="s">
        <v>869</v>
      </c>
      <c r="G3843" s="76" t="s">
        <v>1875</v>
      </c>
      <c r="H3843" s="76" t="s">
        <v>870</v>
      </c>
      <c r="I3843" s="76" t="s">
        <v>1873</v>
      </c>
      <c r="J3843" s="76" t="s">
        <v>72</v>
      </c>
      <c r="K3843" s="40" t="s">
        <v>591</v>
      </c>
      <c r="L3843" s="11" t="s">
        <v>914</v>
      </c>
      <c r="M3843" s="97">
        <v>1</v>
      </c>
      <c r="N3843" s="94">
        <v>8400</v>
      </c>
      <c r="O3843" s="94">
        <f>N3843*M3843</f>
        <v>8400</v>
      </c>
      <c r="P3843" s="40" t="s">
        <v>3139</v>
      </c>
      <c r="Q3843" s="40" t="s">
        <v>766</v>
      </c>
      <c r="R3843" s="84" t="s">
        <v>3474</v>
      </c>
      <c r="S3843" s="93">
        <v>0</v>
      </c>
    </row>
    <row r="3844" spans="1:19" s="92" customFormat="1" ht="51">
      <c r="A3844" s="5">
        <v>3829</v>
      </c>
      <c r="B3844" s="15" t="s">
        <v>710</v>
      </c>
      <c r="C3844" s="42" t="s">
        <v>597</v>
      </c>
      <c r="D3844" s="40" t="s">
        <v>548</v>
      </c>
      <c r="E3844" s="40" t="s">
        <v>549</v>
      </c>
      <c r="F3844" s="40" t="s">
        <v>550</v>
      </c>
      <c r="G3844" s="40" t="s">
        <v>549</v>
      </c>
      <c r="H3844" s="40" t="s">
        <v>550</v>
      </c>
      <c r="I3844" s="40" t="s">
        <v>1410</v>
      </c>
      <c r="J3844" s="40" t="s">
        <v>69</v>
      </c>
      <c r="K3844" s="40" t="s">
        <v>591</v>
      </c>
      <c r="L3844" s="11" t="s">
        <v>914</v>
      </c>
      <c r="M3844" s="40">
        <v>1</v>
      </c>
      <c r="N3844" s="94">
        <v>17850</v>
      </c>
      <c r="O3844" s="94">
        <v>17850</v>
      </c>
      <c r="P3844" s="40" t="s">
        <v>3139</v>
      </c>
      <c r="Q3844" s="40" t="s">
        <v>766</v>
      </c>
      <c r="R3844" s="84" t="s">
        <v>3473</v>
      </c>
      <c r="S3844" s="93">
        <v>0</v>
      </c>
    </row>
    <row r="3845" spans="1:19" s="92" customFormat="1" ht="76.5">
      <c r="A3845" s="5">
        <v>3830</v>
      </c>
      <c r="B3845" s="15" t="s">
        <v>710</v>
      </c>
      <c r="C3845" s="40" t="s">
        <v>597</v>
      </c>
      <c r="D3845" s="40" t="s">
        <v>556</v>
      </c>
      <c r="E3845" s="76" t="s">
        <v>557</v>
      </c>
      <c r="F3845" s="76" t="s">
        <v>558</v>
      </c>
      <c r="G3845" s="76" t="s">
        <v>559</v>
      </c>
      <c r="H3845" s="76" t="s">
        <v>560</v>
      </c>
      <c r="I3845" s="76" t="s">
        <v>1411</v>
      </c>
      <c r="J3845" s="76" t="s">
        <v>70</v>
      </c>
      <c r="K3845" s="40" t="s">
        <v>591</v>
      </c>
      <c r="L3845" s="11" t="s">
        <v>914</v>
      </c>
      <c r="M3845" s="93">
        <v>1</v>
      </c>
      <c r="N3845" s="94">
        <v>8400</v>
      </c>
      <c r="O3845" s="94">
        <v>8400</v>
      </c>
      <c r="P3845" s="40" t="s">
        <v>3139</v>
      </c>
      <c r="Q3845" s="40" t="s">
        <v>766</v>
      </c>
      <c r="R3845" s="84" t="s">
        <v>3473</v>
      </c>
      <c r="S3845" s="93">
        <v>0</v>
      </c>
    </row>
    <row r="3846" spans="1:19" s="92" customFormat="1" ht="63.75">
      <c r="A3846" s="5">
        <v>3831</v>
      </c>
      <c r="B3846" s="15" t="s">
        <v>710</v>
      </c>
      <c r="C3846" s="40" t="s">
        <v>597</v>
      </c>
      <c r="D3846" s="40" t="s">
        <v>551</v>
      </c>
      <c r="E3846" s="76" t="s">
        <v>552</v>
      </c>
      <c r="F3846" s="76" t="s">
        <v>553</v>
      </c>
      <c r="G3846" s="76" t="s">
        <v>554</v>
      </c>
      <c r="H3846" s="76" t="s">
        <v>555</v>
      </c>
      <c r="I3846" s="76" t="s">
        <v>1412</v>
      </c>
      <c r="J3846" s="76" t="s">
        <v>71</v>
      </c>
      <c r="K3846" s="40" t="s">
        <v>591</v>
      </c>
      <c r="L3846" s="11" t="s">
        <v>914</v>
      </c>
      <c r="M3846" s="93">
        <v>1</v>
      </c>
      <c r="N3846" s="94">
        <v>17850</v>
      </c>
      <c r="O3846" s="94">
        <f>N3846</f>
        <v>17850</v>
      </c>
      <c r="P3846" s="40" t="s">
        <v>3139</v>
      </c>
      <c r="Q3846" s="40" t="s">
        <v>766</v>
      </c>
      <c r="R3846" s="84" t="s">
        <v>3473</v>
      </c>
      <c r="S3846" s="93">
        <v>0</v>
      </c>
    </row>
    <row r="3847" spans="1:19" s="92" customFormat="1" ht="76.5">
      <c r="A3847" s="5">
        <v>3832</v>
      </c>
      <c r="B3847" s="15" t="s">
        <v>710</v>
      </c>
      <c r="C3847" s="40" t="s">
        <v>597</v>
      </c>
      <c r="D3847" s="40" t="s">
        <v>868</v>
      </c>
      <c r="E3847" s="76" t="s">
        <v>1874</v>
      </c>
      <c r="F3847" s="76" t="s">
        <v>869</v>
      </c>
      <c r="G3847" s="76" t="s">
        <v>1875</v>
      </c>
      <c r="H3847" s="76" t="s">
        <v>870</v>
      </c>
      <c r="I3847" s="76" t="s">
        <v>1873</v>
      </c>
      <c r="J3847" s="76" t="s">
        <v>72</v>
      </c>
      <c r="K3847" s="40" t="s">
        <v>591</v>
      </c>
      <c r="L3847" s="11" t="s">
        <v>914</v>
      </c>
      <c r="M3847" s="97">
        <v>1</v>
      </c>
      <c r="N3847" s="94">
        <v>8400</v>
      </c>
      <c r="O3847" s="94">
        <f>N3847*M3847</f>
        <v>8400</v>
      </c>
      <c r="P3847" s="40" t="s">
        <v>3139</v>
      </c>
      <c r="Q3847" s="40" t="s">
        <v>766</v>
      </c>
      <c r="R3847" s="84" t="s">
        <v>3473</v>
      </c>
      <c r="S3847" s="93">
        <v>0</v>
      </c>
    </row>
    <row r="3848" spans="1:19" s="92" customFormat="1" ht="51">
      <c r="A3848" s="5">
        <v>3833</v>
      </c>
      <c r="B3848" s="15" t="s">
        <v>710</v>
      </c>
      <c r="C3848" s="42" t="s">
        <v>597</v>
      </c>
      <c r="D3848" s="40" t="s">
        <v>548</v>
      </c>
      <c r="E3848" s="40" t="s">
        <v>549</v>
      </c>
      <c r="F3848" s="40" t="s">
        <v>550</v>
      </c>
      <c r="G3848" s="40" t="s">
        <v>549</v>
      </c>
      <c r="H3848" s="40" t="s">
        <v>550</v>
      </c>
      <c r="I3848" s="40" t="s">
        <v>1410</v>
      </c>
      <c r="J3848" s="40" t="s">
        <v>69</v>
      </c>
      <c r="K3848" s="40" t="s">
        <v>591</v>
      </c>
      <c r="L3848" s="11" t="s">
        <v>914</v>
      </c>
      <c r="M3848" s="40">
        <v>1</v>
      </c>
      <c r="N3848" s="94">
        <v>17850</v>
      </c>
      <c r="O3848" s="94">
        <v>17850</v>
      </c>
      <c r="P3848" s="40" t="s">
        <v>3139</v>
      </c>
      <c r="Q3848" s="40" t="s">
        <v>766</v>
      </c>
      <c r="R3848" s="84" t="s">
        <v>3472</v>
      </c>
      <c r="S3848" s="93">
        <v>0</v>
      </c>
    </row>
    <row r="3849" spans="1:19" s="92" customFormat="1" ht="76.5">
      <c r="A3849" s="5">
        <v>3834</v>
      </c>
      <c r="B3849" s="15" t="s">
        <v>710</v>
      </c>
      <c r="C3849" s="31" t="s">
        <v>3117</v>
      </c>
      <c r="D3849" s="40" t="s">
        <v>556</v>
      </c>
      <c r="E3849" s="76" t="s">
        <v>557</v>
      </c>
      <c r="F3849" s="76" t="s">
        <v>558</v>
      </c>
      <c r="G3849" s="76" t="s">
        <v>559</v>
      </c>
      <c r="H3849" s="76" t="s">
        <v>560</v>
      </c>
      <c r="I3849" s="76" t="s">
        <v>1411</v>
      </c>
      <c r="J3849" s="76" t="s">
        <v>70</v>
      </c>
      <c r="K3849" s="40" t="s">
        <v>591</v>
      </c>
      <c r="L3849" s="11" t="s">
        <v>914</v>
      </c>
      <c r="M3849" s="93">
        <v>1</v>
      </c>
      <c r="N3849" s="94">
        <v>8400</v>
      </c>
      <c r="O3849" s="94">
        <v>8400</v>
      </c>
      <c r="P3849" s="40" t="s">
        <v>3139</v>
      </c>
      <c r="Q3849" s="40" t="s">
        <v>766</v>
      </c>
      <c r="R3849" s="84" t="s">
        <v>3472</v>
      </c>
      <c r="S3849" s="93">
        <v>0</v>
      </c>
    </row>
    <row r="3850" spans="1:19" s="92" customFormat="1" ht="63.75">
      <c r="A3850" s="5">
        <v>3835</v>
      </c>
      <c r="B3850" s="15" t="s">
        <v>710</v>
      </c>
      <c r="C3850" s="42" t="s">
        <v>597</v>
      </c>
      <c r="D3850" s="40" t="s">
        <v>551</v>
      </c>
      <c r="E3850" s="76" t="s">
        <v>552</v>
      </c>
      <c r="F3850" s="76" t="s">
        <v>553</v>
      </c>
      <c r="G3850" s="76" t="s">
        <v>554</v>
      </c>
      <c r="H3850" s="76" t="s">
        <v>555</v>
      </c>
      <c r="I3850" s="76" t="s">
        <v>1412</v>
      </c>
      <c r="J3850" s="76" t="s">
        <v>71</v>
      </c>
      <c r="K3850" s="40" t="s">
        <v>591</v>
      </c>
      <c r="L3850" s="11" t="s">
        <v>914</v>
      </c>
      <c r="M3850" s="93">
        <v>1</v>
      </c>
      <c r="N3850" s="94">
        <v>17850</v>
      </c>
      <c r="O3850" s="94">
        <f>N3850</f>
        <v>17850</v>
      </c>
      <c r="P3850" s="40" t="s">
        <v>3139</v>
      </c>
      <c r="Q3850" s="40" t="s">
        <v>766</v>
      </c>
      <c r="R3850" s="84" t="s">
        <v>3472</v>
      </c>
      <c r="S3850" s="93">
        <v>0</v>
      </c>
    </row>
    <row r="3851" spans="1:19" s="92" customFormat="1" ht="76.5">
      <c r="A3851" s="5">
        <v>3836</v>
      </c>
      <c r="B3851" s="15" t="s">
        <v>710</v>
      </c>
      <c r="C3851" s="42" t="s">
        <v>597</v>
      </c>
      <c r="D3851" s="40" t="s">
        <v>868</v>
      </c>
      <c r="E3851" s="76" t="s">
        <v>1874</v>
      </c>
      <c r="F3851" s="76" t="s">
        <v>869</v>
      </c>
      <c r="G3851" s="76" t="s">
        <v>1875</v>
      </c>
      <c r="H3851" s="76" t="s">
        <v>870</v>
      </c>
      <c r="I3851" s="76" t="s">
        <v>1873</v>
      </c>
      <c r="J3851" s="76" t="s">
        <v>72</v>
      </c>
      <c r="K3851" s="40" t="s">
        <v>591</v>
      </c>
      <c r="L3851" s="11" t="s">
        <v>914</v>
      </c>
      <c r="M3851" s="97">
        <v>1</v>
      </c>
      <c r="N3851" s="94">
        <v>8400</v>
      </c>
      <c r="O3851" s="94">
        <f>N3851*M3851</f>
        <v>8400</v>
      </c>
      <c r="P3851" s="40" t="s">
        <v>3139</v>
      </c>
      <c r="Q3851" s="40" t="s">
        <v>766</v>
      </c>
      <c r="R3851" s="84" t="s">
        <v>3472</v>
      </c>
      <c r="S3851" s="93">
        <v>0</v>
      </c>
    </row>
    <row r="3852" spans="1:19" s="92" customFormat="1" ht="51">
      <c r="A3852" s="5">
        <v>3837</v>
      </c>
      <c r="B3852" s="15" t="s">
        <v>710</v>
      </c>
      <c r="C3852" s="42" t="s">
        <v>597</v>
      </c>
      <c r="D3852" s="40" t="s">
        <v>548</v>
      </c>
      <c r="E3852" s="40" t="s">
        <v>549</v>
      </c>
      <c r="F3852" s="40" t="s">
        <v>550</v>
      </c>
      <c r="G3852" s="40" t="s">
        <v>549</v>
      </c>
      <c r="H3852" s="40" t="s">
        <v>550</v>
      </c>
      <c r="I3852" s="40" t="s">
        <v>1410</v>
      </c>
      <c r="J3852" s="40" t="s">
        <v>69</v>
      </c>
      <c r="K3852" s="40" t="s">
        <v>591</v>
      </c>
      <c r="L3852" s="11" t="s">
        <v>914</v>
      </c>
      <c r="M3852" s="40">
        <v>1</v>
      </c>
      <c r="N3852" s="94">
        <v>17850</v>
      </c>
      <c r="O3852" s="94">
        <v>17850</v>
      </c>
      <c r="P3852" s="40" t="s">
        <v>3139</v>
      </c>
      <c r="Q3852" s="40" t="s">
        <v>766</v>
      </c>
      <c r="R3852" s="84" t="s">
        <v>3471</v>
      </c>
      <c r="S3852" s="93">
        <v>0</v>
      </c>
    </row>
    <row r="3853" spans="1:19" s="92" customFormat="1" ht="76.5">
      <c r="A3853" s="5">
        <v>3838</v>
      </c>
      <c r="B3853" s="15" t="s">
        <v>710</v>
      </c>
      <c r="C3853" s="31" t="s">
        <v>3117</v>
      </c>
      <c r="D3853" s="40" t="s">
        <v>556</v>
      </c>
      <c r="E3853" s="76" t="s">
        <v>557</v>
      </c>
      <c r="F3853" s="76" t="s">
        <v>558</v>
      </c>
      <c r="G3853" s="76" t="s">
        <v>559</v>
      </c>
      <c r="H3853" s="76" t="s">
        <v>560</v>
      </c>
      <c r="I3853" s="76" t="s">
        <v>1411</v>
      </c>
      <c r="J3853" s="76" t="s">
        <v>70</v>
      </c>
      <c r="K3853" s="40" t="s">
        <v>591</v>
      </c>
      <c r="L3853" s="11" t="s">
        <v>914</v>
      </c>
      <c r="M3853" s="93">
        <v>1</v>
      </c>
      <c r="N3853" s="94">
        <v>8400</v>
      </c>
      <c r="O3853" s="94">
        <v>8400</v>
      </c>
      <c r="P3853" s="40" t="s">
        <v>3139</v>
      </c>
      <c r="Q3853" s="40" t="s">
        <v>766</v>
      </c>
      <c r="R3853" s="84" t="s">
        <v>3471</v>
      </c>
      <c r="S3853" s="93">
        <v>0</v>
      </c>
    </row>
    <row r="3854" spans="1:19" s="92" customFormat="1" ht="63.75">
      <c r="A3854" s="5">
        <v>3839</v>
      </c>
      <c r="B3854" s="15" t="s">
        <v>710</v>
      </c>
      <c r="C3854" s="42" t="s">
        <v>597</v>
      </c>
      <c r="D3854" s="40" t="s">
        <v>551</v>
      </c>
      <c r="E3854" s="76" t="s">
        <v>552</v>
      </c>
      <c r="F3854" s="76" t="s">
        <v>553</v>
      </c>
      <c r="G3854" s="76" t="s">
        <v>554</v>
      </c>
      <c r="H3854" s="76" t="s">
        <v>555</v>
      </c>
      <c r="I3854" s="76" t="s">
        <v>1412</v>
      </c>
      <c r="J3854" s="76" t="s">
        <v>71</v>
      </c>
      <c r="K3854" s="40" t="s">
        <v>591</v>
      </c>
      <c r="L3854" s="11" t="s">
        <v>914</v>
      </c>
      <c r="M3854" s="93">
        <v>1</v>
      </c>
      <c r="N3854" s="94">
        <v>17850</v>
      </c>
      <c r="O3854" s="94">
        <f>N3854</f>
        <v>17850</v>
      </c>
      <c r="P3854" s="40" t="s">
        <v>3139</v>
      </c>
      <c r="Q3854" s="40" t="s">
        <v>766</v>
      </c>
      <c r="R3854" s="84" t="s">
        <v>3471</v>
      </c>
      <c r="S3854" s="93">
        <v>0</v>
      </c>
    </row>
    <row r="3855" spans="1:19" s="92" customFormat="1" ht="76.5">
      <c r="A3855" s="5">
        <v>3840</v>
      </c>
      <c r="B3855" s="15" t="s">
        <v>710</v>
      </c>
      <c r="C3855" s="42" t="s">
        <v>597</v>
      </c>
      <c r="D3855" s="40" t="s">
        <v>868</v>
      </c>
      <c r="E3855" s="76" t="s">
        <v>1874</v>
      </c>
      <c r="F3855" s="76" t="s">
        <v>869</v>
      </c>
      <c r="G3855" s="76" t="s">
        <v>1875</v>
      </c>
      <c r="H3855" s="76" t="s">
        <v>870</v>
      </c>
      <c r="I3855" s="76" t="s">
        <v>1873</v>
      </c>
      <c r="J3855" s="76" t="s">
        <v>72</v>
      </c>
      <c r="K3855" s="40" t="s">
        <v>591</v>
      </c>
      <c r="L3855" s="11" t="s">
        <v>914</v>
      </c>
      <c r="M3855" s="97">
        <v>1</v>
      </c>
      <c r="N3855" s="94">
        <v>8400</v>
      </c>
      <c r="O3855" s="94">
        <f>N3855*M3855</f>
        <v>8400</v>
      </c>
      <c r="P3855" s="40" t="s">
        <v>3139</v>
      </c>
      <c r="Q3855" s="40" t="s">
        <v>766</v>
      </c>
      <c r="R3855" s="84" t="s">
        <v>3471</v>
      </c>
      <c r="S3855" s="93">
        <v>0</v>
      </c>
    </row>
    <row r="3856" spans="1:19" s="92" customFormat="1" ht="51">
      <c r="A3856" s="5">
        <v>3841</v>
      </c>
      <c r="B3856" s="15" t="s">
        <v>710</v>
      </c>
      <c r="C3856" s="42" t="s">
        <v>597</v>
      </c>
      <c r="D3856" s="40" t="s">
        <v>548</v>
      </c>
      <c r="E3856" s="40" t="s">
        <v>549</v>
      </c>
      <c r="F3856" s="40" t="s">
        <v>550</v>
      </c>
      <c r="G3856" s="40" t="s">
        <v>549</v>
      </c>
      <c r="H3856" s="40" t="s">
        <v>550</v>
      </c>
      <c r="I3856" s="40" t="s">
        <v>1410</v>
      </c>
      <c r="J3856" s="40" t="s">
        <v>69</v>
      </c>
      <c r="K3856" s="40" t="s">
        <v>591</v>
      </c>
      <c r="L3856" s="11" t="s">
        <v>914</v>
      </c>
      <c r="M3856" s="40">
        <v>1</v>
      </c>
      <c r="N3856" s="94">
        <v>17850</v>
      </c>
      <c r="O3856" s="94">
        <v>17850</v>
      </c>
      <c r="P3856" s="40" t="s">
        <v>3139</v>
      </c>
      <c r="Q3856" s="40" t="s">
        <v>766</v>
      </c>
      <c r="R3856" s="84" t="s">
        <v>3471</v>
      </c>
      <c r="S3856" s="93">
        <v>0</v>
      </c>
    </row>
    <row r="3857" spans="1:19" s="92" customFormat="1" ht="76.5">
      <c r="A3857" s="5">
        <v>3842</v>
      </c>
      <c r="B3857" s="15" t="s">
        <v>710</v>
      </c>
      <c r="C3857" s="31" t="s">
        <v>3117</v>
      </c>
      <c r="D3857" s="40" t="s">
        <v>556</v>
      </c>
      <c r="E3857" s="76" t="s">
        <v>557</v>
      </c>
      <c r="F3857" s="76" t="s">
        <v>558</v>
      </c>
      <c r="G3857" s="76" t="s">
        <v>559</v>
      </c>
      <c r="H3857" s="76" t="s">
        <v>560</v>
      </c>
      <c r="I3857" s="76" t="s">
        <v>1411</v>
      </c>
      <c r="J3857" s="76" t="s">
        <v>70</v>
      </c>
      <c r="K3857" s="40" t="s">
        <v>591</v>
      </c>
      <c r="L3857" s="11" t="s">
        <v>914</v>
      </c>
      <c r="M3857" s="93">
        <v>1</v>
      </c>
      <c r="N3857" s="94">
        <v>8400</v>
      </c>
      <c r="O3857" s="94">
        <v>8400</v>
      </c>
      <c r="P3857" s="40" t="s">
        <v>3139</v>
      </c>
      <c r="Q3857" s="40" t="s">
        <v>766</v>
      </c>
      <c r="R3857" s="84" t="s">
        <v>3471</v>
      </c>
      <c r="S3857" s="93">
        <v>0</v>
      </c>
    </row>
    <row r="3858" spans="1:19" s="92" customFormat="1" ht="63.75">
      <c r="A3858" s="5">
        <v>3843</v>
      </c>
      <c r="B3858" s="15" t="s">
        <v>710</v>
      </c>
      <c r="C3858" s="42" t="s">
        <v>597</v>
      </c>
      <c r="D3858" s="40" t="s">
        <v>551</v>
      </c>
      <c r="E3858" s="76" t="s">
        <v>552</v>
      </c>
      <c r="F3858" s="76" t="s">
        <v>553</v>
      </c>
      <c r="G3858" s="76" t="s">
        <v>554</v>
      </c>
      <c r="H3858" s="76" t="s">
        <v>555</v>
      </c>
      <c r="I3858" s="76" t="s">
        <v>1412</v>
      </c>
      <c r="J3858" s="76" t="s">
        <v>71</v>
      </c>
      <c r="K3858" s="40" t="s">
        <v>591</v>
      </c>
      <c r="L3858" s="11" t="s">
        <v>914</v>
      </c>
      <c r="M3858" s="93">
        <v>1</v>
      </c>
      <c r="N3858" s="94">
        <v>17850</v>
      </c>
      <c r="O3858" s="94">
        <f>N3858</f>
        <v>17850</v>
      </c>
      <c r="P3858" s="40" t="s">
        <v>3139</v>
      </c>
      <c r="Q3858" s="40" t="s">
        <v>766</v>
      </c>
      <c r="R3858" s="84" t="s">
        <v>3471</v>
      </c>
      <c r="S3858" s="93">
        <v>0</v>
      </c>
    </row>
    <row r="3859" spans="1:19" s="92" customFormat="1" ht="76.5">
      <c r="A3859" s="5">
        <v>3844</v>
      </c>
      <c r="B3859" s="15" t="s">
        <v>710</v>
      </c>
      <c r="C3859" s="42" t="s">
        <v>597</v>
      </c>
      <c r="D3859" s="40" t="s">
        <v>868</v>
      </c>
      <c r="E3859" s="76" t="s">
        <v>1874</v>
      </c>
      <c r="F3859" s="76" t="s">
        <v>869</v>
      </c>
      <c r="G3859" s="76" t="s">
        <v>1875</v>
      </c>
      <c r="H3859" s="76" t="s">
        <v>870</v>
      </c>
      <c r="I3859" s="76" t="s">
        <v>1873</v>
      </c>
      <c r="J3859" s="76" t="s">
        <v>72</v>
      </c>
      <c r="K3859" s="40" t="s">
        <v>591</v>
      </c>
      <c r="L3859" s="11" t="s">
        <v>914</v>
      </c>
      <c r="M3859" s="97">
        <v>1</v>
      </c>
      <c r="N3859" s="94">
        <v>8400</v>
      </c>
      <c r="O3859" s="94">
        <f>N3859*M3859</f>
        <v>8400</v>
      </c>
      <c r="P3859" s="40" t="s">
        <v>3139</v>
      </c>
      <c r="Q3859" s="40" t="s">
        <v>766</v>
      </c>
      <c r="R3859" s="84" t="s">
        <v>3471</v>
      </c>
      <c r="S3859" s="93">
        <v>0</v>
      </c>
    </row>
    <row r="3860" spans="1:19" s="92" customFormat="1" ht="51">
      <c r="A3860" s="5">
        <v>3845</v>
      </c>
      <c r="B3860" s="15" t="s">
        <v>710</v>
      </c>
      <c r="C3860" s="42" t="s">
        <v>597</v>
      </c>
      <c r="D3860" s="40" t="s">
        <v>548</v>
      </c>
      <c r="E3860" s="40" t="s">
        <v>549</v>
      </c>
      <c r="F3860" s="40" t="s">
        <v>550</v>
      </c>
      <c r="G3860" s="40" t="s">
        <v>549</v>
      </c>
      <c r="H3860" s="40" t="s">
        <v>550</v>
      </c>
      <c r="I3860" s="40" t="s">
        <v>1410</v>
      </c>
      <c r="J3860" s="40" t="s">
        <v>69</v>
      </c>
      <c r="K3860" s="40" t="s">
        <v>591</v>
      </c>
      <c r="L3860" s="11" t="s">
        <v>914</v>
      </c>
      <c r="M3860" s="40">
        <v>1</v>
      </c>
      <c r="N3860" s="94">
        <v>17850</v>
      </c>
      <c r="O3860" s="94">
        <v>17850</v>
      </c>
      <c r="P3860" s="40" t="s">
        <v>3139</v>
      </c>
      <c r="Q3860" s="40" t="s">
        <v>766</v>
      </c>
      <c r="R3860" s="84" t="s">
        <v>3470</v>
      </c>
      <c r="S3860" s="93">
        <v>0</v>
      </c>
    </row>
    <row r="3861" spans="1:19" s="92" customFormat="1" ht="76.5">
      <c r="A3861" s="5">
        <v>3846</v>
      </c>
      <c r="B3861" s="15" t="s">
        <v>710</v>
      </c>
      <c r="C3861" s="31" t="s">
        <v>3117</v>
      </c>
      <c r="D3861" s="40" t="s">
        <v>556</v>
      </c>
      <c r="E3861" s="76" t="s">
        <v>557</v>
      </c>
      <c r="F3861" s="76" t="s">
        <v>558</v>
      </c>
      <c r="G3861" s="76" t="s">
        <v>559</v>
      </c>
      <c r="H3861" s="76" t="s">
        <v>560</v>
      </c>
      <c r="I3861" s="76" t="s">
        <v>1411</v>
      </c>
      <c r="J3861" s="76" t="s">
        <v>70</v>
      </c>
      <c r="K3861" s="40" t="s">
        <v>591</v>
      </c>
      <c r="L3861" s="11" t="s">
        <v>914</v>
      </c>
      <c r="M3861" s="93">
        <v>1</v>
      </c>
      <c r="N3861" s="94">
        <v>8400</v>
      </c>
      <c r="O3861" s="94">
        <v>8400</v>
      </c>
      <c r="P3861" s="40" t="s">
        <v>3139</v>
      </c>
      <c r="Q3861" s="40" t="s">
        <v>766</v>
      </c>
      <c r="R3861" s="84" t="s">
        <v>3470</v>
      </c>
      <c r="S3861" s="93">
        <v>0</v>
      </c>
    </row>
    <row r="3862" spans="1:19" s="92" customFormat="1" ht="63.75">
      <c r="A3862" s="5">
        <v>3847</v>
      </c>
      <c r="B3862" s="15" t="s">
        <v>710</v>
      </c>
      <c r="C3862" s="42" t="s">
        <v>597</v>
      </c>
      <c r="D3862" s="40" t="s">
        <v>551</v>
      </c>
      <c r="E3862" s="76" t="s">
        <v>552</v>
      </c>
      <c r="F3862" s="76" t="s">
        <v>553</v>
      </c>
      <c r="G3862" s="76" t="s">
        <v>554</v>
      </c>
      <c r="H3862" s="76" t="s">
        <v>555</v>
      </c>
      <c r="I3862" s="76" t="s">
        <v>1412</v>
      </c>
      <c r="J3862" s="76" t="s">
        <v>71</v>
      </c>
      <c r="K3862" s="40" t="s">
        <v>591</v>
      </c>
      <c r="L3862" s="11" t="s">
        <v>914</v>
      </c>
      <c r="M3862" s="93">
        <v>1</v>
      </c>
      <c r="N3862" s="94">
        <v>17850</v>
      </c>
      <c r="O3862" s="94">
        <f>N3862</f>
        <v>17850</v>
      </c>
      <c r="P3862" s="40" t="s">
        <v>3139</v>
      </c>
      <c r="Q3862" s="40" t="s">
        <v>766</v>
      </c>
      <c r="R3862" s="84" t="s">
        <v>3470</v>
      </c>
      <c r="S3862" s="93">
        <v>0</v>
      </c>
    </row>
    <row r="3863" spans="1:19" s="92" customFormat="1" ht="76.5">
      <c r="A3863" s="5">
        <v>3848</v>
      </c>
      <c r="B3863" s="15" t="s">
        <v>710</v>
      </c>
      <c r="C3863" s="42" t="s">
        <v>597</v>
      </c>
      <c r="D3863" s="40" t="s">
        <v>868</v>
      </c>
      <c r="E3863" s="76" t="s">
        <v>1874</v>
      </c>
      <c r="F3863" s="76" t="s">
        <v>869</v>
      </c>
      <c r="G3863" s="76" t="s">
        <v>1875</v>
      </c>
      <c r="H3863" s="76" t="s">
        <v>870</v>
      </c>
      <c r="I3863" s="76" t="s">
        <v>1873</v>
      </c>
      <c r="J3863" s="76" t="s">
        <v>72</v>
      </c>
      <c r="K3863" s="40" t="s">
        <v>591</v>
      </c>
      <c r="L3863" s="11" t="s">
        <v>914</v>
      </c>
      <c r="M3863" s="97">
        <v>1</v>
      </c>
      <c r="N3863" s="94">
        <v>8400</v>
      </c>
      <c r="O3863" s="94">
        <f>N3863*M3863</f>
        <v>8400</v>
      </c>
      <c r="P3863" s="40" t="s">
        <v>3139</v>
      </c>
      <c r="Q3863" s="40" t="s">
        <v>766</v>
      </c>
      <c r="R3863" s="84" t="s">
        <v>3470</v>
      </c>
      <c r="S3863" s="93">
        <v>0</v>
      </c>
    </row>
    <row r="3864" spans="1:19" s="92" customFormat="1" ht="51">
      <c r="A3864" s="5">
        <v>3849</v>
      </c>
      <c r="B3864" s="15" t="s">
        <v>710</v>
      </c>
      <c r="C3864" s="42" t="s">
        <v>597</v>
      </c>
      <c r="D3864" s="40" t="s">
        <v>548</v>
      </c>
      <c r="E3864" s="40" t="s">
        <v>549</v>
      </c>
      <c r="F3864" s="40" t="s">
        <v>550</v>
      </c>
      <c r="G3864" s="40" t="s">
        <v>549</v>
      </c>
      <c r="H3864" s="40" t="s">
        <v>550</v>
      </c>
      <c r="I3864" s="40" t="s">
        <v>1410</v>
      </c>
      <c r="J3864" s="40" t="s">
        <v>69</v>
      </c>
      <c r="K3864" s="40" t="s">
        <v>591</v>
      </c>
      <c r="L3864" s="11" t="s">
        <v>914</v>
      </c>
      <c r="M3864" s="40">
        <v>1</v>
      </c>
      <c r="N3864" s="94">
        <v>17850</v>
      </c>
      <c r="O3864" s="94">
        <v>17850</v>
      </c>
      <c r="P3864" s="40" t="s">
        <v>3139</v>
      </c>
      <c r="Q3864" s="40" t="s">
        <v>766</v>
      </c>
      <c r="R3864" s="84" t="s">
        <v>3469</v>
      </c>
      <c r="S3864" s="93">
        <v>0</v>
      </c>
    </row>
    <row r="3865" spans="1:19" s="92" customFormat="1" ht="76.5">
      <c r="A3865" s="5">
        <v>3850</v>
      </c>
      <c r="B3865" s="15" t="s">
        <v>710</v>
      </c>
      <c r="C3865" s="31" t="s">
        <v>3117</v>
      </c>
      <c r="D3865" s="40" t="s">
        <v>556</v>
      </c>
      <c r="E3865" s="76" t="s">
        <v>557</v>
      </c>
      <c r="F3865" s="76" t="s">
        <v>558</v>
      </c>
      <c r="G3865" s="76" t="s">
        <v>559</v>
      </c>
      <c r="H3865" s="76" t="s">
        <v>560</v>
      </c>
      <c r="I3865" s="76" t="s">
        <v>1411</v>
      </c>
      <c r="J3865" s="76" t="s">
        <v>70</v>
      </c>
      <c r="K3865" s="40" t="s">
        <v>591</v>
      </c>
      <c r="L3865" s="11" t="s">
        <v>914</v>
      </c>
      <c r="M3865" s="93">
        <v>1</v>
      </c>
      <c r="N3865" s="94">
        <v>8400</v>
      </c>
      <c r="O3865" s="94">
        <v>8400</v>
      </c>
      <c r="P3865" s="40" t="s">
        <v>3139</v>
      </c>
      <c r="Q3865" s="40" t="s">
        <v>766</v>
      </c>
      <c r="R3865" s="84" t="s">
        <v>3469</v>
      </c>
      <c r="S3865" s="93">
        <v>0</v>
      </c>
    </row>
    <row r="3866" spans="1:19" s="92" customFormat="1" ht="63.75">
      <c r="A3866" s="5">
        <v>3851</v>
      </c>
      <c r="B3866" s="15" t="s">
        <v>710</v>
      </c>
      <c r="C3866" s="42" t="s">
        <v>597</v>
      </c>
      <c r="D3866" s="40" t="s">
        <v>551</v>
      </c>
      <c r="E3866" s="76" t="s">
        <v>552</v>
      </c>
      <c r="F3866" s="76" t="s">
        <v>553</v>
      </c>
      <c r="G3866" s="76" t="s">
        <v>554</v>
      </c>
      <c r="H3866" s="76" t="s">
        <v>555</v>
      </c>
      <c r="I3866" s="76" t="s">
        <v>1412</v>
      </c>
      <c r="J3866" s="76" t="s">
        <v>71</v>
      </c>
      <c r="K3866" s="40" t="s">
        <v>591</v>
      </c>
      <c r="L3866" s="11" t="s">
        <v>914</v>
      </c>
      <c r="M3866" s="93">
        <v>1</v>
      </c>
      <c r="N3866" s="94">
        <v>17850</v>
      </c>
      <c r="O3866" s="94">
        <f>N3866</f>
        <v>17850</v>
      </c>
      <c r="P3866" s="40" t="s">
        <v>3139</v>
      </c>
      <c r="Q3866" s="40" t="s">
        <v>766</v>
      </c>
      <c r="R3866" s="84" t="s">
        <v>3469</v>
      </c>
      <c r="S3866" s="93">
        <v>0</v>
      </c>
    </row>
    <row r="3867" spans="1:19" s="92" customFormat="1" ht="76.5">
      <c r="A3867" s="5">
        <v>3852</v>
      </c>
      <c r="B3867" s="15" t="s">
        <v>710</v>
      </c>
      <c r="C3867" s="42" t="s">
        <v>597</v>
      </c>
      <c r="D3867" s="40" t="s">
        <v>868</v>
      </c>
      <c r="E3867" s="76" t="s">
        <v>1874</v>
      </c>
      <c r="F3867" s="76" t="s">
        <v>869</v>
      </c>
      <c r="G3867" s="76" t="s">
        <v>1875</v>
      </c>
      <c r="H3867" s="76" t="s">
        <v>870</v>
      </c>
      <c r="I3867" s="76" t="s">
        <v>1873</v>
      </c>
      <c r="J3867" s="76" t="s">
        <v>72</v>
      </c>
      <c r="K3867" s="40" t="s">
        <v>591</v>
      </c>
      <c r="L3867" s="11" t="s">
        <v>914</v>
      </c>
      <c r="M3867" s="97">
        <v>1</v>
      </c>
      <c r="N3867" s="94">
        <v>8400</v>
      </c>
      <c r="O3867" s="94">
        <f>N3867*M3867</f>
        <v>8400</v>
      </c>
      <c r="P3867" s="40" t="s">
        <v>3139</v>
      </c>
      <c r="Q3867" s="40" t="s">
        <v>766</v>
      </c>
      <c r="R3867" s="84" t="s">
        <v>3469</v>
      </c>
      <c r="S3867" s="93">
        <v>0</v>
      </c>
    </row>
    <row r="3868" spans="1:19" s="92" customFormat="1" ht="51">
      <c r="A3868" s="5">
        <v>3853</v>
      </c>
      <c r="B3868" s="15" t="s">
        <v>710</v>
      </c>
      <c r="C3868" s="42" t="s">
        <v>597</v>
      </c>
      <c r="D3868" s="40" t="s">
        <v>548</v>
      </c>
      <c r="E3868" s="40" t="s">
        <v>549</v>
      </c>
      <c r="F3868" s="40" t="s">
        <v>550</v>
      </c>
      <c r="G3868" s="40" t="s">
        <v>549</v>
      </c>
      <c r="H3868" s="40" t="s">
        <v>550</v>
      </c>
      <c r="I3868" s="40" t="s">
        <v>1410</v>
      </c>
      <c r="J3868" s="40" t="s">
        <v>69</v>
      </c>
      <c r="K3868" s="40" t="s">
        <v>591</v>
      </c>
      <c r="L3868" s="11" t="s">
        <v>914</v>
      </c>
      <c r="M3868" s="40">
        <v>1</v>
      </c>
      <c r="N3868" s="94">
        <v>17850</v>
      </c>
      <c r="O3868" s="94">
        <v>17850</v>
      </c>
      <c r="P3868" s="40" t="s">
        <v>3139</v>
      </c>
      <c r="Q3868" s="40" t="s">
        <v>766</v>
      </c>
      <c r="R3868" s="84" t="s">
        <v>3468</v>
      </c>
      <c r="S3868" s="93">
        <v>0</v>
      </c>
    </row>
    <row r="3869" spans="1:19" s="92" customFormat="1" ht="76.5">
      <c r="A3869" s="5">
        <v>3854</v>
      </c>
      <c r="B3869" s="15" t="s">
        <v>710</v>
      </c>
      <c r="C3869" s="31" t="s">
        <v>3117</v>
      </c>
      <c r="D3869" s="40" t="s">
        <v>556</v>
      </c>
      <c r="E3869" s="76" t="s">
        <v>557</v>
      </c>
      <c r="F3869" s="76" t="s">
        <v>558</v>
      </c>
      <c r="G3869" s="76" t="s">
        <v>559</v>
      </c>
      <c r="H3869" s="76" t="s">
        <v>560</v>
      </c>
      <c r="I3869" s="76" t="s">
        <v>1411</v>
      </c>
      <c r="J3869" s="76" t="s">
        <v>70</v>
      </c>
      <c r="K3869" s="40" t="s">
        <v>591</v>
      </c>
      <c r="L3869" s="11" t="s">
        <v>914</v>
      </c>
      <c r="M3869" s="93">
        <v>1</v>
      </c>
      <c r="N3869" s="94">
        <v>8400</v>
      </c>
      <c r="O3869" s="94">
        <v>8400</v>
      </c>
      <c r="P3869" s="40" t="s">
        <v>3139</v>
      </c>
      <c r="Q3869" s="40" t="s">
        <v>766</v>
      </c>
      <c r="R3869" s="84" t="s">
        <v>3468</v>
      </c>
      <c r="S3869" s="93">
        <v>0</v>
      </c>
    </row>
    <row r="3870" spans="1:19" s="92" customFormat="1" ht="63.75">
      <c r="A3870" s="5">
        <v>3855</v>
      </c>
      <c r="B3870" s="15" t="s">
        <v>710</v>
      </c>
      <c r="C3870" s="42" t="s">
        <v>597</v>
      </c>
      <c r="D3870" s="40" t="s">
        <v>551</v>
      </c>
      <c r="E3870" s="76" t="s">
        <v>552</v>
      </c>
      <c r="F3870" s="76" t="s">
        <v>553</v>
      </c>
      <c r="G3870" s="76" t="s">
        <v>554</v>
      </c>
      <c r="H3870" s="76" t="s">
        <v>555</v>
      </c>
      <c r="I3870" s="76" t="s">
        <v>1412</v>
      </c>
      <c r="J3870" s="76" t="s">
        <v>71</v>
      </c>
      <c r="K3870" s="40" t="s">
        <v>591</v>
      </c>
      <c r="L3870" s="11" t="s">
        <v>914</v>
      </c>
      <c r="M3870" s="93">
        <v>1</v>
      </c>
      <c r="N3870" s="94">
        <v>17850</v>
      </c>
      <c r="O3870" s="94">
        <f>N3870</f>
        <v>17850</v>
      </c>
      <c r="P3870" s="40" t="s">
        <v>3139</v>
      </c>
      <c r="Q3870" s="40" t="s">
        <v>766</v>
      </c>
      <c r="R3870" s="84" t="s">
        <v>3468</v>
      </c>
      <c r="S3870" s="93">
        <v>0</v>
      </c>
    </row>
    <row r="3871" spans="1:19" s="92" customFormat="1" ht="76.5">
      <c r="A3871" s="5">
        <v>3856</v>
      </c>
      <c r="B3871" s="15" t="s">
        <v>710</v>
      </c>
      <c r="C3871" s="42" t="s">
        <v>597</v>
      </c>
      <c r="D3871" s="40" t="s">
        <v>868</v>
      </c>
      <c r="E3871" s="76" t="s">
        <v>1874</v>
      </c>
      <c r="F3871" s="76" t="s">
        <v>869</v>
      </c>
      <c r="G3871" s="76" t="s">
        <v>1875</v>
      </c>
      <c r="H3871" s="76" t="s">
        <v>870</v>
      </c>
      <c r="I3871" s="76" t="s">
        <v>1873</v>
      </c>
      <c r="J3871" s="76" t="s">
        <v>72</v>
      </c>
      <c r="K3871" s="40" t="s">
        <v>591</v>
      </c>
      <c r="L3871" s="11" t="s">
        <v>914</v>
      </c>
      <c r="M3871" s="97">
        <v>1</v>
      </c>
      <c r="N3871" s="94">
        <v>8400</v>
      </c>
      <c r="O3871" s="94">
        <f>N3871*M3871</f>
        <v>8400</v>
      </c>
      <c r="P3871" s="40" t="s">
        <v>3139</v>
      </c>
      <c r="Q3871" s="40" t="s">
        <v>766</v>
      </c>
      <c r="R3871" s="84" t="s">
        <v>3468</v>
      </c>
      <c r="S3871" s="93">
        <v>0</v>
      </c>
    </row>
    <row r="3872" spans="1:19" s="92" customFormat="1" ht="51">
      <c r="A3872" s="5">
        <v>3857</v>
      </c>
      <c r="B3872" s="15" t="s">
        <v>710</v>
      </c>
      <c r="C3872" s="42" t="s">
        <v>597</v>
      </c>
      <c r="D3872" s="40" t="s">
        <v>548</v>
      </c>
      <c r="E3872" s="40" t="s">
        <v>549</v>
      </c>
      <c r="F3872" s="40" t="s">
        <v>550</v>
      </c>
      <c r="G3872" s="40" t="s">
        <v>549</v>
      </c>
      <c r="H3872" s="40" t="s">
        <v>550</v>
      </c>
      <c r="I3872" s="40" t="s">
        <v>1410</v>
      </c>
      <c r="J3872" s="40" t="s">
        <v>69</v>
      </c>
      <c r="K3872" s="40" t="s">
        <v>591</v>
      </c>
      <c r="L3872" s="11" t="s">
        <v>914</v>
      </c>
      <c r="M3872" s="40">
        <v>1</v>
      </c>
      <c r="N3872" s="94">
        <v>17850</v>
      </c>
      <c r="O3872" s="94">
        <v>17850</v>
      </c>
      <c r="P3872" s="40" t="s">
        <v>588</v>
      </c>
      <c r="Q3872" s="40" t="s">
        <v>766</v>
      </c>
      <c r="R3872" s="84" t="s">
        <v>3467</v>
      </c>
      <c r="S3872" s="93">
        <v>0</v>
      </c>
    </row>
    <row r="3873" spans="1:19" s="92" customFormat="1" ht="76.5">
      <c r="A3873" s="5">
        <v>3858</v>
      </c>
      <c r="B3873" s="15" t="s">
        <v>710</v>
      </c>
      <c r="C3873" s="31" t="s">
        <v>3117</v>
      </c>
      <c r="D3873" s="40" t="s">
        <v>556</v>
      </c>
      <c r="E3873" s="76" t="s">
        <v>557</v>
      </c>
      <c r="F3873" s="76" t="s">
        <v>558</v>
      </c>
      <c r="G3873" s="76" t="s">
        <v>559</v>
      </c>
      <c r="H3873" s="76" t="s">
        <v>560</v>
      </c>
      <c r="I3873" s="76" t="s">
        <v>1411</v>
      </c>
      <c r="J3873" s="76" t="s">
        <v>70</v>
      </c>
      <c r="K3873" s="40" t="s">
        <v>591</v>
      </c>
      <c r="L3873" s="11" t="s">
        <v>914</v>
      </c>
      <c r="M3873" s="93">
        <v>1</v>
      </c>
      <c r="N3873" s="94">
        <v>8400</v>
      </c>
      <c r="O3873" s="94">
        <v>8400</v>
      </c>
      <c r="P3873" s="40" t="s">
        <v>588</v>
      </c>
      <c r="Q3873" s="40" t="s">
        <v>766</v>
      </c>
      <c r="R3873" s="84" t="s">
        <v>3467</v>
      </c>
      <c r="S3873" s="93">
        <v>0</v>
      </c>
    </row>
    <row r="3874" spans="1:19" s="92" customFormat="1" ht="63.75">
      <c r="A3874" s="5">
        <v>3859</v>
      </c>
      <c r="B3874" s="15" t="s">
        <v>710</v>
      </c>
      <c r="C3874" s="42" t="s">
        <v>597</v>
      </c>
      <c r="D3874" s="40" t="s">
        <v>551</v>
      </c>
      <c r="E3874" s="76" t="s">
        <v>552</v>
      </c>
      <c r="F3874" s="76" t="s">
        <v>553</v>
      </c>
      <c r="G3874" s="76" t="s">
        <v>554</v>
      </c>
      <c r="H3874" s="76" t="s">
        <v>555</v>
      </c>
      <c r="I3874" s="76" t="s">
        <v>1412</v>
      </c>
      <c r="J3874" s="76" t="s">
        <v>71</v>
      </c>
      <c r="K3874" s="40" t="s">
        <v>591</v>
      </c>
      <c r="L3874" s="11" t="s">
        <v>914</v>
      </c>
      <c r="M3874" s="93">
        <v>1</v>
      </c>
      <c r="N3874" s="94">
        <v>17850</v>
      </c>
      <c r="O3874" s="94">
        <f>N3874</f>
        <v>17850</v>
      </c>
      <c r="P3874" s="40" t="s">
        <v>588</v>
      </c>
      <c r="Q3874" s="40" t="s">
        <v>766</v>
      </c>
      <c r="R3874" s="84" t="s">
        <v>3467</v>
      </c>
      <c r="S3874" s="93">
        <v>0</v>
      </c>
    </row>
    <row r="3875" spans="1:19" s="92" customFormat="1" ht="76.5">
      <c r="A3875" s="5">
        <v>3860</v>
      </c>
      <c r="B3875" s="15" t="s">
        <v>710</v>
      </c>
      <c r="C3875" s="42" t="s">
        <v>597</v>
      </c>
      <c r="D3875" s="40" t="s">
        <v>868</v>
      </c>
      <c r="E3875" s="76" t="s">
        <v>1874</v>
      </c>
      <c r="F3875" s="76" t="s">
        <v>869</v>
      </c>
      <c r="G3875" s="76" t="s">
        <v>1875</v>
      </c>
      <c r="H3875" s="76" t="s">
        <v>870</v>
      </c>
      <c r="I3875" s="76" t="s">
        <v>1873</v>
      </c>
      <c r="J3875" s="76" t="s">
        <v>72</v>
      </c>
      <c r="K3875" s="40" t="s">
        <v>591</v>
      </c>
      <c r="L3875" s="11" t="s">
        <v>914</v>
      </c>
      <c r="M3875" s="97">
        <v>1</v>
      </c>
      <c r="N3875" s="94">
        <v>8400</v>
      </c>
      <c r="O3875" s="94">
        <f>N3875*M3875</f>
        <v>8400</v>
      </c>
      <c r="P3875" s="40" t="s">
        <v>588</v>
      </c>
      <c r="Q3875" s="40" t="s">
        <v>766</v>
      </c>
      <c r="R3875" s="84" t="s">
        <v>3467</v>
      </c>
      <c r="S3875" s="93">
        <v>0</v>
      </c>
    </row>
    <row r="3876" spans="1:19" s="92" customFormat="1" ht="51">
      <c r="A3876" s="5">
        <v>3861</v>
      </c>
      <c r="B3876" s="15" t="s">
        <v>710</v>
      </c>
      <c r="C3876" s="42" t="s">
        <v>597</v>
      </c>
      <c r="D3876" s="40" t="s">
        <v>548</v>
      </c>
      <c r="E3876" s="40" t="s">
        <v>549</v>
      </c>
      <c r="F3876" s="40" t="s">
        <v>550</v>
      </c>
      <c r="G3876" s="40" t="s">
        <v>549</v>
      </c>
      <c r="H3876" s="40" t="s">
        <v>550</v>
      </c>
      <c r="I3876" s="40" t="s">
        <v>1410</v>
      </c>
      <c r="J3876" s="40" t="s">
        <v>69</v>
      </c>
      <c r="K3876" s="40" t="s">
        <v>591</v>
      </c>
      <c r="L3876" s="11" t="s">
        <v>914</v>
      </c>
      <c r="M3876" s="40">
        <v>1</v>
      </c>
      <c r="N3876" s="94">
        <v>17850</v>
      </c>
      <c r="O3876" s="94">
        <v>17850</v>
      </c>
      <c r="P3876" s="40" t="s">
        <v>3139</v>
      </c>
      <c r="Q3876" s="40" t="s">
        <v>766</v>
      </c>
      <c r="R3876" s="84" t="s">
        <v>3466</v>
      </c>
      <c r="S3876" s="93">
        <v>0</v>
      </c>
    </row>
    <row r="3877" spans="1:19" s="92" customFormat="1" ht="76.5">
      <c r="A3877" s="5">
        <v>3862</v>
      </c>
      <c r="B3877" s="15" t="s">
        <v>710</v>
      </c>
      <c r="C3877" s="31" t="s">
        <v>3117</v>
      </c>
      <c r="D3877" s="40" t="s">
        <v>556</v>
      </c>
      <c r="E3877" s="76" t="s">
        <v>557</v>
      </c>
      <c r="F3877" s="76" t="s">
        <v>558</v>
      </c>
      <c r="G3877" s="76" t="s">
        <v>559</v>
      </c>
      <c r="H3877" s="76" t="s">
        <v>560</v>
      </c>
      <c r="I3877" s="76" t="s">
        <v>1411</v>
      </c>
      <c r="J3877" s="76" t="s">
        <v>70</v>
      </c>
      <c r="K3877" s="40" t="s">
        <v>591</v>
      </c>
      <c r="L3877" s="11" t="s">
        <v>914</v>
      </c>
      <c r="M3877" s="93">
        <v>1</v>
      </c>
      <c r="N3877" s="94">
        <v>8400</v>
      </c>
      <c r="O3877" s="94">
        <v>8400</v>
      </c>
      <c r="P3877" s="40" t="s">
        <v>3139</v>
      </c>
      <c r="Q3877" s="40" t="s">
        <v>766</v>
      </c>
      <c r="R3877" s="84" t="s">
        <v>3466</v>
      </c>
      <c r="S3877" s="93">
        <v>0</v>
      </c>
    </row>
    <row r="3878" spans="1:19" s="92" customFormat="1" ht="63.75">
      <c r="A3878" s="5">
        <v>3863</v>
      </c>
      <c r="B3878" s="15" t="s">
        <v>710</v>
      </c>
      <c r="C3878" s="42" t="s">
        <v>597</v>
      </c>
      <c r="D3878" s="40" t="s">
        <v>551</v>
      </c>
      <c r="E3878" s="76" t="s">
        <v>552</v>
      </c>
      <c r="F3878" s="76" t="s">
        <v>553</v>
      </c>
      <c r="G3878" s="76" t="s">
        <v>554</v>
      </c>
      <c r="H3878" s="76" t="s">
        <v>555</v>
      </c>
      <c r="I3878" s="76" t="s">
        <v>1412</v>
      </c>
      <c r="J3878" s="76" t="s">
        <v>71</v>
      </c>
      <c r="K3878" s="40" t="s">
        <v>591</v>
      </c>
      <c r="L3878" s="11" t="s">
        <v>914</v>
      </c>
      <c r="M3878" s="93">
        <v>1</v>
      </c>
      <c r="N3878" s="94">
        <v>17850</v>
      </c>
      <c r="O3878" s="94">
        <f>N3878</f>
        <v>17850</v>
      </c>
      <c r="P3878" s="40" t="s">
        <v>3139</v>
      </c>
      <c r="Q3878" s="40" t="s">
        <v>766</v>
      </c>
      <c r="R3878" s="84" t="s">
        <v>3466</v>
      </c>
      <c r="S3878" s="93">
        <v>0</v>
      </c>
    </row>
    <row r="3879" spans="1:19" s="92" customFormat="1" ht="76.5">
      <c r="A3879" s="5">
        <v>3864</v>
      </c>
      <c r="B3879" s="15" t="s">
        <v>710</v>
      </c>
      <c r="C3879" s="42" t="s">
        <v>597</v>
      </c>
      <c r="D3879" s="40" t="s">
        <v>868</v>
      </c>
      <c r="E3879" s="76" t="s">
        <v>1874</v>
      </c>
      <c r="F3879" s="76" t="s">
        <v>869</v>
      </c>
      <c r="G3879" s="76" t="s">
        <v>1875</v>
      </c>
      <c r="H3879" s="76" t="s">
        <v>870</v>
      </c>
      <c r="I3879" s="76" t="s">
        <v>1873</v>
      </c>
      <c r="J3879" s="76" t="s">
        <v>72</v>
      </c>
      <c r="K3879" s="40" t="s">
        <v>591</v>
      </c>
      <c r="L3879" s="11" t="s">
        <v>914</v>
      </c>
      <c r="M3879" s="97">
        <v>1</v>
      </c>
      <c r="N3879" s="94">
        <v>8400</v>
      </c>
      <c r="O3879" s="94">
        <f>N3879*M3879</f>
        <v>8400</v>
      </c>
      <c r="P3879" s="40" t="s">
        <v>3139</v>
      </c>
      <c r="Q3879" s="40" t="s">
        <v>766</v>
      </c>
      <c r="R3879" s="84" t="s">
        <v>3466</v>
      </c>
      <c r="S3879" s="93">
        <v>0</v>
      </c>
    </row>
    <row r="3880" spans="1:19" s="92" customFormat="1" ht="51">
      <c r="A3880" s="5">
        <v>3865</v>
      </c>
      <c r="B3880" s="15" t="s">
        <v>710</v>
      </c>
      <c r="C3880" s="42" t="s">
        <v>597</v>
      </c>
      <c r="D3880" s="40" t="s">
        <v>548</v>
      </c>
      <c r="E3880" s="40" t="s">
        <v>549</v>
      </c>
      <c r="F3880" s="40" t="s">
        <v>550</v>
      </c>
      <c r="G3880" s="40" t="s">
        <v>549</v>
      </c>
      <c r="H3880" s="40" t="s">
        <v>550</v>
      </c>
      <c r="I3880" s="40" t="s">
        <v>1410</v>
      </c>
      <c r="J3880" s="40" t="s">
        <v>69</v>
      </c>
      <c r="K3880" s="40" t="s">
        <v>591</v>
      </c>
      <c r="L3880" s="11" t="s">
        <v>914</v>
      </c>
      <c r="M3880" s="40">
        <v>1</v>
      </c>
      <c r="N3880" s="94">
        <v>17850</v>
      </c>
      <c r="O3880" s="94">
        <v>17850</v>
      </c>
      <c r="P3880" s="40" t="s">
        <v>3139</v>
      </c>
      <c r="Q3880" s="40" t="s">
        <v>766</v>
      </c>
      <c r="R3880" s="84" t="s">
        <v>3464</v>
      </c>
      <c r="S3880" s="93">
        <v>0</v>
      </c>
    </row>
    <row r="3881" spans="1:19" s="92" customFormat="1" ht="76.5">
      <c r="A3881" s="5">
        <v>3866</v>
      </c>
      <c r="B3881" s="15" t="s">
        <v>710</v>
      </c>
      <c r="C3881" s="31" t="s">
        <v>3117</v>
      </c>
      <c r="D3881" s="40" t="s">
        <v>556</v>
      </c>
      <c r="E3881" s="76" t="s">
        <v>557</v>
      </c>
      <c r="F3881" s="76" t="s">
        <v>558</v>
      </c>
      <c r="G3881" s="76" t="s">
        <v>559</v>
      </c>
      <c r="H3881" s="76" t="s">
        <v>560</v>
      </c>
      <c r="I3881" s="76" t="s">
        <v>1411</v>
      </c>
      <c r="J3881" s="76" t="s">
        <v>70</v>
      </c>
      <c r="K3881" s="40" t="s">
        <v>591</v>
      </c>
      <c r="L3881" s="11" t="s">
        <v>914</v>
      </c>
      <c r="M3881" s="93">
        <v>1</v>
      </c>
      <c r="N3881" s="94">
        <v>8400</v>
      </c>
      <c r="O3881" s="94">
        <v>8400</v>
      </c>
      <c r="P3881" s="40" t="s">
        <v>3139</v>
      </c>
      <c r="Q3881" s="40" t="s">
        <v>766</v>
      </c>
      <c r="R3881" s="84" t="s">
        <v>3464</v>
      </c>
      <c r="S3881" s="93">
        <v>0</v>
      </c>
    </row>
    <row r="3882" spans="1:19" s="92" customFormat="1" ht="63.75">
      <c r="A3882" s="5">
        <v>3867</v>
      </c>
      <c r="B3882" s="15" t="s">
        <v>710</v>
      </c>
      <c r="C3882" s="42" t="s">
        <v>597</v>
      </c>
      <c r="D3882" s="40" t="s">
        <v>551</v>
      </c>
      <c r="E3882" s="76" t="s">
        <v>552</v>
      </c>
      <c r="F3882" s="76" t="s">
        <v>553</v>
      </c>
      <c r="G3882" s="76" t="s">
        <v>554</v>
      </c>
      <c r="H3882" s="76" t="s">
        <v>555</v>
      </c>
      <c r="I3882" s="76" t="s">
        <v>1412</v>
      </c>
      <c r="J3882" s="76" t="s">
        <v>71</v>
      </c>
      <c r="K3882" s="40" t="s">
        <v>591</v>
      </c>
      <c r="L3882" s="11" t="s">
        <v>914</v>
      </c>
      <c r="M3882" s="93">
        <v>1</v>
      </c>
      <c r="N3882" s="94">
        <v>17850</v>
      </c>
      <c r="O3882" s="94">
        <f>N3882</f>
        <v>17850</v>
      </c>
      <c r="P3882" s="40" t="s">
        <v>3139</v>
      </c>
      <c r="Q3882" s="40" t="s">
        <v>766</v>
      </c>
      <c r="R3882" s="84" t="s">
        <v>3465</v>
      </c>
      <c r="S3882" s="93">
        <v>0</v>
      </c>
    </row>
    <row r="3883" spans="1:19" s="92" customFormat="1" ht="76.5">
      <c r="A3883" s="5">
        <v>3868</v>
      </c>
      <c r="B3883" s="15" t="s">
        <v>710</v>
      </c>
      <c r="C3883" s="42" t="s">
        <v>597</v>
      </c>
      <c r="D3883" s="40" t="s">
        <v>868</v>
      </c>
      <c r="E3883" s="76" t="s">
        <v>1874</v>
      </c>
      <c r="F3883" s="76" t="s">
        <v>869</v>
      </c>
      <c r="G3883" s="76" t="s">
        <v>1875</v>
      </c>
      <c r="H3883" s="76" t="s">
        <v>870</v>
      </c>
      <c r="I3883" s="76" t="s">
        <v>1873</v>
      </c>
      <c r="J3883" s="76" t="s">
        <v>72</v>
      </c>
      <c r="K3883" s="40" t="s">
        <v>591</v>
      </c>
      <c r="L3883" s="11" t="s">
        <v>914</v>
      </c>
      <c r="M3883" s="97">
        <v>1</v>
      </c>
      <c r="N3883" s="94">
        <v>8400</v>
      </c>
      <c r="O3883" s="94">
        <f>N3883*M3883</f>
        <v>8400</v>
      </c>
      <c r="P3883" s="40" t="s">
        <v>3139</v>
      </c>
      <c r="Q3883" s="40" t="s">
        <v>766</v>
      </c>
      <c r="R3883" s="84" t="s">
        <v>3464</v>
      </c>
      <c r="S3883" s="93">
        <v>0</v>
      </c>
    </row>
    <row r="3884" spans="1:19" s="92" customFormat="1" ht="51">
      <c r="A3884" s="5">
        <v>3869</v>
      </c>
      <c r="B3884" s="15" t="s">
        <v>710</v>
      </c>
      <c r="C3884" s="42" t="s">
        <v>597</v>
      </c>
      <c r="D3884" s="40" t="s">
        <v>548</v>
      </c>
      <c r="E3884" s="40" t="s">
        <v>549</v>
      </c>
      <c r="F3884" s="40" t="s">
        <v>550</v>
      </c>
      <c r="G3884" s="40" t="s">
        <v>549</v>
      </c>
      <c r="H3884" s="40" t="s">
        <v>550</v>
      </c>
      <c r="I3884" s="40" t="s">
        <v>1410</v>
      </c>
      <c r="J3884" s="40" t="s">
        <v>69</v>
      </c>
      <c r="K3884" s="40" t="s">
        <v>591</v>
      </c>
      <c r="L3884" s="11" t="s">
        <v>914</v>
      </c>
      <c r="M3884" s="40">
        <v>1</v>
      </c>
      <c r="N3884" s="94">
        <v>17850</v>
      </c>
      <c r="O3884" s="94">
        <v>17850</v>
      </c>
      <c r="P3884" s="40" t="s">
        <v>3139</v>
      </c>
      <c r="Q3884" s="40" t="s">
        <v>766</v>
      </c>
      <c r="R3884" s="84" t="s">
        <v>3463</v>
      </c>
      <c r="S3884" s="93">
        <v>0</v>
      </c>
    </row>
    <row r="3885" spans="1:19" s="92" customFormat="1" ht="76.5">
      <c r="A3885" s="5">
        <v>3870</v>
      </c>
      <c r="B3885" s="15" t="s">
        <v>710</v>
      </c>
      <c r="C3885" s="31" t="s">
        <v>3117</v>
      </c>
      <c r="D3885" s="40" t="s">
        <v>556</v>
      </c>
      <c r="E3885" s="76" t="s">
        <v>557</v>
      </c>
      <c r="F3885" s="76" t="s">
        <v>558</v>
      </c>
      <c r="G3885" s="76" t="s">
        <v>559</v>
      </c>
      <c r="H3885" s="76" t="s">
        <v>560</v>
      </c>
      <c r="I3885" s="76" t="s">
        <v>1411</v>
      </c>
      <c r="J3885" s="76" t="s">
        <v>70</v>
      </c>
      <c r="K3885" s="40" t="s">
        <v>591</v>
      </c>
      <c r="L3885" s="11" t="s">
        <v>914</v>
      </c>
      <c r="M3885" s="93">
        <v>1</v>
      </c>
      <c r="N3885" s="94">
        <v>8400</v>
      </c>
      <c r="O3885" s="94">
        <v>8400</v>
      </c>
      <c r="P3885" s="40" t="s">
        <v>3139</v>
      </c>
      <c r="Q3885" s="40" t="s">
        <v>766</v>
      </c>
      <c r="R3885" s="84" t="s">
        <v>3463</v>
      </c>
      <c r="S3885" s="93">
        <v>0</v>
      </c>
    </row>
    <row r="3886" spans="1:19" s="92" customFormat="1" ht="63.75">
      <c r="A3886" s="5">
        <v>3871</v>
      </c>
      <c r="B3886" s="15" t="s">
        <v>710</v>
      </c>
      <c r="C3886" s="42" t="s">
        <v>597</v>
      </c>
      <c r="D3886" s="40" t="s">
        <v>551</v>
      </c>
      <c r="E3886" s="76" t="s">
        <v>552</v>
      </c>
      <c r="F3886" s="76" t="s">
        <v>553</v>
      </c>
      <c r="G3886" s="76" t="s">
        <v>554</v>
      </c>
      <c r="H3886" s="76" t="s">
        <v>555</v>
      </c>
      <c r="I3886" s="76" t="s">
        <v>1412</v>
      </c>
      <c r="J3886" s="76" t="s">
        <v>71</v>
      </c>
      <c r="K3886" s="40" t="s">
        <v>591</v>
      </c>
      <c r="L3886" s="11" t="s">
        <v>914</v>
      </c>
      <c r="M3886" s="93">
        <v>1</v>
      </c>
      <c r="N3886" s="94">
        <v>17850</v>
      </c>
      <c r="O3886" s="94">
        <f>N3886</f>
        <v>17850</v>
      </c>
      <c r="P3886" s="40" t="s">
        <v>3139</v>
      </c>
      <c r="Q3886" s="40" t="s">
        <v>766</v>
      </c>
      <c r="R3886" s="84" t="s">
        <v>3463</v>
      </c>
      <c r="S3886" s="93">
        <v>0</v>
      </c>
    </row>
    <row r="3887" spans="1:19" s="92" customFormat="1" ht="76.5">
      <c r="A3887" s="5">
        <v>3872</v>
      </c>
      <c r="B3887" s="15" t="s">
        <v>710</v>
      </c>
      <c r="C3887" s="42" t="s">
        <v>597</v>
      </c>
      <c r="D3887" s="40" t="s">
        <v>868</v>
      </c>
      <c r="E3887" s="76" t="s">
        <v>1874</v>
      </c>
      <c r="F3887" s="76" t="s">
        <v>869</v>
      </c>
      <c r="G3887" s="76" t="s">
        <v>1875</v>
      </c>
      <c r="H3887" s="76" t="s">
        <v>870</v>
      </c>
      <c r="I3887" s="76" t="s">
        <v>1873</v>
      </c>
      <c r="J3887" s="76" t="s">
        <v>72</v>
      </c>
      <c r="K3887" s="40" t="s">
        <v>591</v>
      </c>
      <c r="L3887" s="11" t="s">
        <v>914</v>
      </c>
      <c r="M3887" s="97">
        <v>1</v>
      </c>
      <c r="N3887" s="94">
        <v>8400</v>
      </c>
      <c r="O3887" s="94">
        <f>N3887*M3887</f>
        <v>8400</v>
      </c>
      <c r="P3887" s="40" t="s">
        <v>3139</v>
      </c>
      <c r="Q3887" s="40" t="s">
        <v>766</v>
      </c>
      <c r="R3887" s="84" t="s">
        <v>3463</v>
      </c>
      <c r="S3887" s="93">
        <v>0</v>
      </c>
    </row>
    <row r="3888" spans="1:19" s="92" customFormat="1" ht="51">
      <c r="A3888" s="5">
        <v>3873</v>
      </c>
      <c r="B3888" s="15" t="s">
        <v>710</v>
      </c>
      <c r="C3888" s="42" t="s">
        <v>597</v>
      </c>
      <c r="D3888" s="40" t="s">
        <v>548</v>
      </c>
      <c r="E3888" s="40" t="s">
        <v>549</v>
      </c>
      <c r="F3888" s="40" t="s">
        <v>550</v>
      </c>
      <c r="G3888" s="40" t="s">
        <v>549</v>
      </c>
      <c r="H3888" s="40" t="s">
        <v>550</v>
      </c>
      <c r="I3888" s="40" t="s">
        <v>1410</v>
      </c>
      <c r="J3888" s="40" t="s">
        <v>69</v>
      </c>
      <c r="K3888" s="40" t="s">
        <v>591</v>
      </c>
      <c r="L3888" s="11" t="s">
        <v>914</v>
      </c>
      <c r="M3888" s="40">
        <v>1</v>
      </c>
      <c r="N3888" s="94">
        <v>17850</v>
      </c>
      <c r="O3888" s="94">
        <v>17850</v>
      </c>
      <c r="P3888" s="40" t="s">
        <v>3139</v>
      </c>
      <c r="Q3888" s="40" t="s">
        <v>766</v>
      </c>
      <c r="R3888" s="84" t="s">
        <v>3462</v>
      </c>
      <c r="S3888" s="93">
        <v>0</v>
      </c>
    </row>
    <row r="3889" spans="1:19" s="92" customFormat="1" ht="76.5">
      <c r="A3889" s="5">
        <v>3874</v>
      </c>
      <c r="B3889" s="15" t="s">
        <v>710</v>
      </c>
      <c r="C3889" s="31" t="s">
        <v>3117</v>
      </c>
      <c r="D3889" s="40" t="s">
        <v>556</v>
      </c>
      <c r="E3889" s="76" t="s">
        <v>557</v>
      </c>
      <c r="F3889" s="76" t="s">
        <v>558</v>
      </c>
      <c r="G3889" s="76" t="s">
        <v>559</v>
      </c>
      <c r="H3889" s="76" t="s">
        <v>560</v>
      </c>
      <c r="I3889" s="76" t="s">
        <v>1411</v>
      </c>
      <c r="J3889" s="76" t="s">
        <v>70</v>
      </c>
      <c r="K3889" s="40" t="s">
        <v>591</v>
      </c>
      <c r="L3889" s="11" t="s">
        <v>914</v>
      </c>
      <c r="M3889" s="93">
        <v>1</v>
      </c>
      <c r="N3889" s="94">
        <v>8400</v>
      </c>
      <c r="O3889" s="94">
        <v>8400</v>
      </c>
      <c r="P3889" s="40" t="s">
        <v>3139</v>
      </c>
      <c r="Q3889" s="40" t="s">
        <v>766</v>
      </c>
      <c r="R3889" s="84" t="s">
        <v>3462</v>
      </c>
      <c r="S3889" s="93">
        <v>0</v>
      </c>
    </row>
    <row r="3890" spans="1:19" s="92" customFormat="1" ht="63.75">
      <c r="A3890" s="5">
        <v>3875</v>
      </c>
      <c r="B3890" s="15" t="s">
        <v>710</v>
      </c>
      <c r="C3890" s="42" t="s">
        <v>597</v>
      </c>
      <c r="D3890" s="40" t="s">
        <v>551</v>
      </c>
      <c r="E3890" s="76" t="s">
        <v>552</v>
      </c>
      <c r="F3890" s="76" t="s">
        <v>553</v>
      </c>
      <c r="G3890" s="76" t="s">
        <v>554</v>
      </c>
      <c r="H3890" s="76" t="s">
        <v>555</v>
      </c>
      <c r="I3890" s="76" t="s">
        <v>1412</v>
      </c>
      <c r="J3890" s="76" t="s">
        <v>71</v>
      </c>
      <c r="K3890" s="40" t="s">
        <v>591</v>
      </c>
      <c r="L3890" s="11" t="s">
        <v>914</v>
      </c>
      <c r="M3890" s="93">
        <v>1</v>
      </c>
      <c r="N3890" s="94">
        <v>17850</v>
      </c>
      <c r="O3890" s="94">
        <f>N3890</f>
        <v>17850</v>
      </c>
      <c r="P3890" s="40" t="s">
        <v>3139</v>
      </c>
      <c r="Q3890" s="40" t="s">
        <v>766</v>
      </c>
      <c r="R3890" s="84" t="s">
        <v>3462</v>
      </c>
      <c r="S3890" s="93">
        <v>0</v>
      </c>
    </row>
    <row r="3891" spans="1:19" s="92" customFormat="1" ht="76.5">
      <c r="A3891" s="5">
        <v>3876</v>
      </c>
      <c r="B3891" s="15" t="s">
        <v>710</v>
      </c>
      <c r="C3891" s="42" t="s">
        <v>597</v>
      </c>
      <c r="D3891" s="40" t="s">
        <v>868</v>
      </c>
      <c r="E3891" s="76" t="s">
        <v>1874</v>
      </c>
      <c r="F3891" s="76" t="s">
        <v>869</v>
      </c>
      <c r="G3891" s="76" t="s">
        <v>1875</v>
      </c>
      <c r="H3891" s="76" t="s">
        <v>870</v>
      </c>
      <c r="I3891" s="76" t="s">
        <v>1873</v>
      </c>
      <c r="J3891" s="76" t="s">
        <v>72</v>
      </c>
      <c r="K3891" s="40" t="s">
        <v>591</v>
      </c>
      <c r="L3891" s="11" t="s">
        <v>914</v>
      </c>
      <c r="M3891" s="97">
        <v>1</v>
      </c>
      <c r="N3891" s="94">
        <v>8400</v>
      </c>
      <c r="O3891" s="94">
        <f>N3891*M3891</f>
        <v>8400</v>
      </c>
      <c r="P3891" s="40" t="s">
        <v>3139</v>
      </c>
      <c r="Q3891" s="40" t="s">
        <v>766</v>
      </c>
      <c r="R3891" s="84" t="s">
        <v>3462</v>
      </c>
      <c r="S3891" s="93">
        <v>0</v>
      </c>
    </row>
    <row r="3892" spans="1:19" s="92" customFormat="1" ht="51">
      <c r="A3892" s="5">
        <v>3877</v>
      </c>
      <c r="B3892" s="15" t="s">
        <v>710</v>
      </c>
      <c r="C3892" s="42" t="s">
        <v>597</v>
      </c>
      <c r="D3892" s="40" t="s">
        <v>702</v>
      </c>
      <c r="E3892" s="76" t="s">
        <v>777</v>
      </c>
      <c r="F3892" s="76" t="s">
        <v>703</v>
      </c>
      <c r="G3892" s="76" t="s">
        <v>777</v>
      </c>
      <c r="H3892" s="76" t="s">
        <v>703</v>
      </c>
      <c r="I3892" s="76" t="s">
        <v>3247</v>
      </c>
      <c r="J3892" s="76" t="s">
        <v>3248</v>
      </c>
      <c r="K3892" s="76" t="s">
        <v>591</v>
      </c>
      <c r="L3892" s="11" t="s">
        <v>914</v>
      </c>
      <c r="M3892" s="93">
        <v>1</v>
      </c>
      <c r="N3892" s="94">
        <f>O3892/M3892</f>
        <v>0</v>
      </c>
      <c r="O3892" s="94">
        <f>321300-321300</f>
        <v>0</v>
      </c>
      <c r="P3892" s="40" t="s">
        <v>3139</v>
      </c>
      <c r="Q3892" s="40" t="s">
        <v>766</v>
      </c>
      <c r="R3892" s="84" t="s">
        <v>3461</v>
      </c>
      <c r="S3892" s="93">
        <v>0</v>
      </c>
    </row>
    <row r="3893" spans="1:19" ht="76.5">
      <c r="A3893" s="5">
        <v>3878</v>
      </c>
      <c r="B3893" s="29" t="s">
        <v>710</v>
      </c>
      <c r="C3893" s="30" t="s">
        <v>711</v>
      </c>
      <c r="D3893" s="11" t="s">
        <v>1168</v>
      </c>
      <c r="E3893" s="57" t="s">
        <v>1588</v>
      </c>
      <c r="F3893" s="57" t="s">
        <v>1170</v>
      </c>
      <c r="G3893" s="57" t="s">
        <v>1589</v>
      </c>
      <c r="H3893" s="57" t="s">
        <v>1172</v>
      </c>
      <c r="I3893" s="57" t="s">
        <v>3297</v>
      </c>
      <c r="J3893" s="57" t="s">
        <v>3296</v>
      </c>
      <c r="K3893" s="57" t="s">
        <v>1485</v>
      </c>
      <c r="L3893" s="31" t="s">
        <v>644</v>
      </c>
      <c r="M3893" s="9">
        <v>1</v>
      </c>
      <c r="N3893" s="46">
        <f>O3893/M3893</f>
        <v>9382432</v>
      </c>
      <c r="O3893" s="49">
        <v>9382432</v>
      </c>
      <c r="P3893" s="14" t="s">
        <v>502</v>
      </c>
      <c r="Q3893" s="14" t="s">
        <v>1051</v>
      </c>
      <c r="R3893" s="11" t="s">
        <v>1175</v>
      </c>
      <c r="S3893" s="14">
        <v>0</v>
      </c>
    </row>
    <row r="3894" spans="1:19" s="1" customFormat="1" ht="114.75">
      <c r="A3894" s="5">
        <v>3879</v>
      </c>
      <c r="B3894" s="15" t="s">
        <v>710</v>
      </c>
      <c r="C3894" s="31" t="s">
        <v>597</v>
      </c>
      <c r="D3894" s="5" t="s">
        <v>1431</v>
      </c>
      <c r="E3894" s="57" t="s">
        <v>1949</v>
      </c>
      <c r="F3894" s="57" t="s">
        <v>1432</v>
      </c>
      <c r="G3894" s="57" t="s">
        <v>3269</v>
      </c>
      <c r="H3894" s="57" t="s">
        <v>3268</v>
      </c>
      <c r="I3894" s="57" t="s">
        <v>3271</v>
      </c>
      <c r="J3894" s="57" t="s">
        <v>3270</v>
      </c>
      <c r="K3894" s="57" t="s">
        <v>591</v>
      </c>
      <c r="L3894" s="11" t="s">
        <v>914</v>
      </c>
      <c r="M3894" s="22">
        <v>1</v>
      </c>
      <c r="N3894" s="46">
        <f>O3894/M3894</f>
        <v>44853571.43</v>
      </c>
      <c r="O3894" s="49">
        <v>44853571.43</v>
      </c>
      <c r="P3894" s="4" t="s">
        <v>502</v>
      </c>
      <c r="Q3894" s="5" t="s">
        <v>3272</v>
      </c>
      <c r="R3894" s="11" t="s">
        <v>1175</v>
      </c>
      <c r="S3894" s="5">
        <v>30</v>
      </c>
    </row>
    <row r="3895" spans="1:19" ht="55.5" customHeight="1" outlineLevel="1">
      <c r="A3895" s="5">
        <v>3880</v>
      </c>
      <c r="B3895" s="15" t="s">
        <v>710</v>
      </c>
      <c r="C3895" s="5" t="s">
        <v>597</v>
      </c>
      <c r="D3895" s="5" t="s">
        <v>1341</v>
      </c>
      <c r="E3895" s="57" t="s">
        <v>3276</v>
      </c>
      <c r="F3895" s="57" t="s">
        <v>3273</v>
      </c>
      <c r="G3895" s="57" t="s">
        <v>3276</v>
      </c>
      <c r="H3895" s="57" t="s">
        <v>3273</v>
      </c>
      <c r="I3895" s="57" t="s">
        <v>3275</v>
      </c>
      <c r="J3895" s="57" t="s">
        <v>3274</v>
      </c>
      <c r="K3895" s="57" t="s">
        <v>591</v>
      </c>
      <c r="L3895" s="11" t="s">
        <v>914</v>
      </c>
      <c r="M3895" s="22">
        <v>1</v>
      </c>
      <c r="N3895" s="46">
        <f>O3895/M3895</f>
        <v>5133929</v>
      </c>
      <c r="O3895" s="49">
        <v>5133929</v>
      </c>
      <c r="P3895" s="5" t="s">
        <v>502</v>
      </c>
      <c r="Q3895" s="5" t="s">
        <v>766</v>
      </c>
      <c r="R3895" s="11" t="s">
        <v>1175</v>
      </c>
      <c r="S3895" s="5">
        <v>0</v>
      </c>
    </row>
    <row r="3896" spans="1:19" s="13" customFormat="1" ht="89.25">
      <c r="A3896" s="5">
        <v>3881</v>
      </c>
      <c r="B3896" s="15" t="s">
        <v>710</v>
      </c>
      <c r="C3896" s="31" t="s">
        <v>597</v>
      </c>
      <c r="D3896" s="11" t="s">
        <v>1448</v>
      </c>
      <c r="E3896" s="57" t="s">
        <v>1958</v>
      </c>
      <c r="F3896" s="57" t="s">
        <v>1449</v>
      </c>
      <c r="G3896" s="57" t="s">
        <v>1959</v>
      </c>
      <c r="H3896" s="57" t="s">
        <v>1450</v>
      </c>
      <c r="I3896" s="57" t="s">
        <v>3278</v>
      </c>
      <c r="J3896" s="57" t="s">
        <v>3277</v>
      </c>
      <c r="K3896" s="57" t="s">
        <v>1484</v>
      </c>
      <c r="L3896" s="11" t="s">
        <v>914</v>
      </c>
      <c r="M3896" s="22">
        <v>1</v>
      </c>
      <c r="N3896" s="46">
        <f>O3896/M3896</f>
        <v>4910715</v>
      </c>
      <c r="O3896" s="49">
        <v>4910715</v>
      </c>
      <c r="P3896" s="4" t="s">
        <v>698</v>
      </c>
      <c r="Q3896" s="14" t="s">
        <v>2911</v>
      </c>
      <c r="R3896" s="11" t="s">
        <v>1175</v>
      </c>
      <c r="S3896" s="22">
        <v>30</v>
      </c>
    </row>
    <row r="3897" spans="1:19" s="26" customFormat="1" ht="51">
      <c r="A3897" s="5">
        <v>3882</v>
      </c>
      <c r="B3897" s="5" t="s">
        <v>710</v>
      </c>
      <c r="C3897" s="40" t="s">
        <v>597</v>
      </c>
      <c r="D3897" s="11" t="s">
        <v>2830</v>
      </c>
      <c r="E3897" s="5" t="s">
        <v>2832</v>
      </c>
      <c r="F3897" s="76" t="s">
        <v>2831</v>
      </c>
      <c r="G3897" s="5" t="s">
        <v>2832</v>
      </c>
      <c r="H3897" s="76" t="s">
        <v>2831</v>
      </c>
      <c r="I3897" s="5" t="s">
        <v>3280</v>
      </c>
      <c r="J3897" s="5" t="s">
        <v>3279</v>
      </c>
      <c r="K3897" s="5" t="s">
        <v>591</v>
      </c>
      <c r="L3897" s="5" t="s">
        <v>914</v>
      </c>
      <c r="M3897" s="5">
        <v>1</v>
      </c>
      <c r="N3897" s="46">
        <f t="shared" ref="N3897:N3900" si="100">O3897/M3897</f>
        <v>2500000</v>
      </c>
      <c r="O3897" s="46">
        <v>2500000</v>
      </c>
      <c r="P3897" s="5" t="s">
        <v>698</v>
      </c>
      <c r="Q3897" s="5" t="s">
        <v>766</v>
      </c>
      <c r="R3897" s="15" t="s">
        <v>1175</v>
      </c>
      <c r="S3897" s="5">
        <v>30</v>
      </c>
    </row>
    <row r="3898" spans="1:19" s="26" customFormat="1" ht="51">
      <c r="A3898" s="5">
        <v>3883</v>
      </c>
      <c r="B3898" s="5" t="s">
        <v>710</v>
      </c>
      <c r="C3898" s="40" t="s">
        <v>597</v>
      </c>
      <c r="D3898" s="11" t="s">
        <v>2830</v>
      </c>
      <c r="E3898" s="5" t="s">
        <v>2832</v>
      </c>
      <c r="F3898" s="76" t="s">
        <v>2831</v>
      </c>
      <c r="G3898" s="5" t="s">
        <v>2832</v>
      </c>
      <c r="H3898" s="76" t="s">
        <v>2831</v>
      </c>
      <c r="I3898" s="5" t="s">
        <v>3295</v>
      </c>
      <c r="J3898" s="5" t="s">
        <v>3294</v>
      </c>
      <c r="K3898" s="5" t="s">
        <v>591</v>
      </c>
      <c r="L3898" s="5" t="s">
        <v>914</v>
      </c>
      <c r="M3898" s="5">
        <v>1</v>
      </c>
      <c r="N3898" s="46">
        <f t="shared" si="100"/>
        <v>2500000</v>
      </c>
      <c r="O3898" s="46">
        <v>2500000</v>
      </c>
      <c r="P3898" s="5" t="s">
        <v>698</v>
      </c>
      <c r="Q3898" s="5" t="s">
        <v>766</v>
      </c>
      <c r="R3898" s="15" t="s">
        <v>1175</v>
      </c>
      <c r="S3898" s="5">
        <v>30</v>
      </c>
    </row>
    <row r="3899" spans="1:19" s="90" customFormat="1" ht="140.25">
      <c r="A3899" s="4">
        <v>3884</v>
      </c>
      <c r="B3899" s="29" t="s">
        <v>710</v>
      </c>
      <c r="C3899" s="30" t="s">
        <v>711</v>
      </c>
      <c r="D3899" s="5" t="s">
        <v>3285</v>
      </c>
      <c r="E3899" s="5" t="s">
        <v>3282</v>
      </c>
      <c r="F3899" s="5" t="s">
        <v>3283</v>
      </c>
      <c r="G3899" s="5" t="s">
        <v>3288</v>
      </c>
      <c r="H3899" s="5" t="s">
        <v>3286</v>
      </c>
      <c r="I3899" s="5" t="s">
        <v>3289</v>
      </c>
      <c r="J3899" s="5" t="s">
        <v>3287</v>
      </c>
      <c r="K3899" s="5" t="s">
        <v>591</v>
      </c>
      <c r="L3899" s="31" t="s">
        <v>3284</v>
      </c>
      <c r="M3899" s="5">
        <v>1</v>
      </c>
      <c r="N3899" s="85">
        <f t="shared" si="100"/>
        <v>294643</v>
      </c>
      <c r="O3899" s="85">
        <v>294643</v>
      </c>
      <c r="P3899" s="5" t="s">
        <v>502</v>
      </c>
      <c r="Q3899" s="14" t="s">
        <v>2491</v>
      </c>
      <c r="R3899" s="15" t="s">
        <v>1175</v>
      </c>
      <c r="S3899" s="9">
        <v>100</v>
      </c>
    </row>
    <row r="3900" spans="1:19" s="90" customFormat="1" ht="63.75">
      <c r="A3900" s="4">
        <v>3885</v>
      </c>
      <c r="B3900" s="29" t="s">
        <v>710</v>
      </c>
      <c r="C3900" s="30" t="s">
        <v>711</v>
      </c>
      <c r="D3900" s="5" t="s">
        <v>3290</v>
      </c>
      <c r="E3900" s="5" t="s">
        <v>3291</v>
      </c>
      <c r="F3900" s="5" t="s">
        <v>3291</v>
      </c>
      <c r="G3900" s="5" t="s">
        <v>3293</v>
      </c>
      <c r="H3900" s="5" t="s">
        <v>3292</v>
      </c>
      <c r="I3900" s="5" t="s">
        <v>3291</v>
      </c>
      <c r="J3900" s="5" t="s">
        <v>3291</v>
      </c>
      <c r="K3900" s="5" t="s">
        <v>591</v>
      </c>
      <c r="L3900" s="31" t="s">
        <v>3284</v>
      </c>
      <c r="M3900" s="5">
        <v>1</v>
      </c>
      <c r="N3900" s="85">
        <f t="shared" si="100"/>
        <v>434822</v>
      </c>
      <c r="O3900" s="85">
        <v>434822</v>
      </c>
      <c r="P3900" s="5" t="s">
        <v>502</v>
      </c>
      <c r="Q3900" s="14" t="s">
        <v>2951</v>
      </c>
      <c r="R3900" s="15" t="s">
        <v>1175</v>
      </c>
      <c r="S3900" s="9">
        <v>50</v>
      </c>
    </row>
    <row r="3901" spans="1:19" ht="102">
      <c r="A3901" s="4">
        <v>3886</v>
      </c>
      <c r="B3901" s="29" t="s">
        <v>710</v>
      </c>
      <c r="C3901" s="30" t="s">
        <v>711</v>
      </c>
      <c r="D3901" s="5" t="s">
        <v>3298</v>
      </c>
      <c r="E3901" s="57" t="s">
        <v>3330</v>
      </c>
      <c r="F3901" s="5" t="s">
        <v>3299</v>
      </c>
      <c r="G3901" s="57" t="s">
        <v>3331</v>
      </c>
      <c r="H3901" s="5" t="s">
        <v>3300</v>
      </c>
      <c r="I3901" s="57" t="s">
        <v>3302</v>
      </c>
      <c r="J3901" s="57" t="s">
        <v>3301</v>
      </c>
      <c r="K3901" s="57" t="s">
        <v>591</v>
      </c>
      <c r="L3901" s="31" t="s">
        <v>644</v>
      </c>
      <c r="M3901" s="9">
        <v>1</v>
      </c>
      <c r="N3901" s="46">
        <v>250000</v>
      </c>
      <c r="O3901" s="49">
        <f t="shared" ref="O3901:O3912" si="101">M3901*N3901</f>
        <v>250000</v>
      </c>
      <c r="P3901" s="5" t="s">
        <v>502</v>
      </c>
      <c r="Q3901" s="5" t="s">
        <v>502</v>
      </c>
      <c r="R3901" s="11" t="s">
        <v>1175</v>
      </c>
      <c r="S3901" s="9">
        <v>100</v>
      </c>
    </row>
    <row r="3902" spans="1:19" ht="140.25">
      <c r="A3902" s="4">
        <v>3887</v>
      </c>
      <c r="B3902" s="29" t="s">
        <v>710</v>
      </c>
      <c r="C3902" s="30" t="s">
        <v>711</v>
      </c>
      <c r="D3902" s="5" t="s">
        <v>3303</v>
      </c>
      <c r="E3902" s="57" t="s">
        <v>3328</v>
      </c>
      <c r="F3902" s="5" t="s">
        <v>3304</v>
      </c>
      <c r="G3902" s="57" t="s">
        <v>3329</v>
      </c>
      <c r="H3902" s="5" t="s">
        <v>3305</v>
      </c>
      <c r="I3902" s="57" t="s">
        <v>3328</v>
      </c>
      <c r="J3902" s="57" t="s">
        <v>3304</v>
      </c>
      <c r="K3902" s="57" t="s">
        <v>591</v>
      </c>
      <c r="L3902" s="31" t="s">
        <v>644</v>
      </c>
      <c r="M3902" s="9">
        <v>1</v>
      </c>
      <c r="N3902" s="46">
        <v>120000</v>
      </c>
      <c r="O3902" s="49">
        <f t="shared" si="101"/>
        <v>120000</v>
      </c>
      <c r="P3902" s="5" t="s">
        <v>502</v>
      </c>
      <c r="Q3902" s="5" t="s">
        <v>502</v>
      </c>
      <c r="R3902" s="11" t="s">
        <v>1175</v>
      </c>
      <c r="S3902" s="9">
        <v>100</v>
      </c>
    </row>
    <row r="3903" spans="1:19" ht="102">
      <c r="A3903" s="4">
        <v>3888</v>
      </c>
      <c r="B3903" s="29" t="s">
        <v>710</v>
      </c>
      <c r="C3903" s="30" t="s">
        <v>597</v>
      </c>
      <c r="D3903" s="5" t="s">
        <v>3306</v>
      </c>
      <c r="E3903" s="57" t="s">
        <v>3326</v>
      </c>
      <c r="F3903" s="5" t="s">
        <v>3307</v>
      </c>
      <c r="G3903" s="57" t="s">
        <v>3327</v>
      </c>
      <c r="H3903" s="5" t="s">
        <v>3308</v>
      </c>
      <c r="I3903" s="57" t="s">
        <v>3326</v>
      </c>
      <c r="J3903" s="5" t="s">
        <v>3307</v>
      </c>
      <c r="K3903" s="57" t="s">
        <v>591</v>
      </c>
      <c r="L3903" s="5" t="s">
        <v>914</v>
      </c>
      <c r="M3903" s="9">
        <v>1</v>
      </c>
      <c r="N3903" s="46">
        <v>500000</v>
      </c>
      <c r="O3903" s="49">
        <f t="shared" si="101"/>
        <v>500000</v>
      </c>
      <c r="P3903" s="5" t="s">
        <v>502</v>
      </c>
      <c r="Q3903" s="5" t="s">
        <v>3026</v>
      </c>
      <c r="R3903" s="11" t="s">
        <v>1175</v>
      </c>
      <c r="S3903" s="9">
        <v>50</v>
      </c>
    </row>
    <row r="3904" spans="1:19" ht="63.75">
      <c r="A3904" s="4">
        <v>3889</v>
      </c>
      <c r="B3904" s="29" t="s">
        <v>710</v>
      </c>
      <c r="C3904" s="30" t="s">
        <v>597</v>
      </c>
      <c r="D3904" s="5" t="s">
        <v>527</v>
      </c>
      <c r="E3904" s="31" t="s">
        <v>528</v>
      </c>
      <c r="F3904" s="5" t="s">
        <v>529</v>
      </c>
      <c r="G3904" s="31" t="s">
        <v>530</v>
      </c>
      <c r="H3904" s="5" t="s">
        <v>531</v>
      </c>
      <c r="I3904" s="31" t="s">
        <v>530</v>
      </c>
      <c r="J3904" s="5" t="s">
        <v>529</v>
      </c>
      <c r="K3904" s="57" t="s">
        <v>591</v>
      </c>
      <c r="L3904" s="5" t="s">
        <v>914</v>
      </c>
      <c r="M3904" s="9">
        <v>1</v>
      </c>
      <c r="N3904" s="46">
        <v>1446676</v>
      </c>
      <c r="O3904" s="49">
        <f t="shared" si="101"/>
        <v>1446676</v>
      </c>
      <c r="P3904" s="5" t="s">
        <v>502</v>
      </c>
      <c r="Q3904" s="5" t="s">
        <v>3309</v>
      </c>
      <c r="R3904" s="11" t="s">
        <v>1021</v>
      </c>
      <c r="S3904" s="9">
        <v>50</v>
      </c>
    </row>
    <row r="3905" spans="1:19" ht="76.5">
      <c r="A3905" s="4">
        <v>3890</v>
      </c>
      <c r="B3905" s="29" t="s">
        <v>710</v>
      </c>
      <c r="C3905" s="30" t="s">
        <v>597</v>
      </c>
      <c r="D3905" s="5" t="s">
        <v>3310</v>
      </c>
      <c r="E3905" s="57" t="s">
        <v>3324</v>
      </c>
      <c r="F3905" s="5" t="s">
        <v>3311</v>
      </c>
      <c r="G3905" s="57" t="s">
        <v>3325</v>
      </c>
      <c r="H3905" s="5" t="s">
        <v>3312</v>
      </c>
      <c r="I3905" s="57" t="s">
        <v>3324</v>
      </c>
      <c r="J3905" s="5" t="s">
        <v>3311</v>
      </c>
      <c r="K3905" s="57" t="s">
        <v>591</v>
      </c>
      <c r="L3905" s="5" t="s">
        <v>914</v>
      </c>
      <c r="M3905" s="9">
        <v>1</v>
      </c>
      <c r="N3905" s="46">
        <v>1250000</v>
      </c>
      <c r="O3905" s="49">
        <f t="shared" si="101"/>
        <v>1250000</v>
      </c>
      <c r="P3905" s="5" t="s">
        <v>502</v>
      </c>
      <c r="Q3905" s="5" t="s">
        <v>3313</v>
      </c>
      <c r="R3905" s="11" t="s">
        <v>1175</v>
      </c>
      <c r="S3905" s="9">
        <v>50</v>
      </c>
    </row>
    <row r="3906" spans="1:19" ht="51">
      <c r="A3906" s="4">
        <v>3891</v>
      </c>
      <c r="B3906" s="29" t="s">
        <v>710</v>
      </c>
      <c r="C3906" s="30" t="s">
        <v>1464</v>
      </c>
      <c r="D3906" s="5" t="s">
        <v>3314</v>
      </c>
      <c r="E3906" s="5" t="s">
        <v>3323</v>
      </c>
      <c r="F3906" s="5" t="s">
        <v>3315</v>
      </c>
      <c r="G3906" s="5" t="s">
        <v>3323</v>
      </c>
      <c r="H3906" s="5" t="s">
        <v>3315</v>
      </c>
      <c r="I3906" s="5" t="s">
        <v>3323</v>
      </c>
      <c r="J3906" s="5" t="s">
        <v>3315</v>
      </c>
      <c r="K3906" s="57" t="s">
        <v>591</v>
      </c>
      <c r="L3906" s="5" t="s">
        <v>1464</v>
      </c>
      <c r="M3906" s="9">
        <v>1</v>
      </c>
      <c r="N3906" s="46">
        <v>700000</v>
      </c>
      <c r="O3906" s="49">
        <f t="shared" si="101"/>
        <v>700000</v>
      </c>
      <c r="P3906" s="5" t="s">
        <v>502</v>
      </c>
      <c r="Q3906" s="5" t="s">
        <v>2491</v>
      </c>
      <c r="R3906" s="11" t="s">
        <v>1175</v>
      </c>
      <c r="S3906" s="9">
        <v>50</v>
      </c>
    </row>
    <row r="3907" spans="1:19" ht="63.75">
      <c r="A3907" s="4">
        <v>3892</v>
      </c>
      <c r="B3907" s="29" t="s">
        <v>710</v>
      </c>
      <c r="C3907" s="30" t="s">
        <v>597</v>
      </c>
      <c r="D3907" s="31" t="s">
        <v>903</v>
      </c>
      <c r="E3907" s="57" t="s">
        <v>3320</v>
      </c>
      <c r="F3907" s="57" t="s">
        <v>3317</v>
      </c>
      <c r="G3907" s="57" t="s">
        <v>2338</v>
      </c>
      <c r="H3907" s="57" t="s">
        <v>904</v>
      </c>
      <c r="I3907" s="57" t="s">
        <v>3321</v>
      </c>
      <c r="J3907" s="57" t="s">
        <v>3316</v>
      </c>
      <c r="K3907" s="57" t="s">
        <v>591</v>
      </c>
      <c r="L3907" s="5" t="s">
        <v>914</v>
      </c>
      <c r="M3907" s="9">
        <v>1</v>
      </c>
      <c r="N3907" s="46">
        <v>588000</v>
      </c>
      <c r="O3907" s="49">
        <f t="shared" si="101"/>
        <v>588000</v>
      </c>
      <c r="P3907" s="5" t="s">
        <v>502</v>
      </c>
      <c r="Q3907" s="5" t="s">
        <v>766</v>
      </c>
      <c r="R3907" s="11" t="s">
        <v>2022</v>
      </c>
      <c r="S3907" s="9">
        <v>50</v>
      </c>
    </row>
    <row r="3908" spans="1:19" ht="102">
      <c r="A3908" s="4">
        <v>3893</v>
      </c>
      <c r="B3908" s="29" t="s">
        <v>710</v>
      </c>
      <c r="C3908" s="30" t="s">
        <v>597</v>
      </c>
      <c r="D3908" s="31" t="s">
        <v>1139</v>
      </c>
      <c r="E3908" s="57" t="s">
        <v>1808</v>
      </c>
      <c r="F3908" s="57" t="s">
        <v>1140</v>
      </c>
      <c r="G3908" s="57" t="s">
        <v>1808</v>
      </c>
      <c r="H3908" s="57" t="s">
        <v>1141</v>
      </c>
      <c r="I3908" s="5" t="s">
        <v>3322</v>
      </c>
      <c r="J3908" s="5" t="s">
        <v>3318</v>
      </c>
      <c r="K3908" s="57" t="s">
        <v>591</v>
      </c>
      <c r="L3908" s="5" t="s">
        <v>914</v>
      </c>
      <c r="M3908" s="9">
        <v>1</v>
      </c>
      <c r="N3908" s="46">
        <v>760000</v>
      </c>
      <c r="O3908" s="49">
        <f t="shared" si="101"/>
        <v>760000</v>
      </c>
      <c r="P3908" s="5" t="s">
        <v>502</v>
      </c>
      <c r="Q3908" s="5" t="s">
        <v>3319</v>
      </c>
      <c r="R3908" s="11" t="s">
        <v>1175</v>
      </c>
      <c r="S3908" s="9">
        <v>100</v>
      </c>
    </row>
    <row r="3909" spans="1:19" ht="76.5">
      <c r="A3909" s="4">
        <v>3894</v>
      </c>
      <c r="B3909" s="29" t="s">
        <v>710</v>
      </c>
      <c r="C3909" s="30" t="s">
        <v>711</v>
      </c>
      <c r="D3909" s="11" t="s">
        <v>1297</v>
      </c>
      <c r="E3909" s="57" t="s">
        <v>720</v>
      </c>
      <c r="F3909" s="57" t="s">
        <v>874</v>
      </c>
      <c r="G3909" s="57" t="s">
        <v>2097</v>
      </c>
      <c r="H3909" s="57" t="s">
        <v>1298</v>
      </c>
      <c r="I3909" s="57" t="s">
        <v>2095</v>
      </c>
      <c r="J3909" s="57" t="s">
        <v>2094</v>
      </c>
      <c r="K3909" s="57" t="s">
        <v>591</v>
      </c>
      <c r="L3909" s="31" t="s">
        <v>644</v>
      </c>
      <c r="M3909" s="9">
        <v>4</v>
      </c>
      <c r="N3909" s="46">
        <v>61600</v>
      </c>
      <c r="O3909" s="49">
        <f t="shared" si="101"/>
        <v>246400</v>
      </c>
      <c r="P3909" s="5" t="s">
        <v>502</v>
      </c>
      <c r="Q3909" s="5" t="s">
        <v>3319</v>
      </c>
      <c r="R3909" s="11" t="s">
        <v>633</v>
      </c>
      <c r="S3909" s="9">
        <v>100</v>
      </c>
    </row>
    <row r="3910" spans="1:19" ht="76.5">
      <c r="A3910" s="4">
        <v>3895</v>
      </c>
      <c r="B3910" s="29" t="s">
        <v>710</v>
      </c>
      <c r="C3910" s="30" t="s">
        <v>711</v>
      </c>
      <c r="D3910" s="11" t="s">
        <v>1297</v>
      </c>
      <c r="E3910" s="57" t="s">
        <v>720</v>
      </c>
      <c r="F3910" s="57" t="s">
        <v>874</v>
      </c>
      <c r="G3910" s="57" t="s">
        <v>2097</v>
      </c>
      <c r="H3910" s="57" t="s">
        <v>1298</v>
      </c>
      <c r="I3910" s="57" t="s">
        <v>2095</v>
      </c>
      <c r="J3910" s="57" t="s">
        <v>2094</v>
      </c>
      <c r="K3910" s="57" t="s">
        <v>591</v>
      </c>
      <c r="L3910" s="31" t="s">
        <v>644</v>
      </c>
      <c r="M3910" s="9">
        <v>1</v>
      </c>
      <c r="N3910" s="46">
        <v>61600</v>
      </c>
      <c r="O3910" s="49">
        <f t="shared" si="101"/>
        <v>61600</v>
      </c>
      <c r="P3910" s="5" t="s">
        <v>502</v>
      </c>
      <c r="Q3910" s="5" t="s">
        <v>3319</v>
      </c>
      <c r="R3910" s="11" t="s">
        <v>694</v>
      </c>
      <c r="S3910" s="9">
        <v>100</v>
      </c>
    </row>
    <row r="3911" spans="1:19" ht="63.75">
      <c r="A3911" s="4">
        <v>3896</v>
      </c>
      <c r="B3911" s="29" t="s">
        <v>710</v>
      </c>
      <c r="C3911" s="30" t="s">
        <v>711</v>
      </c>
      <c r="D3911" s="15" t="s">
        <v>726</v>
      </c>
      <c r="E3911" s="57" t="s">
        <v>720</v>
      </c>
      <c r="F3911" s="57" t="s">
        <v>720</v>
      </c>
      <c r="G3911" s="57" t="s">
        <v>727</v>
      </c>
      <c r="H3911" s="57" t="s">
        <v>728</v>
      </c>
      <c r="I3911" s="57" t="s">
        <v>2091</v>
      </c>
      <c r="J3911" s="57" t="s">
        <v>1</v>
      </c>
      <c r="K3911" s="57" t="s">
        <v>591</v>
      </c>
      <c r="L3911" s="31" t="s">
        <v>644</v>
      </c>
      <c r="M3911" s="9">
        <v>5</v>
      </c>
      <c r="N3911" s="46">
        <v>81800</v>
      </c>
      <c r="O3911" s="49">
        <f t="shared" si="101"/>
        <v>409000</v>
      </c>
      <c r="P3911" s="5" t="s">
        <v>502</v>
      </c>
      <c r="Q3911" s="5" t="s">
        <v>3319</v>
      </c>
      <c r="R3911" s="11" t="s">
        <v>633</v>
      </c>
      <c r="S3911" s="9">
        <v>100</v>
      </c>
    </row>
    <row r="3912" spans="1:19" ht="63.75">
      <c r="A3912" s="4">
        <v>3897</v>
      </c>
      <c r="B3912" s="29" t="s">
        <v>710</v>
      </c>
      <c r="C3912" s="30" t="s">
        <v>711</v>
      </c>
      <c r="D3912" s="15" t="s">
        <v>763</v>
      </c>
      <c r="E3912" s="57" t="s">
        <v>797</v>
      </c>
      <c r="F3912" s="57" t="s">
        <v>797</v>
      </c>
      <c r="G3912" s="57" t="s">
        <v>798</v>
      </c>
      <c r="H3912" s="57" t="s">
        <v>764</v>
      </c>
      <c r="I3912" s="57" t="s">
        <v>2152</v>
      </c>
      <c r="J3912" s="57" t="s">
        <v>146</v>
      </c>
      <c r="K3912" s="57" t="s">
        <v>591</v>
      </c>
      <c r="L3912" s="31" t="s">
        <v>644</v>
      </c>
      <c r="M3912" s="9">
        <v>5</v>
      </c>
      <c r="N3912" s="46">
        <v>24920</v>
      </c>
      <c r="O3912" s="49">
        <f t="shared" si="101"/>
        <v>124600</v>
      </c>
      <c r="P3912" s="5" t="s">
        <v>502</v>
      </c>
      <c r="Q3912" s="5" t="s">
        <v>3319</v>
      </c>
      <c r="R3912" s="11" t="s">
        <v>633</v>
      </c>
      <c r="S3912" s="9">
        <v>100</v>
      </c>
    </row>
    <row r="3913" spans="1:19" s="13" customFormat="1" ht="51">
      <c r="A3913" s="5">
        <v>3898</v>
      </c>
      <c r="B3913" s="29" t="s">
        <v>710</v>
      </c>
      <c r="C3913" s="35" t="s">
        <v>597</v>
      </c>
      <c r="D3913" s="31" t="s">
        <v>592</v>
      </c>
      <c r="E3913" s="57" t="s">
        <v>2042</v>
      </c>
      <c r="F3913" s="57" t="s">
        <v>594</v>
      </c>
      <c r="G3913" s="57" t="s">
        <v>2043</v>
      </c>
      <c r="H3913" s="57" t="s">
        <v>2044</v>
      </c>
      <c r="I3913" s="57" t="s">
        <v>3335</v>
      </c>
      <c r="J3913" s="57" t="s">
        <v>3334</v>
      </c>
      <c r="K3913" s="57" t="s">
        <v>591</v>
      </c>
      <c r="L3913" s="11" t="s">
        <v>914</v>
      </c>
      <c r="M3913" s="22">
        <v>1</v>
      </c>
      <c r="N3913" s="46">
        <f>O3913/M3913</f>
        <v>140800</v>
      </c>
      <c r="O3913" s="49">
        <v>140800</v>
      </c>
      <c r="P3913" s="5" t="s">
        <v>502</v>
      </c>
      <c r="Q3913" s="5" t="s">
        <v>766</v>
      </c>
      <c r="R3913" s="11" t="s">
        <v>2030</v>
      </c>
      <c r="S3913" s="22">
        <v>100</v>
      </c>
    </row>
    <row r="3914" spans="1:19" s="13" customFormat="1" ht="51">
      <c r="A3914" s="5">
        <v>3899</v>
      </c>
      <c r="B3914" s="15" t="s">
        <v>710</v>
      </c>
      <c r="C3914" s="31" t="s">
        <v>597</v>
      </c>
      <c r="D3914" s="31" t="s">
        <v>592</v>
      </c>
      <c r="E3914" s="57" t="s">
        <v>2042</v>
      </c>
      <c r="F3914" s="57" t="s">
        <v>594</v>
      </c>
      <c r="G3914" s="57" t="s">
        <v>2043</v>
      </c>
      <c r="H3914" s="57" t="s">
        <v>2044</v>
      </c>
      <c r="I3914" s="57" t="s">
        <v>3335</v>
      </c>
      <c r="J3914" s="57" t="s">
        <v>3334</v>
      </c>
      <c r="K3914" s="57" t="s">
        <v>591</v>
      </c>
      <c r="L3914" s="11" t="s">
        <v>914</v>
      </c>
      <c r="M3914" s="22">
        <v>1</v>
      </c>
      <c r="N3914" s="46">
        <f t="shared" ref="N3914:N3925" si="102">O3914/M3914</f>
        <v>116480</v>
      </c>
      <c r="O3914" s="49">
        <v>116480</v>
      </c>
      <c r="P3914" s="5" t="s">
        <v>502</v>
      </c>
      <c r="Q3914" s="5" t="s">
        <v>766</v>
      </c>
      <c r="R3914" s="11" t="s">
        <v>1021</v>
      </c>
      <c r="S3914" s="22">
        <v>100</v>
      </c>
    </row>
    <row r="3915" spans="1:19" s="13" customFormat="1" ht="51">
      <c r="A3915" s="5">
        <v>3900</v>
      </c>
      <c r="B3915" s="15" t="s">
        <v>710</v>
      </c>
      <c r="C3915" s="31" t="s">
        <v>597</v>
      </c>
      <c r="D3915" s="31" t="s">
        <v>592</v>
      </c>
      <c r="E3915" s="57" t="s">
        <v>2042</v>
      </c>
      <c r="F3915" s="57" t="s">
        <v>594</v>
      </c>
      <c r="G3915" s="57" t="s">
        <v>2043</v>
      </c>
      <c r="H3915" s="57" t="s">
        <v>2044</v>
      </c>
      <c r="I3915" s="57" t="s">
        <v>3335</v>
      </c>
      <c r="J3915" s="57" t="s">
        <v>3334</v>
      </c>
      <c r="K3915" s="57" t="s">
        <v>591</v>
      </c>
      <c r="L3915" s="11" t="s">
        <v>914</v>
      </c>
      <c r="M3915" s="22">
        <v>1</v>
      </c>
      <c r="N3915" s="46">
        <f t="shared" si="102"/>
        <v>160124</v>
      </c>
      <c r="O3915" s="49">
        <v>160124</v>
      </c>
      <c r="P3915" s="5" t="s">
        <v>502</v>
      </c>
      <c r="Q3915" s="5" t="s">
        <v>766</v>
      </c>
      <c r="R3915" s="11" t="s">
        <v>789</v>
      </c>
      <c r="S3915" s="22">
        <v>100</v>
      </c>
    </row>
    <row r="3916" spans="1:19" s="13" customFormat="1" ht="51">
      <c r="A3916" s="5">
        <v>3901</v>
      </c>
      <c r="B3916" s="15" t="s">
        <v>710</v>
      </c>
      <c r="C3916" s="31" t="s">
        <v>597</v>
      </c>
      <c r="D3916" s="31" t="s">
        <v>592</v>
      </c>
      <c r="E3916" s="57" t="s">
        <v>2042</v>
      </c>
      <c r="F3916" s="57" t="s">
        <v>594</v>
      </c>
      <c r="G3916" s="57" t="s">
        <v>2043</v>
      </c>
      <c r="H3916" s="57" t="s">
        <v>2044</v>
      </c>
      <c r="I3916" s="57" t="s">
        <v>3335</v>
      </c>
      <c r="J3916" s="57" t="s">
        <v>3334</v>
      </c>
      <c r="K3916" s="57" t="s">
        <v>591</v>
      </c>
      <c r="L3916" s="11" t="s">
        <v>914</v>
      </c>
      <c r="M3916" s="22">
        <v>1</v>
      </c>
      <c r="N3916" s="46">
        <f t="shared" si="102"/>
        <v>280000</v>
      </c>
      <c r="O3916" s="49">
        <v>280000</v>
      </c>
      <c r="P3916" s="5" t="s">
        <v>502</v>
      </c>
      <c r="Q3916" s="5" t="s">
        <v>766</v>
      </c>
      <c r="R3916" s="11" t="s">
        <v>2022</v>
      </c>
      <c r="S3916" s="22">
        <v>100</v>
      </c>
    </row>
    <row r="3917" spans="1:19" s="13" customFormat="1" ht="51">
      <c r="A3917" s="5">
        <v>3902</v>
      </c>
      <c r="B3917" s="15" t="s">
        <v>710</v>
      </c>
      <c r="C3917" s="31" t="s">
        <v>597</v>
      </c>
      <c r="D3917" s="31" t="s">
        <v>592</v>
      </c>
      <c r="E3917" s="57" t="s">
        <v>2042</v>
      </c>
      <c r="F3917" s="57" t="s">
        <v>594</v>
      </c>
      <c r="G3917" s="57" t="s">
        <v>2043</v>
      </c>
      <c r="H3917" s="57" t="s">
        <v>2044</v>
      </c>
      <c r="I3917" s="57" t="s">
        <v>3335</v>
      </c>
      <c r="J3917" s="57" t="s">
        <v>3334</v>
      </c>
      <c r="K3917" s="57" t="s">
        <v>591</v>
      </c>
      <c r="L3917" s="11" t="s">
        <v>914</v>
      </c>
      <c r="M3917" s="22">
        <v>1</v>
      </c>
      <c r="N3917" s="46">
        <f t="shared" si="102"/>
        <v>91000</v>
      </c>
      <c r="O3917" s="49">
        <v>91000</v>
      </c>
      <c r="P3917" s="5" t="s">
        <v>502</v>
      </c>
      <c r="Q3917" s="5" t="s">
        <v>766</v>
      </c>
      <c r="R3917" s="11" t="s">
        <v>2027</v>
      </c>
      <c r="S3917" s="22">
        <v>100</v>
      </c>
    </row>
    <row r="3918" spans="1:19" s="13" customFormat="1" ht="51">
      <c r="A3918" s="5">
        <v>3903</v>
      </c>
      <c r="B3918" s="15" t="s">
        <v>710</v>
      </c>
      <c r="C3918" s="31" t="s">
        <v>597</v>
      </c>
      <c r="D3918" s="31" t="s">
        <v>592</v>
      </c>
      <c r="E3918" s="57" t="s">
        <v>2042</v>
      </c>
      <c r="F3918" s="57" t="s">
        <v>594</v>
      </c>
      <c r="G3918" s="57" t="s">
        <v>2043</v>
      </c>
      <c r="H3918" s="57" t="s">
        <v>2044</v>
      </c>
      <c r="I3918" s="57" t="s">
        <v>3335</v>
      </c>
      <c r="J3918" s="57" t="s">
        <v>3334</v>
      </c>
      <c r="K3918" s="57" t="s">
        <v>591</v>
      </c>
      <c r="L3918" s="11" t="s">
        <v>914</v>
      </c>
      <c r="M3918" s="22">
        <v>1</v>
      </c>
      <c r="N3918" s="46">
        <f t="shared" si="102"/>
        <v>79964</v>
      </c>
      <c r="O3918" s="49">
        <v>79964</v>
      </c>
      <c r="P3918" s="5" t="s">
        <v>502</v>
      </c>
      <c r="Q3918" s="5" t="s">
        <v>766</v>
      </c>
      <c r="R3918" s="11" t="s">
        <v>2023</v>
      </c>
      <c r="S3918" s="22">
        <v>100</v>
      </c>
    </row>
    <row r="3919" spans="1:19" ht="51">
      <c r="A3919" s="5">
        <v>3904</v>
      </c>
      <c r="B3919" s="15" t="s">
        <v>710</v>
      </c>
      <c r="C3919" s="31" t="s">
        <v>597</v>
      </c>
      <c r="D3919" s="31" t="s">
        <v>592</v>
      </c>
      <c r="E3919" s="57" t="s">
        <v>2042</v>
      </c>
      <c r="F3919" s="57" t="s">
        <v>594</v>
      </c>
      <c r="G3919" s="57" t="s">
        <v>2043</v>
      </c>
      <c r="H3919" s="57" t="s">
        <v>2044</v>
      </c>
      <c r="I3919" s="57" t="s">
        <v>3335</v>
      </c>
      <c r="J3919" s="57" t="s">
        <v>3334</v>
      </c>
      <c r="K3919" s="57" t="s">
        <v>591</v>
      </c>
      <c r="L3919" s="11" t="s">
        <v>914</v>
      </c>
      <c r="M3919" s="22">
        <v>1</v>
      </c>
      <c r="N3919" s="46">
        <f t="shared" si="102"/>
        <v>240000</v>
      </c>
      <c r="O3919" s="49">
        <v>240000</v>
      </c>
      <c r="P3919" s="5" t="s">
        <v>502</v>
      </c>
      <c r="Q3919" s="5" t="s">
        <v>766</v>
      </c>
      <c r="R3919" s="11" t="s">
        <v>633</v>
      </c>
      <c r="S3919" s="22">
        <v>100</v>
      </c>
    </row>
    <row r="3920" spans="1:19" s="34" customFormat="1" ht="51">
      <c r="A3920" s="5">
        <v>3905</v>
      </c>
      <c r="B3920" s="15" t="s">
        <v>710</v>
      </c>
      <c r="C3920" s="31" t="s">
        <v>597</v>
      </c>
      <c r="D3920" s="31" t="s">
        <v>592</v>
      </c>
      <c r="E3920" s="57" t="s">
        <v>2042</v>
      </c>
      <c r="F3920" s="57" t="s">
        <v>594</v>
      </c>
      <c r="G3920" s="57" t="s">
        <v>2043</v>
      </c>
      <c r="H3920" s="57" t="s">
        <v>2044</v>
      </c>
      <c r="I3920" s="57" t="s">
        <v>3335</v>
      </c>
      <c r="J3920" s="57" t="s">
        <v>3334</v>
      </c>
      <c r="K3920" s="57" t="s">
        <v>591</v>
      </c>
      <c r="L3920" s="11" t="s">
        <v>914</v>
      </c>
      <c r="M3920" s="22">
        <v>1</v>
      </c>
      <c r="N3920" s="46">
        <f t="shared" si="102"/>
        <v>90000</v>
      </c>
      <c r="O3920" s="49">
        <v>90000</v>
      </c>
      <c r="P3920" s="5" t="s">
        <v>502</v>
      </c>
      <c r="Q3920" s="5" t="s">
        <v>766</v>
      </c>
      <c r="R3920" s="11" t="s">
        <v>2514</v>
      </c>
      <c r="S3920" s="22">
        <v>100</v>
      </c>
    </row>
    <row r="3921" spans="1:19" s="36" customFormat="1" ht="51">
      <c r="A3921" s="5">
        <v>3906</v>
      </c>
      <c r="B3921" s="15" t="s">
        <v>710</v>
      </c>
      <c r="C3921" s="31" t="s">
        <v>597</v>
      </c>
      <c r="D3921" s="31" t="s">
        <v>592</v>
      </c>
      <c r="E3921" s="57" t="s">
        <v>2042</v>
      </c>
      <c r="F3921" s="57" t="s">
        <v>594</v>
      </c>
      <c r="G3921" s="57" t="s">
        <v>2043</v>
      </c>
      <c r="H3921" s="57" t="s">
        <v>2044</v>
      </c>
      <c r="I3921" s="57" t="s">
        <v>3335</v>
      </c>
      <c r="J3921" s="57" t="s">
        <v>3334</v>
      </c>
      <c r="K3921" s="57" t="s">
        <v>591</v>
      </c>
      <c r="L3921" s="11" t="s">
        <v>914</v>
      </c>
      <c r="M3921" s="22">
        <v>1</v>
      </c>
      <c r="N3921" s="46">
        <f t="shared" si="102"/>
        <v>78800</v>
      </c>
      <c r="O3921" s="49">
        <v>78800</v>
      </c>
      <c r="P3921" s="5" t="s">
        <v>502</v>
      </c>
      <c r="Q3921" s="5" t="s">
        <v>766</v>
      </c>
      <c r="R3921" s="11" t="s">
        <v>2024</v>
      </c>
      <c r="S3921" s="22">
        <v>100</v>
      </c>
    </row>
    <row r="3922" spans="1:19" s="13" customFormat="1" ht="51">
      <c r="A3922" s="5">
        <v>3907</v>
      </c>
      <c r="B3922" s="15" t="s">
        <v>710</v>
      </c>
      <c r="C3922" s="31" t="s">
        <v>597</v>
      </c>
      <c r="D3922" s="31" t="s">
        <v>592</v>
      </c>
      <c r="E3922" s="57" t="s">
        <v>2042</v>
      </c>
      <c r="F3922" s="57" t="s">
        <v>594</v>
      </c>
      <c r="G3922" s="57" t="s">
        <v>2043</v>
      </c>
      <c r="H3922" s="57" t="s">
        <v>2044</v>
      </c>
      <c r="I3922" s="57" t="s">
        <v>3335</v>
      </c>
      <c r="J3922" s="57" t="s">
        <v>3334</v>
      </c>
      <c r="K3922" s="57" t="s">
        <v>591</v>
      </c>
      <c r="L3922" s="11" t="s">
        <v>914</v>
      </c>
      <c r="M3922" s="22">
        <v>1</v>
      </c>
      <c r="N3922" s="46">
        <f t="shared" si="102"/>
        <v>217000</v>
      </c>
      <c r="O3922" s="49">
        <v>217000</v>
      </c>
      <c r="P3922" s="5" t="s">
        <v>502</v>
      </c>
      <c r="Q3922" s="5" t="s">
        <v>766</v>
      </c>
      <c r="R3922" s="11" t="s">
        <v>2597</v>
      </c>
      <c r="S3922" s="22">
        <v>100</v>
      </c>
    </row>
    <row r="3923" spans="1:19" ht="51">
      <c r="A3923" s="5">
        <v>3908</v>
      </c>
      <c r="B3923" s="15" t="s">
        <v>710</v>
      </c>
      <c r="C3923" s="31" t="s">
        <v>597</v>
      </c>
      <c r="D3923" s="31" t="s">
        <v>592</v>
      </c>
      <c r="E3923" s="57" t="s">
        <v>2042</v>
      </c>
      <c r="F3923" s="57" t="s">
        <v>594</v>
      </c>
      <c r="G3923" s="57" t="s">
        <v>2043</v>
      </c>
      <c r="H3923" s="57" t="s">
        <v>2044</v>
      </c>
      <c r="I3923" s="57" t="s">
        <v>3335</v>
      </c>
      <c r="J3923" s="57" t="s">
        <v>3334</v>
      </c>
      <c r="K3923" s="57" t="s">
        <v>591</v>
      </c>
      <c r="L3923" s="11" t="s">
        <v>914</v>
      </c>
      <c r="M3923" s="22">
        <v>1</v>
      </c>
      <c r="N3923" s="46">
        <f t="shared" si="102"/>
        <v>134543</v>
      </c>
      <c r="O3923" s="49">
        <v>134543</v>
      </c>
      <c r="P3923" s="5" t="s">
        <v>502</v>
      </c>
      <c r="Q3923" s="5" t="s">
        <v>766</v>
      </c>
      <c r="R3923" s="11" t="s">
        <v>925</v>
      </c>
      <c r="S3923" s="22">
        <v>100</v>
      </c>
    </row>
    <row r="3924" spans="1:19" s="32" customFormat="1" ht="57.75" customHeight="1">
      <c r="A3924" s="5">
        <v>3909</v>
      </c>
      <c r="B3924" s="15" t="s">
        <v>710</v>
      </c>
      <c r="C3924" s="31" t="s">
        <v>597</v>
      </c>
      <c r="D3924" s="31" t="s">
        <v>592</v>
      </c>
      <c r="E3924" s="57" t="s">
        <v>2042</v>
      </c>
      <c r="F3924" s="57" t="s">
        <v>594</v>
      </c>
      <c r="G3924" s="57" t="s">
        <v>2043</v>
      </c>
      <c r="H3924" s="57" t="s">
        <v>2044</v>
      </c>
      <c r="I3924" s="57" t="s">
        <v>3335</v>
      </c>
      <c r="J3924" s="57" t="s">
        <v>3334</v>
      </c>
      <c r="K3924" s="57" t="s">
        <v>591</v>
      </c>
      <c r="L3924" s="11" t="s">
        <v>914</v>
      </c>
      <c r="M3924" s="22">
        <v>1</v>
      </c>
      <c r="N3924" s="46">
        <f t="shared" si="102"/>
        <v>206000</v>
      </c>
      <c r="O3924" s="49">
        <v>206000</v>
      </c>
      <c r="P3924" s="5" t="s">
        <v>502</v>
      </c>
      <c r="Q3924" s="5" t="s">
        <v>766</v>
      </c>
      <c r="R3924" s="11" t="s">
        <v>902</v>
      </c>
      <c r="S3924" s="22">
        <v>100</v>
      </c>
    </row>
    <row r="3925" spans="1:19" s="13" customFormat="1" ht="51">
      <c r="A3925" s="5">
        <v>3910</v>
      </c>
      <c r="B3925" s="15" t="s">
        <v>941</v>
      </c>
      <c r="C3925" s="5" t="s">
        <v>597</v>
      </c>
      <c r="D3925" s="31" t="s">
        <v>592</v>
      </c>
      <c r="E3925" s="57" t="s">
        <v>2042</v>
      </c>
      <c r="F3925" s="57" t="s">
        <v>594</v>
      </c>
      <c r="G3925" s="57" t="s">
        <v>2043</v>
      </c>
      <c r="H3925" s="57" t="s">
        <v>2044</v>
      </c>
      <c r="I3925" s="57" t="s">
        <v>3335</v>
      </c>
      <c r="J3925" s="57" t="s">
        <v>3334</v>
      </c>
      <c r="K3925" s="57" t="s">
        <v>591</v>
      </c>
      <c r="L3925" s="11" t="s">
        <v>914</v>
      </c>
      <c r="M3925" s="22">
        <v>1</v>
      </c>
      <c r="N3925" s="46">
        <f t="shared" si="102"/>
        <v>220000</v>
      </c>
      <c r="O3925" s="49">
        <v>220000</v>
      </c>
      <c r="P3925" s="5" t="s">
        <v>502</v>
      </c>
      <c r="Q3925" s="5" t="s">
        <v>766</v>
      </c>
      <c r="R3925" s="11" t="s">
        <v>3339</v>
      </c>
      <c r="S3925" s="22">
        <v>100</v>
      </c>
    </row>
    <row r="3926" spans="1:19" s="7" customFormat="1" ht="89.25">
      <c r="A3926" s="4">
        <v>3911</v>
      </c>
      <c r="B3926" s="29" t="s">
        <v>710</v>
      </c>
      <c r="C3926" s="35" t="s">
        <v>597</v>
      </c>
      <c r="D3926" s="5" t="s">
        <v>2407</v>
      </c>
      <c r="E3926" s="5" t="s">
        <v>2408</v>
      </c>
      <c r="F3926" s="5" t="s">
        <v>2409</v>
      </c>
      <c r="G3926" s="5" t="s">
        <v>2408</v>
      </c>
      <c r="H3926" s="31" t="s">
        <v>2409</v>
      </c>
      <c r="I3926" s="5" t="s">
        <v>3337</v>
      </c>
      <c r="J3926" s="5" t="s">
        <v>3336</v>
      </c>
      <c r="K3926" s="5" t="s">
        <v>591</v>
      </c>
      <c r="L3926" s="11" t="s">
        <v>914</v>
      </c>
      <c r="M3926" s="6">
        <v>1</v>
      </c>
      <c r="N3926" s="71">
        <f t="shared" ref="N3926:N3929" si="103">O3926</f>
        <v>2100000</v>
      </c>
      <c r="O3926" s="71">
        <v>2100000</v>
      </c>
      <c r="P3926" s="5" t="s">
        <v>502</v>
      </c>
      <c r="Q3926" s="5" t="s">
        <v>3338</v>
      </c>
      <c r="R3926" s="11" t="s">
        <v>3339</v>
      </c>
      <c r="S3926" s="5">
        <v>100</v>
      </c>
    </row>
    <row r="3927" spans="1:19" ht="76.5" outlineLevel="1">
      <c r="A3927" s="5">
        <v>3912</v>
      </c>
      <c r="B3927" s="15" t="s">
        <v>710</v>
      </c>
      <c r="C3927" s="5" t="s">
        <v>597</v>
      </c>
      <c r="D3927" s="117" t="s">
        <v>1146</v>
      </c>
      <c r="E3927" s="57" t="s">
        <v>1824</v>
      </c>
      <c r="F3927" s="57" t="s">
        <v>1147</v>
      </c>
      <c r="G3927" s="57" t="s">
        <v>1825</v>
      </c>
      <c r="H3927" s="57" t="s">
        <v>1148</v>
      </c>
      <c r="I3927" s="5" t="s">
        <v>3341</v>
      </c>
      <c r="J3927" s="57" t="s">
        <v>3340</v>
      </c>
      <c r="K3927" s="57" t="s">
        <v>591</v>
      </c>
      <c r="L3927" s="11" t="s">
        <v>914</v>
      </c>
      <c r="M3927" s="22">
        <v>1</v>
      </c>
      <c r="N3927" s="71">
        <f t="shared" si="103"/>
        <v>1687200</v>
      </c>
      <c r="O3927" s="49">
        <v>1687200</v>
      </c>
      <c r="P3927" s="5" t="s">
        <v>502</v>
      </c>
      <c r="Q3927" s="5" t="s">
        <v>3338</v>
      </c>
      <c r="R3927" s="11" t="s">
        <v>3339</v>
      </c>
      <c r="S3927" s="5">
        <v>50</v>
      </c>
    </row>
    <row r="3928" spans="1:19" ht="63.75" outlineLevel="1">
      <c r="A3928" s="4">
        <v>3913</v>
      </c>
      <c r="B3928" s="15" t="s">
        <v>710</v>
      </c>
      <c r="C3928" s="5" t="s">
        <v>597</v>
      </c>
      <c r="D3928" s="117" t="s">
        <v>3342</v>
      </c>
      <c r="E3928" s="57" t="s">
        <v>3344</v>
      </c>
      <c r="F3928" s="57" t="s">
        <v>3343</v>
      </c>
      <c r="G3928" s="57" t="s">
        <v>3344</v>
      </c>
      <c r="H3928" s="57" t="s">
        <v>3343</v>
      </c>
      <c r="I3928" s="5" t="s">
        <v>3346</v>
      </c>
      <c r="J3928" s="57" t="s">
        <v>3345</v>
      </c>
      <c r="K3928" s="57" t="s">
        <v>591</v>
      </c>
      <c r="L3928" s="11" t="s">
        <v>914</v>
      </c>
      <c r="M3928" s="22">
        <v>1</v>
      </c>
      <c r="N3928" s="71">
        <f t="shared" si="103"/>
        <v>434280</v>
      </c>
      <c r="O3928" s="49">
        <v>434280</v>
      </c>
      <c r="P3928" s="5" t="s">
        <v>502</v>
      </c>
      <c r="Q3928" s="5" t="s">
        <v>3338</v>
      </c>
      <c r="R3928" s="11" t="s">
        <v>3339</v>
      </c>
      <c r="S3928" s="5">
        <v>50</v>
      </c>
    </row>
    <row r="3929" spans="1:19" s="7" customFormat="1" ht="51">
      <c r="A3929" s="5">
        <v>3914</v>
      </c>
      <c r="B3929" s="29" t="s">
        <v>710</v>
      </c>
      <c r="C3929" s="35" t="s">
        <v>1464</v>
      </c>
      <c r="D3929" s="5" t="s">
        <v>2400</v>
      </c>
      <c r="E3929" s="5" t="s">
        <v>2401</v>
      </c>
      <c r="F3929" s="5" t="s">
        <v>2402</v>
      </c>
      <c r="G3929" s="5" t="s">
        <v>2401</v>
      </c>
      <c r="H3929" s="31" t="s">
        <v>2402</v>
      </c>
      <c r="I3929" s="5" t="s">
        <v>3347</v>
      </c>
      <c r="J3929" s="31" t="s">
        <v>3348</v>
      </c>
      <c r="K3929" s="5" t="s">
        <v>591</v>
      </c>
      <c r="L3929" s="4" t="s">
        <v>1464</v>
      </c>
      <c r="M3929" s="6">
        <v>1</v>
      </c>
      <c r="N3929" s="71">
        <f t="shared" si="103"/>
        <v>3303572</v>
      </c>
      <c r="O3929" s="71">
        <v>3303572</v>
      </c>
      <c r="P3929" s="5" t="s">
        <v>502</v>
      </c>
      <c r="Q3929" s="5" t="s">
        <v>3349</v>
      </c>
      <c r="R3929" s="11" t="s">
        <v>902</v>
      </c>
      <c r="S3929" s="5">
        <v>50</v>
      </c>
    </row>
    <row r="3930" spans="1:19" s="7" customFormat="1" ht="89.25">
      <c r="A3930" s="4">
        <v>3915</v>
      </c>
      <c r="B3930" s="29" t="s">
        <v>710</v>
      </c>
      <c r="C3930" s="35" t="s">
        <v>1464</v>
      </c>
      <c r="D3930" s="5" t="s">
        <v>3015</v>
      </c>
      <c r="E3930" s="5" t="s">
        <v>3018</v>
      </c>
      <c r="F3930" s="5" t="s">
        <v>3016</v>
      </c>
      <c r="G3930" s="5" t="s">
        <v>3019</v>
      </c>
      <c r="H3930" s="31" t="s">
        <v>3017</v>
      </c>
      <c r="I3930" s="5" t="s">
        <v>3350</v>
      </c>
      <c r="J3930" s="31" t="s">
        <v>2952</v>
      </c>
      <c r="K3930" s="5" t="s">
        <v>591</v>
      </c>
      <c r="L3930" s="4" t="s">
        <v>1464</v>
      </c>
      <c r="M3930" s="6">
        <v>1</v>
      </c>
      <c r="N3930" s="71">
        <f>O3930</f>
        <v>775219</v>
      </c>
      <c r="O3930" s="71">
        <v>775219</v>
      </c>
      <c r="P3930" s="5" t="s">
        <v>502</v>
      </c>
      <c r="Q3930" s="5" t="s">
        <v>3349</v>
      </c>
      <c r="R3930" s="11" t="s">
        <v>902</v>
      </c>
      <c r="S3930" s="5">
        <v>50</v>
      </c>
    </row>
    <row r="3931" spans="1:19" s="7" customFormat="1" ht="51">
      <c r="A3931" s="5">
        <v>3916</v>
      </c>
      <c r="B3931" s="15" t="s">
        <v>710</v>
      </c>
      <c r="C3931" s="5" t="s">
        <v>1464</v>
      </c>
      <c r="D3931" s="5" t="s">
        <v>3351</v>
      </c>
      <c r="E3931" s="5" t="s">
        <v>3354</v>
      </c>
      <c r="F3931" s="5" t="s">
        <v>3352</v>
      </c>
      <c r="G3931" s="5" t="s">
        <v>3355</v>
      </c>
      <c r="H3931" s="31" t="s">
        <v>3353</v>
      </c>
      <c r="I3931" s="5" t="s">
        <v>3355</v>
      </c>
      <c r="J3931" s="31" t="s">
        <v>3353</v>
      </c>
      <c r="K3931" s="57" t="s">
        <v>1484</v>
      </c>
      <c r="L3931" s="4" t="s">
        <v>1464</v>
      </c>
      <c r="M3931" s="6">
        <v>1</v>
      </c>
      <c r="N3931" s="71">
        <f t="shared" ref="N3931:N3939" si="104">O3931/M3931</f>
        <v>4643000</v>
      </c>
      <c r="O3931" s="71">
        <v>4643000</v>
      </c>
      <c r="P3931" s="5" t="s">
        <v>698</v>
      </c>
      <c r="Q3931" s="5" t="s">
        <v>2939</v>
      </c>
      <c r="R3931" s="11" t="s">
        <v>1175</v>
      </c>
      <c r="S3931" s="5">
        <v>50</v>
      </c>
    </row>
    <row r="3932" spans="1:19" s="92" customFormat="1" ht="51">
      <c r="A3932" s="5">
        <v>3917</v>
      </c>
      <c r="B3932" s="15" t="s">
        <v>710</v>
      </c>
      <c r="C3932" s="40" t="s">
        <v>597</v>
      </c>
      <c r="D3932" s="40" t="s">
        <v>3128</v>
      </c>
      <c r="E3932" s="31" t="s">
        <v>2620</v>
      </c>
      <c r="F3932" s="31" t="s">
        <v>1304</v>
      </c>
      <c r="G3932" s="31" t="s">
        <v>3129</v>
      </c>
      <c r="H3932" s="40" t="s">
        <v>3130</v>
      </c>
      <c r="I3932" s="40" t="s">
        <v>3131</v>
      </c>
      <c r="J3932" s="40" t="s">
        <v>3132</v>
      </c>
      <c r="K3932" s="40" t="s">
        <v>591</v>
      </c>
      <c r="L3932" s="11" t="s">
        <v>914</v>
      </c>
      <c r="M3932" s="93">
        <v>1</v>
      </c>
      <c r="N3932" s="94">
        <f t="shared" si="104"/>
        <v>52750</v>
      </c>
      <c r="O3932" s="94">
        <v>52750</v>
      </c>
      <c r="P3932" s="5" t="s">
        <v>698</v>
      </c>
      <c r="Q3932" s="40" t="s">
        <v>766</v>
      </c>
      <c r="R3932" s="84" t="s">
        <v>3460</v>
      </c>
      <c r="S3932" s="40">
        <v>50</v>
      </c>
    </row>
    <row r="3933" spans="1:19" s="113" customFormat="1" ht="114.75">
      <c r="A3933" s="5">
        <v>3918</v>
      </c>
      <c r="B3933" s="15" t="s">
        <v>710</v>
      </c>
      <c r="C3933" s="31" t="s">
        <v>597</v>
      </c>
      <c r="D3933" s="5" t="s">
        <v>1427</v>
      </c>
      <c r="E3933" s="57" t="s">
        <v>1942</v>
      </c>
      <c r="F3933" s="57" t="s">
        <v>1428</v>
      </c>
      <c r="G3933" s="57" t="s">
        <v>1943</v>
      </c>
      <c r="H3933" s="57" t="s">
        <v>1429</v>
      </c>
      <c r="I3933" s="57" t="s">
        <v>1941</v>
      </c>
      <c r="J3933" s="57" t="s">
        <v>293</v>
      </c>
      <c r="K3933" s="57" t="s">
        <v>591</v>
      </c>
      <c r="L3933" s="11" t="s">
        <v>914</v>
      </c>
      <c r="M3933" s="22">
        <v>1</v>
      </c>
      <c r="N3933" s="46">
        <f t="shared" si="104"/>
        <v>3307142.8599999994</v>
      </c>
      <c r="O3933" s="49">
        <f>8324328.64-5017185.78</f>
        <v>3307142.8599999994</v>
      </c>
      <c r="P3933" s="5" t="s">
        <v>699</v>
      </c>
      <c r="Q3933" s="5" t="s">
        <v>766</v>
      </c>
      <c r="R3933" s="11" t="s">
        <v>1175</v>
      </c>
      <c r="S3933" s="5">
        <v>0</v>
      </c>
    </row>
    <row r="3934" spans="1:19" s="113" customFormat="1" ht="114.75">
      <c r="A3934" s="5">
        <v>3919</v>
      </c>
      <c r="B3934" s="15" t="s">
        <v>710</v>
      </c>
      <c r="C3934" s="31" t="s">
        <v>597</v>
      </c>
      <c r="D3934" s="5" t="s">
        <v>1427</v>
      </c>
      <c r="E3934" s="57" t="s">
        <v>1942</v>
      </c>
      <c r="F3934" s="57" t="s">
        <v>1428</v>
      </c>
      <c r="G3934" s="57" t="s">
        <v>1943</v>
      </c>
      <c r="H3934" s="57" t="s">
        <v>1429</v>
      </c>
      <c r="I3934" s="57" t="s">
        <v>1941</v>
      </c>
      <c r="J3934" s="57" t="s">
        <v>293</v>
      </c>
      <c r="K3934" s="57" t="s">
        <v>591</v>
      </c>
      <c r="L3934" s="11" t="s">
        <v>914</v>
      </c>
      <c r="M3934" s="22">
        <v>1</v>
      </c>
      <c r="N3934" s="46">
        <f t="shared" si="104"/>
        <v>0</v>
      </c>
      <c r="O3934" s="49">
        <f>906250+245757.21-1152007.21</f>
        <v>0</v>
      </c>
      <c r="P3934" s="5" t="s">
        <v>699</v>
      </c>
      <c r="Q3934" s="5" t="s">
        <v>3093</v>
      </c>
      <c r="R3934" s="11" t="s">
        <v>1175</v>
      </c>
      <c r="S3934" s="5">
        <v>0</v>
      </c>
    </row>
    <row r="3935" spans="1:19" s="13" customFormat="1" ht="89.25">
      <c r="A3935" s="5">
        <v>3920</v>
      </c>
      <c r="B3935" s="29" t="s">
        <v>710</v>
      </c>
      <c r="C3935" s="30" t="s">
        <v>711</v>
      </c>
      <c r="D3935" s="11" t="s">
        <v>989</v>
      </c>
      <c r="E3935" s="57" t="s">
        <v>749</v>
      </c>
      <c r="F3935" s="57" t="s">
        <v>749</v>
      </c>
      <c r="G3935" s="57" t="s">
        <v>990</v>
      </c>
      <c r="H3935" s="57" t="s">
        <v>991</v>
      </c>
      <c r="I3935" s="57" t="s">
        <v>2115</v>
      </c>
      <c r="J3935" s="57" t="s">
        <v>2114</v>
      </c>
      <c r="K3935" s="57" t="s">
        <v>591</v>
      </c>
      <c r="L3935" s="31" t="s">
        <v>644</v>
      </c>
      <c r="M3935" s="22">
        <v>10</v>
      </c>
      <c r="N3935" s="46">
        <f t="shared" si="104"/>
        <v>31900</v>
      </c>
      <c r="O3935" s="49">
        <f>349000-30000</f>
        <v>319000</v>
      </c>
      <c r="P3935" s="5" t="s">
        <v>699</v>
      </c>
      <c r="Q3935" s="5" t="s">
        <v>3434</v>
      </c>
      <c r="R3935" s="11" t="s">
        <v>1175</v>
      </c>
      <c r="S3935" s="22">
        <v>100</v>
      </c>
    </row>
    <row r="3936" spans="1:19" ht="51">
      <c r="A3936" s="5">
        <v>3921</v>
      </c>
      <c r="B3936" s="56" t="s">
        <v>710</v>
      </c>
      <c r="C3936" s="30" t="s">
        <v>711</v>
      </c>
      <c r="D3936" s="11" t="s">
        <v>3356</v>
      </c>
      <c r="E3936" s="57" t="s">
        <v>2273</v>
      </c>
      <c r="F3936" s="57" t="s">
        <v>1275</v>
      </c>
      <c r="G3936" s="57" t="s">
        <v>3358</v>
      </c>
      <c r="H3936" s="57" t="s">
        <v>3357</v>
      </c>
      <c r="I3936" s="57" t="s">
        <v>3360</v>
      </c>
      <c r="J3936" s="57" t="s">
        <v>3359</v>
      </c>
      <c r="K3936" s="57" t="s">
        <v>591</v>
      </c>
      <c r="L3936" s="31" t="s">
        <v>644</v>
      </c>
      <c r="M3936" s="22">
        <v>2</v>
      </c>
      <c r="N3936" s="46">
        <f t="shared" si="104"/>
        <v>160000</v>
      </c>
      <c r="O3936" s="49">
        <v>320000</v>
      </c>
      <c r="P3936" s="50" t="s">
        <v>698</v>
      </c>
      <c r="Q3936" s="5" t="s">
        <v>2939</v>
      </c>
      <c r="R3936" s="11" t="s">
        <v>1175</v>
      </c>
      <c r="S3936" s="22">
        <v>100</v>
      </c>
    </row>
    <row r="3937" spans="1:19" s="90" customFormat="1" ht="25.5">
      <c r="A3937" s="5">
        <v>3922</v>
      </c>
      <c r="B3937" s="29" t="s">
        <v>710</v>
      </c>
      <c r="C3937" s="30" t="s">
        <v>711</v>
      </c>
      <c r="D3937" s="5" t="s">
        <v>3361</v>
      </c>
      <c r="E3937" s="5" t="s">
        <v>3362</v>
      </c>
      <c r="F3937" s="5" t="s">
        <v>3362</v>
      </c>
      <c r="G3937" s="5" t="s">
        <v>3363</v>
      </c>
      <c r="H3937" s="5" t="s">
        <v>3366</v>
      </c>
      <c r="I3937" s="5" t="s">
        <v>3364</v>
      </c>
      <c r="J3937" s="5" t="s">
        <v>3365</v>
      </c>
      <c r="K3937" s="5" t="s">
        <v>591</v>
      </c>
      <c r="L3937" s="31" t="s">
        <v>644</v>
      </c>
      <c r="M3937" s="5">
        <v>3</v>
      </c>
      <c r="N3937" s="85">
        <f t="shared" si="104"/>
        <v>13500</v>
      </c>
      <c r="O3937" s="85">
        <v>40500</v>
      </c>
      <c r="P3937" s="5" t="s">
        <v>698</v>
      </c>
      <c r="Q3937" s="5" t="s">
        <v>698</v>
      </c>
      <c r="R3937" s="11" t="s">
        <v>1175</v>
      </c>
      <c r="S3937" s="9">
        <v>100</v>
      </c>
    </row>
    <row r="3938" spans="1:19" s="7" customFormat="1" ht="25.5" outlineLevel="1">
      <c r="A3938" s="5">
        <v>3923</v>
      </c>
      <c r="B3938" s="29" t="s">
        <v>710</v>
      </c>
      <c r="C3938" s="35" t="s">
        <v>711</v>
      </c>
      <c r="D3938" s="31" t="s">
        <v>3367</v>
      </c>
      <c r="E3938" s="4" t="s">
        <v>3368</v>
      </c>
      <c r="F3938" s="4" t="s">
        <v>3369</v>
      </c>
      <c r="G3938" s="4" t="s">
        <v>3370</v>
      </c>
      <c r="H3938" s="4" t="s">
        <v>3371</v>
      </c>
      <c r="I3938" s="5" t="s">
        <v>3373</v>
      </c>
      <c r="J3938" s="31" t="s">
        <v>3372</v>
      </c>
      <c r="K3938" s="5" t="s">
        <v>591</v>
      </c>
      <c r="L3938" s="31" t="s">
        <v>644</v>
      </c>
      <c r="M3938" s="6">
        <v>5</v>
      </c>
      <c r="N3938" s="71">
        <f t="shared" si="104"/>
        <v>10000</v>
      </c>
      <c r="O3938" s="71">
        <v>50000</v>
      </c>
      <c r="P3938" s="5" t="s">
        <v>698</v>
      </c>
      <c r="Q3938" s="5" t="s">
        <v>698</v>
      </c>
      <c r="R3938" s="11" t="s">
        <v>1175</v>
      </c>
      <c r="S3938" s="9">
        <v>100</v>
      </c>
    </row>
    <row r="3939" spans="1:19" s="7" customFormat="1" ht="25.5" outlineLevel="1">
      <c r="A3939" s="5">
        <v>3924</v>
      </c>
      <c r="B3939" s="29" t="s">
        <v>710</v>
      </c>
      <c r="C3939" s="35" t="s">
        <v>711</v>
      </c>
      <c r="D3939" s="31" t="s">
        <v>3378</v>
      </c>
      <c r="E3939" s="4" t="s">
        <v>3375</v>
      </c>
      <c r="F3939" s="4" t="s">
        <v>3374</v>
      </c>
      <c r="G3939" s="5" t="s">
        <v>3379</v>
      </c>
      <c r="H3939" s="5" t="s">
        <v>3379</v>
      </c>
      <c r="I3939" s="31" t="s">
        <v>3377</v>
      </c>
      <c r="J3939" s="31" t="s">
        <v>3376</v>
      </c>
      <c r="K3939" s="5" t="s">
        <v>591</v>
      </c>
      <c r="L3939" s="31" t="s">
        <v>644</v>
      </c>
      <c r="M3939" s="6">
        <v>1</v>
      </c>
      <c r="N3939" s="71">
        <f t="shared" si="104"/>
        <v>14400</v>
      </c>
      <c r="O3939" s="71">
        <v>14400</v>
      </c>
      <c r="P3939" s="5" t="s">
        <v>698</v>
      </c>
      <c r="Q3939" s="5" t="s">
        <v>698</v>
      </c>
      <c r="R3939" s="11" t="s">
        <v>1175</v>
      </c>
      <c r="S3939" s="9">
        <v>100</v>
      </c>
    </row>
    <row r="3940" spans="1:19" s="32" customFormat="1" ht="102">
      <c r="A3940" s="5">
        <v>3925</v>
      </c>
      <c r="B3940" s="29" t="s">
        <v>710</v>
      </c>
      <c r="C3940" s="30" t="s">
        <v>711</v>
      </c>
      <c r="D3940" s="5" t="s">
        <v>883</v>
      </c>
      <c r="E3940" s="57" t="s">
        <v>169</v>
      </c>
      <c r="F3940" s="57" t="s">
        <v>169</v>
      </c>
      <c r="G3940" s="57" t="s">
        <v>885</v>
      </c>
      <c r="H3940" s="57" t="s">
        <v>3380</v>
      </c>
      <c r="I3940" s="57" t="s">
        <v>169</v>
      </c>
      <c r="J3940" s="57" t="s">
        <v>169</v>
      </c>
      <c r="K3940" s="57" t="s">
        <v>591</v>
      </c>
      <c r="L3940" s="31" t="s">
        <v>644</v>
      </c>
      <c r="M3940" s="22">
        <v>1</v>
      </c>
      <c r="N3940" s="46">
        <f>O3940/M3940</f>
        <v>59108</v>
      </c>
      <c r="O3940" s="49">
        <v>59108</v>
      </c>
      <c r="P3940" s="5" t="s">
        <v>698</v>
      </c>
      <c r="Q3940" s="5" t="s">
        <v>698</v>
      </c>
      <c r="R3940" s="11" t="s">
        <v>2514</v>
      </c>
      <c r="S3940" s="9">
        <v>100</v>
      </c>
    </row>
    <row r="3941" spans="1:19" s="13" customFormat="1" ht="80.45" customHeight="1">
      <c r="A3941" s="5">
        <v>3926</v>
      </c>
      <c r="B3941" s="15" t="s">
        <v>710</v>
      </c>
      <c r="C3941" s="5" t="s">
        <v>711</v>
      </c>
      <c r="D3941" s="5" t="s">
        <v>976</v>
      </c>
      <c r="E3941" s="57" t="s">
        <v>730</v>
      </c>
      <c r="F3941" s="57" t="s">
        <v>731</v>
      </c>
      <c r="G3941" s="57" t="s">
        <v>977</v>
      </c>
      <c r="H3941" s="57" t="s">
        <v>978</v>
      </c>
      <c r="I3941" s="57" t="s">
        <v>2109</v>
      </c>
      <c r="J3941" s="57" t="s">
        <v>338</v>
      </c>
      <c r="K3941" s="57" t="s">
        <v>591</v>
      </c>
      <c r="L3941" s="31" t="s">
        <v>644</v>
      </c>
      <c r="M3941" s="22">
        <v>5</v>
      </c>
      <c r="N3941" s="46">
        <f>O3941/M3941</f>
        <v>26800</v>
      </c>
      <c r="O3941" s="46">
        <v>134000</v>
      </c>
      <c r="P3941" s="5" t="s">
        <v>698</v>
      </c>
      <c r="Q3941" s="15" t="s">
        <v>3381</v>
      </c>
      <c r="R3941" s="11" t="s">
        <v>3459</v>
      </c>
      <c r="S3941" s="22">
        <v>50</v>
      </c>
    </row>
    <row r="3942" spans="1:19" ht="59.25" customHeight="1" outlineLevel="1">
      <c r="A3942" s="5">
        <v>3927</v>
      </c>
      <c r="B3942" s="15" t="s">
        <v>710</v>
      </c>
      <c r="C3942" s="5" t="s">
        <v>711</v>
      </c>
      <c r="D3942" s="15" t="s">
        <v>744</v>
      </c>
      <c r="E3942" s="57" t="s">
        <v>745</v>
      </c>
      <c r="F3942" s="57" t="s">
        <v>109</v>
      </c>
      <c r="G3942" s="57" t="s">
        <v>746</v>
      </c>
      <c r="H3942" s="57" t="s">
        <v>747</v>
      </c>
      <c r="I3942" s="57" t="s">
        <v>2147</v>
      </c>
      <c r="J3942" s="57" t="s">
        <v>164</v>
      </c>
      <c r="K3942" s="57" t="s">
        <v>591</v>
      </c>
      <c r="L3942" s="31" t="s">
        <v>644</v>
      </c>
      <c r="M3942" s="22">
        <v>10</v>
      </c>
      <c r="N3942" s="46">
        <f t="shared" ref="N3942:N4005" si="105">O3942/M3942</f>
        <v>4500</v>
      </c>
      <c r="O3942" s="46">
        <v>45000</v>
      </c>
      <c r="P3942" s="5" t="s">
        <v>698</v>
      </c>
      <c r="Q3942" s="15" t="s">
        <v>3381</v>
      </c>
      <c r="R3942" s="11" t="s">
        <v>3459</v>
      </c>
      <c r="S3942" s="5">
        <v>50</v>
      </c>
    </row>
    <row r="3943" spans="1:19" ht="81.75" customHeight="1">
      <c r="A3943" s="5">
        <v>3928</v>
      </c>
      <c r="B3943" s="15" t="s">
        <v>710</v>
      </c>
      <c r="C3943" s="5" t="s">
        <v>711</v>
      </c>
      <c r="D3943" s="11" t="s">
        <v>729</v>
      </c>
      <c r="E3943" s="57" t="s">
        <v>730</v>
      </c>
      <c r="F3943" s="57" t="s">
        <v>2435</v>
      </c>
      <c r="G3943" s="31" t="s">
        <v>732</v>
      </c>
      <c r="H3943" s="31" t="s">
        <v>733</v>
      </c>
      <c r="I3943" s="57" t="s">
        <v>2147</v>
      </c>
      <c r="J3943" s="57" t="s">
        <v>338</v>
      </c>
      <c r="K3943" s="57" t="s">
        <v>591</v>
      </c>
      <c r="L3943" s="31" t="s">
        <v>644</v>
      </c>
      <c r="M3943" s="22">
        <v>4</v>
      </c>
      <c r="N3943" s="46">
        <f t="shared" si="105"/>
        <v>67500</v>
      </c>
      <c r="O3943" s="83">
        <v>270000</v>
      </c>
      <c r="P3943" s="5" t="s">
        <v>698</v>
      </c>
      <c r="Q3943" s="5" t="s">
        <v>2438</v>
      </c>
      <c r="R3943" s="11" t="s">
        <v>2022</v>
      </c>
      <c r="S3943" s="5">
        <v>30</v>
      </c>
    </row>
    <row r="3944" spans="1:19" ht="84" customHeight="1">
      <c r="A3944" s="5">
        <v>3929</v>
      </c>
      <c r="B3944" s="15" t="s">
        <v>710</v>
      </c>
      <c r="C3944" s="5" t="s">
        <v>711</v>
      </c>
      <c r="D3944" s="11" t="s">
        <v>729</v>
      </c>
      <c r="E3944" s="56" t="s">
        <v>730</v>
      </c>
      <c r="F3944" s="31" t="s">
        <v>2435</v>
      </c>
      <c r="G3944" s="31" t="s">
        <v>732</v>
      </c>
      <c r="H3944" s="31" t="s">
        <v>3382</v>
      </c>
      <c r="I3944" s="57" t="s">
        <v>2147</v>
      </c>
      <c r="J3944" s="57" t="s">
        <v>338</v>
      </c>
      <c r="K3944" s="57" t="s">
        <v>591</v>
      </c>
      <c r="L3944" s="31" t="s">
        <v>644</v>
      </c>
      <c r="M3944" s="5">
        <v>1</v>
      </c>
      <c r="N3944" s="46">
        <f t="shared" si="105"/>
        <v>20990</v>
      </c>
      <c r="O3944" s="83">
        <v>20990</v>
      </c>
      <c r="P3944" s="5" t="s">
        <v>698</v>
      </c>
      <c r="Q3944" s="15" t="s">
        <v>3381</v>
      </c>
      <c r="R3944" s="11" t="s">
        <v>2023</v>
      </c>
      <c r="S3944" s="5">
        <v>30</v>
      </c>
    </row>
    <row r="3945" spans="1:19" ht="84" customHeight="1">
      <c r="A3945" s="5">
        <v>3930</v>
      </c>
      <c r="B3945" s="15" t="s">
        <v>710</v>
      </c>
      <c r="C3945" s="5" t="s">
        <v>711</v>
      </c>
      <c r="D3945" s="10" t="s">
        <v>748</v>
      </c>
      <c r="E3945" s="31" t="s">
        <v>979</v>
      </c>
      <c r="F3945" s="31" t="s">
        <v>979</v>
      </c>
      <c r="G3945" s="31" t="s">
        <v>750</v>
      </c>
      <c r="H3945" s="31" t="s">
        <v>751</v>
      </c>
      <c r="I3945" s="31" t="s">
        <v>979</v>
      </c>
      <c r="J3945" s="31" t="s">
        <v>979</v>
      </c>
      <c r="K3945" s="57" t="s">
        <v>591</v>
      </c>
      <c r="L3945" s="31" t="s">
        <v>644</v>
      </c>
      <c r="M3945" s="5">
        <v>1</v>
      </c>
      <c r="N3945" s="46">
        <f t="shared" si="105"/>
        <v>12750</v>
      </c>
      <c r="O3945" s="83">
        <v>12750</v>
      </c>
      <c r="P3945" s="5" t="s">
        <v>698</v>
      </c>
      <c r="Q3945" s="15" t="s">
        <v>3381</v>
      </c>
      <c r="R3945" s="11" t="s">
        <v>2023</v>
      </c>
      <c r="S3945" s="5">
        <v>30</v>
      </c>
    </row>
    <row r="3946" spans="1:19" ht="63.75">
      <c r="A3946" s="5">
        <v>3931</v>
      </c>
      <c r="B3946" s="15" t="s">
        <v>710</v>
      </c>
      <c r="C3946" s="5" t="s">
        <v>711</v>
      </c>
      <c r="D3946" s="15" t="s">
        <v>3383</v>
      </c>
      <c r="E3946" s="31" t="s">
        <v>1529</v>
      </c>
      <c r="F3946" s="31" t="s">
        <v>1529</v>
      </c>
      <c r="G3946" s="31" t="s">
        <v>3384</v>
      </c>
      <c r="H3946" s="31" t="s">
        <v>3385</v>
      </c>
      <c r="I3946" s="31" t="s">
        <v>1529</v>
      </c>
      <c r="J3946" s="31" t="s">
        <v>1529</v>
      </c>
      <c r="K3946" s="57" t="s">
        <v>591</v>
      </c>
      <c r="L3946" s="31" t="s">
        <v>644</v>
      </c>
      <c r="M3946" s="5">
        <v>1</v>
      </c>
      <c r="N3946" s="46">
        <f t="shared" si="105"/>
        <v>16970</v>
      </c>
      <c r="O3946" s="83">
        <v>16970</v>
      </c>
      <c r="P3946" s="5" t="s">
        <v>698</v>
      </c>
      <c r="Q3946" s="15" t="s">
        <v>3381</v>
      </c>
      <c r="R3946" s="11" t="s">
        <v>2023</v>
      </c>
      <c r="S3946" s="5">
        <v>30</v>
      </c>
    </row>
    <row r="3947" spans="1:19" ht="63.75">
      <c r="A3947" s="5">
        <v>3932</v>
      </c>
      <c r="B3947" s="15" t="s">
        <v>710</v>
      </c>
      <c r="C3947" s="5" t="s">
        <v>711</v>
      </c>
      <c r="D3947" s="15" t="s">
        <v>744</v>
      </c>
      <c r="E3947" s="56" t="s">
        <v>745</v>
      </c>
      <c r="F3947" s="31" t="s">
        <v>109</v>
      </c>
      <c r="G3947" s="31" t="s">
        <v>3386</v>
      </c>
      <c r="H3947" s="31" t="s">
        <v>3387</v>
      </c>
      <c r="I3947" s="57" t="s">
        <v>2147</v>
      </c>
      <c r="J3947" s="57" t="s">
        <v>164</v>
      </c>
      <c r="K3947" s="57" t="s">
        <v>591</v>
      </c>
      <c r="L3947" s="31" t="s">
        <v>644</v>
      </c>
      <c r="M3947" s="5">
        <v>1</v>
      </c>
      <c r="N3947" s="46">
        <f t="shared" si="105"/>
        <v>17270</v>
      </c>
      <c r="O3947" s="83">
        <v>17270</v>
      </c>
      <c r="P3947" s="5" t="s">
        <v>698</v>
      </c>
      <c r="Q3947" s="15" t="s">
        <v>3381</v>
      </c>
      <c r="R3947" s="11" t="s">
        <v>2023</v>
      </c>
      <c r="S3947" s="5">
        <v>30</v>
      </c>
    </row>
    <row r="3948" spans="1:19" ht="76.5">
      <c r="A3948" s="5">
        <v>3933</v>
      </c>
      <c r="B3948" s="15" t="s">
        <v>710</v>
      </c>
      <c r="C3948" s="31" t="s">
        <v>711</v>
      </c>
      <c r="D3948" s="31" t="s">
        <v>729</v>
      </c>
      <c r="E3948" s="8" t="s">
        <v>730</v>
      </c>
      <c r="F3948" s="31" t="s">
        <v>731</v>
      </c>
      <c r="G3948" s="114" t="s">
        <v>3388</v>
      </c>
      <c r="H3948" s="114" t="s">
        <v>3389</v>
      </c>
      <c r="I3948" s="56" t="s">
        <v>730</v>
      </c>
      <c r="J3948" s="31" t="s">
        <v>2435</v>
      </c>
      <c r="K3948" s="57" t="s">
        <v>591</v>
      </c>
      <c r="L3948" s="31" t="s">
        <v>644</v>
      </c>
      <c r="M3948" s="115">
        <f>4+1</f>
        <v>5</v>
      </c>
      <c r="N3948" s="46">
        <f t="shared" si="105"/>
        <v>53500</v>
      </c>
      <c r="O3948" s="83">
        <f>214000+53500</f>
        <v>267500</v>
      </c>
      <c r="P3948" s="5" t="s">
        <v>698</v>
      </c>
      <c r="Q3948" s="15" t="s">
        <v>3381</v>
      </c>
      <c r="R3948" s="11" t="s">
        <v>789</v>
      </c>
      <c r="S3948" s="31">
        <v>30</v>
      </c>
    </row>
    <row r="3949" spans="1:19" ht="56.25" customHeight="1">
      <c r="A3949" s="5">
        <v>3934</v>
      </c>
      <c r="B3949" s="15" t="s">
        <v>710</v>
      </c>
      <c r="C3949" s="31" t="s">
        <v>711</v>
      </c>
      <c r="D3949" s="15" t="s">
        <v>744</v>
      </c>
      <c r="E3949" s="56" t="s">
        <v>745</v>
      </c>
      <c r="F3949" s="31" t="s">
        <v>109</v>
      </c>
      <c r="G3949" s="31" t="s">
        <v>746</v>
      </c>
      <c r="H3949" s="31" t="s">
        <v>747</v>
      </c>
      <c r="I3949" s="57" t="s">
        <v>2147</v>
      </c>
      <c r="J3949" s="57" t="s">
        <v>164</v>
      </c>
      <c r="K3949" s="57" t="s">
        <v>591</v>
      </c>
      <c r="L3949" s="31" t="s">
        <v>644</v>
      </c>
      <c r="M3949" s="5">
        <v>4</v>
      </c>
      <c r="N3949" s="46">
        <f t="shared" si="105"/>
        <v>8350</v>
      </c>
      <c r="O3949" s="83">
        <v>33400</v>
      </c>
      <c r="P3949" s="5" t="s">
        <v>698</v>
      </c>
      <c r="Q3949" s="15" t="s">
        <v>3381</v>
      </c>
      <c r="R3949" s="11" t="s">
        <v>789</v>
      </c>
      <c r="S3949" s="31">
        <v>30</v>
      </c>
    </row>
    <row r="3950" spans="1:19" ht="105" customHeight="1">
      <c r="A3950" s="5">
        <v>3935</v>
      </c>
      <c r="B3950" s="15" t="s">
        <v>710</v>
      </c>
      <c r="C3950" s="31" t="s">
        <v>711</v>
      </c>
      <c r="D3950" s="31" t="s">
        <v>748</v>
      </c>
      <c r="E3950" s="31" t="s">
        <v>979</v>
      </c>
      <c r="F3950" s="31" t="s">
        <v>979</v>
      </c>
      <c r="G3950" s="31" t="s">
        <v>3390</v>
      </c>
      <c r="H3950" s="31" t="s">
        <v>751</v>
      </c>
      <c r="I3950" s="31" t="s">
        <v>979</v>
      </c>
      <c r="J3950" s="31" t="s">
        <v>979</v>
      </c>
      <c r="K3950" s="57" t="s">
        <v>591</v>
      </c>
      <c r="L3950" s="31" t="s">
        <v>644</v>
      </c>
      <c r="M3950" s="5">
        <v>1</v>
      </c>
      <c r="N3950" s="46">
        <f t="shared" si="105"/>
        <v>9070</v>
      </c>
      <c r="O3950" s="83">
        <v>9070</v>
      </c>
      <c r="P3950" s="5" t="s">
        <v>698</v>
      </c>
      <c r="Q3950" s="15" t="s">
        <v>3381</v>
      </c>
      <c r="R3950" s="11" t="s">
        <v>789</v>
      </c>
      <c r="S3950" s="31">
        <v>30</v>
      </c>
    </row>
    <row r="3951" spans="1:19" ht="76.5">
      <c r="A3951" s="5">
        <v>3936</v>
      </c>
      <c r="B3951" s="15" t="s">
        <v>710</v>
      </c>
      <c r="C3951" s="5" t="s">
        <v>711</v>
      </c>
      <c r="D3951" s="11" t="s">
        <v>729</v>
      </c>
      <c r="E3951" s="56" t="s">
        <v>730</v>
      </c>
      <c r="F3951" s="31" t="s">
        <v>731</v>
      </c>
      <c r="G3951" s="31" t="s">
        <v>732</v>
      </c>
      <c r="H3951" s="31" t="s">
        <v>733</v>
      </c>
      <c r="I3951" s="57" t="s">
        <v>2109</v>
      </c>
      <c r="J3951" s="57" t="s">
        <v>338</v>
      </c>
      <c r="K3951" s="57" t="s">
        <v>591</v>
      </c>
      <c r="L3951" s="31" t="s">
        <v>644</v>
      </c>
      <c r="M3951" s="22">
        <v>3</v>
      </c>
      <c r="N3951" s="46">
        <f t="shared" si="105"/>
        <v>93305</v>
      </c>
      <c r="O3951" s="46">
        <v>279915</v>
      </c>
      <c r="P3951" s="5" t="s">
        <v>698</v>
      </c>
      <c r="Q3951" s="15" t="s">
        <v>3381</v>
      </c>
      <c r="R3951" s="11" t="s">
        <v>715</v>
      </c>
      <c r="S3951" s="22">
        <v>50</v>
      </c>
    </row>
    <row r="3952" spans="1:19" ht="60.75" customHeight="1">
      <c r="A3952" s="5">
        <v>3937</v>
      </c>
      <c r="B3952" s="15" t="s">
        <v>710</v>
      </c>
      <c r="C3952" s="5" t="s">
        <v>711</v>
      </c>
      <c r="D3952" s="15" t="s">
        <v>744</v>
      </c>
      <c r="E3952" s="56" t="s">
        <v>745</v>
      </c>
      <c r="F3952" s="31" t="s">
        <v>109</v>
      </c>
      <c r="G3952" s="31" t="s">
        <v>746</v>
      </c>
      <c r="H3952" s="31" t="s">
        <v>747</v>
      </c>
      <c r="I3952" s="57" t="s">
        <v>2147</v>
      </c>
      <c r="J3952" s="57" t="s">
        <v>164</v>
      </c>
      <c r="K3952" s="57" t="s">
        <v>591</v>
      </c>
      <c r="L3952" s="31" t="s">
        <v>644</v>
      </c>
      <c r="M3952" s="22">
        <v>6</v>
      </c>
      <c r="N3952" s="46">
        <f t="shared" si="105"/>
        <v>13990</v>
      </c>
      <c r="O3952" s="46">
        <v>83940</v>
      </c>
      <c r="P3952" s="5" t="s">
        <v>698</v>
      </c>
      <c r="Q3952" s="15" t="s">
        <v>3381</v>
      </c>
      <c r="R3952" s="11" t="s">
        <v>715</v>
      </c>
      <c r="S3952" s="5">
        <v>50</v>
      </c>
    </row>
    <row r="3953" spans="1:19" ht="107.25" customHeight="1">
      <c r="A3953" s="5">
        <v>3938</v>
      </c>
      <c r="B3953" s="15" t="s">
        <v>710</v>
      </c>
      <c r="C3953" s="5" t="s">
        <v>711</v>
      </c>
      <c r="D3953" s="10" t="s">
        <v>748</v>
      </c>
      <c r="E3953" s="31" t="s">
        <v>749</v>
      </c>
      <c r="F3953" s="31" t="s">
        <v>749</v>
      </c>
      <c r="G3953" s="31" t="s">
        <v>750</v>
      </c>
      <c r="H3953" s="31" t="s">
        <v>751</v>
      </c>
      <c r="I3953" s="57" t="s">
        <v>2147</v>
      </c>
      <c r="J3953" s="57" t="s">
        <v>3391</v>
      </c>
      <c r="K3953" s="57" t="s">
        <v>591</v>
      </c>
      <c r="L3953" s="31" t="s">
        <v>644</v>
      </c>
      <c r="M3953" s="22">
        <v>3</v>
      </c>
      <c r="N3953" s="46">
        <f t="shared" si="105"/>
        <v>11030</v>
      </c>
      <c r="O3953" s="46">
        <v>33090</v>
      </c>
      <c r="P3953" s="5" t="s">
        <v>698</v>
      </c>
      <c r="Q3953" s="15" t="s">
        <v>3381</v>
      </c>
      <c r="R3953" s="11" t="s">
        <v>715</v>
      </c>
      <c r="S3953" s="5">
        <v>50</v>
      </c>
    </row>
    <row r="3954" spans="1:19" ht="84" customHeight="1">
      <c r="A3954" s="5">
        <v>3939</v>
      </c>
      <c r="B3954" s="15" t="s">
        <v>710</v>
      </c>
      <c r="C3954" s="40" t="s">
        <v>711</v>
      </c>
      <c r="D3954" s="40" t="s">
        <v>976</v>
      </c>
      <c r="E3954" s="31" t="s">
        <v>730</v>
      </c>
      <c r="F3954" s="31" t="s">
        <v>731</v>
      </c>
      <c r="G3954" s="31" t="s">
        <v>977</v>
      </c>
      <c r="H3954" s="40" t="s">
        <v>978</v>
      </c>
      <c r="I3954" s="40" t="s">
        <v>3392</v>
      </c>
      <c r="J3954" s="40" t="s">
        <v>3393</v>
      </c>
      <c r="K3954" s="40" t="s">
        <v>591</v>
      </c>
      <c r="L3954" s="40" t="s">
        <v>644</v>
      </c>
      <c r="M3954" s="93">
        <v>5</v>
      </c>
      <c r="N3954" s="46">
        <f t="shared" si="105"/>
        <v>15000</v>
      </c>
      <c r="O3954" s="94">
        <v>75000</v>
      </c>
      <c r="P3954" s="40" t="s">
        <v>698</v>
      </c>
      <c r="Q3954" s="40" t="s">
        <v>3381</v>
      </c>
      <c r="R3954" s="84" t="s">
        <v>902</v>
      </c>
      <c r="S3954" s="40">
        <v>100</v>
      </c>
    </row>
    <row r="3955" spans="1:19" ht="51">
      <c r="A3955" s="5">
        <v>3940</v>
      </c>
      <c r="B3955" s="15" t="s">
        <v>710</v>
      </c>
      <c r="C3955" s="40" t="s">
        <v>711</v>
      </c>
      <c r="D3955" s="40" t="s">
        <v>744</v>
      </c>
      <c r="E3955" s="31" t="s">
        <v>745</v>
      </c>
      <c r="F3955" s="31" t="s">
        <v>109</v>
      </c>
      <c r="G3955" s="31" t="s">
        <v>746</v>
      </c>
      <c r="H3955" s="40" t="s">
        <v>3205</v>
      </c>
      <c r="I3955" s="40" t="s">
        <v>3394</v>
      </c>
      <c r="J3955" s="40" t="s">
        <v>3395</v>
      </c>
      <c r="K3955" s="40" t="s">
        <v>591</v>
      </c>
      <c r="L3955" s="40" t="s">
        <v>644</v>
      </c>
      <c r="M3955" s="93">
        <v>5</v>
      </c>
      <c r="N3955" s="46">
        <f t="shared" si="105"/>
        <v>3000</v>
      </c>
      <c r="O3955" s="94">
        <v>15000</v>
      </c>
      <c r="P3955" s="40" t="s">
        <v>698</v>
      </c>
      <c r="Q3955" s="40" t="s">
        <v>3381</v>
      </c>
      <c r="R3955" s="84" t="s">
        <v>902</v>
      </c>
      <c r="S3955" s="40">
        <v>100</v>
      </c>
    </row>
    <row r="3956" spans="1:19" ht="102">
      <c r="A3956" s="5">
        <v>3941</v>
      </c>
      <c r="B3956" s="15" t="s">
        <v>710</v>
      </c>
      <c r="C3956" s="5" t="s">
        <v>711</v>
      </c>
      <c r="D3956" s="5" t="s">
        <v>748</v>
      </c>
      <c r="E3956" s="5" t="s">
        <v>979</v>
      </c>
      <c r="F3956" s="5" t="s">
        <v>979</v>
      </c>
      <c r="G3956" s="5" t="s">
        <v>2161</v>
      </c>
      <c r="H3956" s="5" t="s">
        <v>751</v>
      </c>
      <c r="I3956" s="5" t="s">
        <v>2110</v>
      </c>
      <c r="J3956" s="5" t="s">
        <v>145</v>
      </c>
      <c r="K3956" s="5" t="s">
        <v>591</v>
      </c>
      <c r="L3956" s="5" t="s">
        <v>644</v>
      </c>
      <c r="M3956" s="5">
        <v>5</v>
      </c>
      <c r="N3956" s="46">
        <f t="shared" si="105"/>
        <v>7000</v>
      </c>
      <c r="O3956" s="83">
        <v>35000</v>
      </c>
      <c r="P3956" s="40" t="s">
        <v>698</v>
      </c>
      <c r="Q3956" s="15" t="s">
        <v>3381</v>
      </c>
      <c r="R3956" s="84" t="s">
        <v>902</v>
      </c>
      <c r="S3956" s="22">
        <v>100</v>
      </c>
    </row>
    <row r="3957" spans="1:19" ht="80.25" customHeight="1">
      <c r="A3957" s="5">
        <v>3942</v>
      </c>
      <c r="B3957" s="15" t="s">
        <v>710</v>
      </c>
      <c r="C3957" s="5" t="s">
        <v>711</v>
      </c>
      <c r="D3957" s="5" t="s">
        <v>976</v>
      </c>
      <c r="E3957" s="5" t="s">
        <v>730</v>
      </c>
      <c r="F3957" s="5" t="s">
        <v>731</v>
      </c>
      <c r="G3957" s="5" t="s">
        <v>3396</v>
      </c>
      <c r="H3957" s="5" t="s">
        <v>3397</v>
      </c>
      <c r="I3957" s="5" t="s">
        <v>2109</v>
      </c>
      <c r="J3957" s="5" t="s">
        <v>338</v>
      </c>
      <c r="K3957" s="5" t="s">
        <v>591</v>
      </c>
      <c r="L3957" s="5" t="s">
        <v>644</v>
      </c>
      <c r="M3957" s="5">
        <v>5</v>
      </c>
      <c r="N3957" s="46">
        <f t="shared" si="105"/>
        <v>19470</v>
      </c>
      <c r="O3957" s="83">
        <v>97350</v>
      </c>
      <c r="P3957" s="5" t="s">
        <v>698</v>
      </c>
      <c r="Q3957" s="15" t="s">
        <v>3381</v>
      </c>
      <c r="R3957" s="15">
        <v>311000000</v>
      </c>
      <c r="S3957" s="22">
        <v>30</v>
      </c>
    </row>
    <row r="3958" spans="1:19" ht="70.5" customHeight="1">
      <c r="A3958" s="5">
        <v>3943</v>
      </c>
      <c r="B3958" s="15" t="s">
        <v>710</v>
      </c>
      <c r="C3958" s="5" t="s">
        <v>711</v>
      </c>
      <c r="D3958" s="5" t="s">
        <v>744</v>
      </c>
      <c r="E3958" s="5" t="s">
        <v>745</v>
      </c>
      <c r="F3958" s="5" t="s">
        <v>109</v>
      </c>
      <c r="G3958" s="5" t="s">
        <v>3386</v>
      </c>
      <c r="H3958" s="5" t="s">
        <v>3387</v>
      </c>
      <c r="I3958" s="57" t="s">
        <v>2147</v>
      </c>
      <c r="J3958" s="57" t="s">
        <v>164</v>
      </c>
      <c r="K3958" s="5" t="s">
        <v>591</v>
      </c>
      <c r="L3958" s="5" t="s">
        <v>644</v>
      </c>
      <c r="M3958" s="5">
        <v>5</v>
      </c>
      <c r="N3958" s="46">
        <f t="shared" si="105"/>
        <v>9110</v>
      </c>
      <c r="O3958" s="83">
        <v>45550</v>
      </c>
      <c r="P3958" s="5" t="s">
        <v>698</v>
      </c>
      <c r="Q3958" s="15" t="s">
        <v>3381</v>
      </c>
      <c r="R3958" s="15" t="s">
        <v>2514</v>
      </c>
      <c r="S3958" s="22">
        <v>50</v>
      </c>
    </row>
    <row r="3959" spans="1:19" ht="102">
      <c r="A3959" s="5">
        <v>3944</v>
      </c>
      <c r="B3959" s="15" t="s">
        <v>710</v>
      </c>
      <c r="C3959" s="5" t="s">
        <v>711</v>
      </c>
      <c r="D3959" s="5" t="s">
        <v>748</v>
      </c>
      <c r="E3959" s="5" t="s">
        <v>749</v>
      </c>
      <c r="F3959" s="5" t="s">
        <v>749</v>
      </c>
      <c r="G3959" s="5" t="s">
        <v>3398</v>
      </c>
      <c r="H3959" s="5" t="s">
        <v>3399</v>
      </c>
      <c r="I3959" s="5" t="s">
        <v>2147</v>
      </c>
      <c r="J3959" s="5" t="s">
        <v>3391</v>
      </c>
      <c r="K3959" s="5" t="s">
        <v>591</v>
      </c>
      <c r="L3959" s="5" t="s">
        <v>644</v>
      </c>
      <c r="M3959" s="5">
        <v>5</v>
      </c>
      <c r="N3959" s="46">
        <f t="shared" si="105"/>
        <v>13750</v>
      </c>
      <c r="O3959" s="83">
        <v>68750</v>
      </c>
      <c r="P3959" s="5" t="s">
        <v>698</v>
      </c>
      <c r="Q3959" s="15" t="s">
        <v>3381</v>
      </c>
      <c r="R3959" s="15" t="s">
        <v>2514</v>
      </c>
      <c r="S3959" s="22">
        <v>50</v>
      </c>
    </row>
    <row r="3960" spans="1:19" ht="89.25">
      <c r="A3960" s="5">
        <v>3945</v>
      </c>
      <c r="B3960" s="15" t="s">
        <v>710</v>
      </c>
      <c r="C3960" s="40" t="s">
        <v>711</v>
      </c>
      <c r="D3960" s="40" t="s">
        <v>976</v>
      </c>
      <c r="E3960" s="31" t="s">
        <v>730</v>
      </c>
      <c r="F3960" s="31" t="s">
        <v>731</v>
      </c>
      <c r="G3960" s="31" t="s">
        <v>977</v>
      </c>
      <c r="H3960" s="40" t="s">
        <v>978</v>
      </c>
      <c r="I3960" s="40" t="s">
        <v>2109</v>
      </c>
      <c r="J3960" s="40" t="s">
        <v>338</v>
      </c>
      <c r="K3960" s="40" t="s">
        <v>591</v>
      </c>
      <c r="L3960" s="40" t="s">
        <v>644</v>
      </c>
      <c r="M3960" s="93">
        <v>3</v>
      </c>
      <c r="N3960" s="46">
        <f t="shared" si="105"/>
        <v>26790</v>
      </c>
      <c r="O3960" s="94">
        <v>80370</v>
      </c>
      <c r="P3960" s="40" t="s">
        <v>698</v>
      </c>
      <c r="Q3960" s="40" t="s">
        <v>3400</v>
      </c>
      <c r="R3960" s="11" t="s">
        <v>2597</v>
      </c>
      <c r="S3960" s="40">
        <v>100</v>
      </c>
    </row>
    <row r="3961" spans="1:19" ht="63.75">
      <c r="A3961" s="5">
        <v>3946</v>
      </c>
      <c r="B3961" s="15" t="s">
        <v>710</v>
      </c>
      <c r="C3961" s="40" t="s">
        <v>711</v>
      </c>
      <c r="D3961" s="40" t="s">
        <v>744</v>
      </c>
      <c r="E3961" s="31" t="s">
        <v>745</v>
      </c>
      <c r="F3961" s="31" t="s">
        <v>109</v>
      </c>
      <c r="G3961" s="31" t="s">
        <v>746</v>
      </c>
      <c r="H3961" s="40" t="s">
        <v>3205</v>
      </c>
      <c r="I3961" s="40" t="s">
        <v>745</v>
      </c>
      <c r="J3961" s="40" t="s">
        <v>109</v>
      </c>
      <c r="K3961" s="40" t="s">
        <v>591</v>
      </c>
      <c r="L3961" s="40" t="s">
        <v>644</v>
      </c>
      <c r="M3961" s="93">
        <v>6</v>
      </c>
      <c r="N3961" s="46">
        <f t="shared" si="105"/>
        <v>4000</v>
      </c>
      <c r="O3961" s="94">
        <v>24000</v>
      </c>
      <c r="P3961" s="40" t="s">
        <v>698</v>
      </c>
      <c r="Q3961" s="40" t="s">
        <v>3400</v>
      </c>
      <c r="R3961" s="11" t="s">
        <v>2597</v>
      </c>
      <c r="S3961" s="40">
        <v>100</v>
      </c>
    </row>
    <row r="3962" spans="1:19" ht="89.25">
      <c r="A3962" s="5">
        <v>3947</v>
      </c>
      <c r="B3962" s="15" t="s">
        <v>710</v>
      </c>
      <c r="C3962" s="5" t="s">
        <v>711</v>
      </c>
      <c r="D3962" s="5" t="s">
        <v>976</v>
      </c>
      <c r="E3962" s="57" t="s">
        <v>730</v>
      </c>
      <c r="F3962" s="57" t="s">
        <v>731</v>
      </c>
      <c r="G3962" s="57" t="s">
        <v>977</v>
      </c>
      <c r="H3962" s="57" t="s">
        <v>978</v>
      </c>
      <c r="I3962" s="57" t="s">
        <v>2109</v>
      </c>
      <c r="J3962" s="57" t="s">
        <v>338</v>
      </c>
      <c r="K3962" s="57" t="s">
        <v>591</v>
      </c>
      <c r="L3962" s="31" t="s">
        <v>644</v>
      </c>
      <c r="M3962" s="22">
        <v>4</v>
      </c>
      <c r="N3962" s="46">
        <f t="shared" si="105"/>
        <v>58575</v>
      </c>
      <c r="O3962" s="46">
        <v>234300</v>
      </c>
      <c r="P3962" s="5" t="s">
        <v>698</v>
      </c>
      <c r="Q3962" s="5" t="s">
        <v>2491</v>
      </c>
      <c r="R3962" s="11" t="s">
        <v>3458</v>
      </c>
      <c r="S3962" s="22">
        <v>50</v>
      </c>
    </row>
    <row r="3963" spans="1:19" ht="67.5" customHeight="1">
      <c r="A3963" s="5">
        <v>3948</v>
      </c>
      <c r="B3963" s="15" t="s">
        <v>710</v>
      </c>
      <c r="C3963" s="5" t="s">
        <v>711</v>
      </c>
      <c r="D3963" s="15" t="s">
        <v>744</v>
      </c>
      <c r="E3963" s="56" t="s">
        <v>745</v>
      </c>
      <c r="F3963" s="31" t="s">
        <v>109</v>
      </c>
      <c r="G3963" s="31" t="s">
        <v>3386</v>
      </c>
      <c r="H3963" s="31" t="s">
        <v>3387</v>
      </c>
      <c r="I3963" s="40" t="s">
        <v>3394</v>
      </c>
      <c r="J3963" s="40" t="s">
        <v>3395</v>
      </c>
      <c r="K3963" s="57" t="s">
        <v>591</v>
      </c>
      <c r="L3963" s="31" t="s">
        <v>644</v>
      </c>
      <c r="M3963" s="5">
        <v>4</v>
      </c>
      <c r="N3963" s="46">
        <f t="shared" si="105"/>
        <v>11740</v>
      </c>
      <c r="O3963" s="83">
        <v>46960</v>
      </c>
      <c r="P3963" s="5" t="s">
        <v>698</v>
      </c>
      <c r="Q3963" s="5" t="s">
        <v>2491</v>
      </c>
      <c r="R3963" s="11" t="s">
        <v>3458</v>
      </c>
      <c r="S3963" s="31">
        <v>50</v>
      </c>
    </row>
    <row r="3964" spans="1:19" ht="102">
      <c r="A3964" s="5">
        <v>3949</v>
      </c>
      <c r="B3964" s="15" t="s">
        <v>710</v>
      </c>
      <c r="C3964" s="5" t="s">
        <v>711</v>
      </c>
      <c r="D3964" s="10" t="s">
        <v>748</v>
      </c>
      <c r="E3964" s="31" t="s">
        <v>979</v>
      </c>
      <c r="F3964" s="31" t="s">
        <v>979</v>
      </c>
      <c r="G3964" s="31" t="s">
        <v>750</v>
      </c>
      <c r="H3964" s="31" t="s">
        <v>751</v>
      </c>
      <c r="I3964" s="5" t="s">
        <v>2110</v>
      </c>
      <c r="J3964" s="5" t="s">
        <v>145</v>
      </c>
      <c r="K3964" s="57" t="s">
        <v>591</v>
      </c>
      <c r="L3964" s="31" t="s">
        <v>644</v>
      </c>
      <c r="M3964" s="22">
        <v>4</v>
      </c>
      <c r="N3964" s="46">
        <f t="shared" si="105"/>
        <v>10630</v>
      </c>
      <c r="O3964" s="46">
        <v>42520</v>
      </c>
      <c r="P3964" s="5" t="s">
        <v>698</v>
      </c>
      <c r="Q3964" s="5" t="s">
        <v>2491</v>
      </c>
      <c r="R3964" s="11" t="s">
        <v>3458</v>
      </c>
      <c r="S3964" s="5">
        <v>50</v>
      </c>
    </row>
    <row r="3965" spans="1:19" ht="51">
      <c r="A3965" s="5">
        <v>3950</v>
      </c>
      <c r="B3965" s="15" t="s">
        <v>710</v>
      </c>
      <c r="C3965" s="5" t="s">
        <v>1464</v>
      </c>
      <c r="D3965" s="5" t="s">
        <v>2400</v>
      </c>
      <c r="E3965" s="5" t="s">
        <v>2401</v>
      </c>
      <c r="F3965" s="5" t="s">
        <v>2402</v>
      </c>
      <c r="G3965" s="5" t="s">
        <v>2401</v>
      </c>
      <c r="H3965" s="31" t="s">
        <v>2402</v>
      </c>
      <c r="I3965" s="5" t="s">
        <v>3401</v>
      </c>
      <c r="J3965" s="5" t="s">
        <v>3402</v>
      </c>
      <c r="K3965" s="5" t="s">
        <v>591</v>
      </c>
      <c r="L3965" s="4" t="s">
        <v>1464</v>
      </c>
      <c r="M3965" s="6">
        <v>1</v>
      </c>
      <c r="N3965" s="46">
        <f t="shared" si="105"/>
        <v>506756</v>
      </c>
      <c r="O3965" s="85">
        <v>506756</v>
      </c>
      <c r="P3965" s="5" t="s">
        <v>698</v>
      </c>
      <c r="Q3965" s="5" t="s">
        <v>2438</v>
      </c>
      <c r="R3965" s="11" t="s">
        <v>2022</v>
      </c>
      <c r="S3965" s="5">
        <v>50</v>
      </c>
    </row>
    <row r="3966" spans="1:19" s="13" customFormat="1" ht="51">
      <c r="A3966" s="5">
        <v>3951</v>
      </c>
      <c r="B3966" s="15" t="s">
        <v>710</v>
      </c>
      <c r="C3966" s="5" t="s">
        <v>711</v>
      </c>
      <c r="D3966" s="11" t="s">
        <v>3437</v>
      </c>
      <c r="E3966" s="57" t="s">
        <v>3438</v>
      </c>
      <c r="F3966" s="57" t="s">
        <v>3438</v>
      </c>
      <c r="G3966" s="57" t="s">
        <v>3439</v>
      </c>
      <c r="H3966" s="57" t="s">
        <v>3440</v>
      </c>
      <c r="I3966" s="57" t="s">
        <v>3404</v>
      </c>
      <c r="J3966" s="57" t="s">
        <v>3403</v>
      </c>
      <c r="K3966" s="5" t="s">
        <v>591</v>
      </c>
      <c r="L3966" s="11" t="s">
        <v>914</v>
      </c>
      <c r="M3966" s="22">
        <v>1</v>
      </c>
      <c r="N3966" s="46">
        <f t="shared" si="105"/>
        <v>3279466</v>
      </c>
      <c r="O3966" s="49">
        <v>3279466</v>
      </c>
      <c r="P3966" s="5" t="s">
        <v>698</v>
      </c>
      <c r="Q3966" s="5" t="s">
        <v>3405</v>
      </c>
      <c r="R3966" s="11" t="s">
        <v>1175</v>
      </c>
      <c r="S3966" s="22">
        <v>50</v>
      </c>
    </row>
    <row r="3967" spans="1:19" s="13" customFormat="1" ht="51">
      <c r="A3967" s="5">
        <v>3952</v>
      </c>
      <c r="B3967" s="15" t="s">
        <v>710</v>
      </c>
      <c r="C3967" s="5" t="s">
        <v>711</v>
      </c>
      <c r="D3967" s="11" t="s">
        <v>3437</v>
      </c>
      <c r="E3967" s="57" t="s">
        <v>3438</v>
      </c>
      <c r="F3967" s="57" t="s">
        <v>3438</v>
      </c>
      <c r="G3967" s="57" t="s">
        <v>3439</v>
      </c>
      <c r="H3967" s="57" t="s">
        <v>3440</v>
      </c>
      <c r="I3967" s="57" t="s">
        <v>3404</v>
      </c>
      <c r="J3967" s="57" t="s">
        <v>3403</v>
      </c>
      <c r="K3967" s="5" t="s">
        <v>591</v>
      </c>
      <c r="L3967" s="11" t="s">
        <v>914</v>
      </c>
      <c r="M3967" s="22">
        <v>1</v>
      </c>
      <c r="N3967" s="46">
        <f t="shared" si="105"/>
        <v>3279465</v>
      </c>
      <c r="O3967" s="49">
        <v>3279465</v>
      </c>
      <c r="P3967" s="5" t="s">
        <v>698</v>
      </c>
      <c r="Q3967" s="5" t="s">
        <v>3405</v>
      </c>
      <c r="R3967" s="11" t="s">
        <v>1021</v>
      </c>
      <c r="S3967" s="22">
        <v>50</v>
      </c>
    </row>
    <row r="3968" spans="1:19" s="13" customFormat="1" ht="51">
      <c r="A3968" s="5">
        <v>3953</v>
      </c>
      <c r="B3968" s="15" t="s">
        <v>710</v>
      </c>
      <c r="C3968" s="5" t="s">
        <v>711</v>
      </c>
      <c r="D3968" s="11" t="s">
        <v>3437</v>
      </c>
      <c r="E3968" s="57" t="s">
        <v>3438</v>
      </c>
      <c r="F3968" s="57" t="s">
        <v>3438</v>
      </c>
      <c r="G3968" s="57" t="s">
        <v>3439</v>
      </c>
      <c r="H3968" s="57" t="s">
        <v>3440</v>
      </c>
      <c r="I3968" s="57" t="s">
        <v>3404</v>
      </c>
      <c r="J3968" s="57" t="s">
        <v>3403</v>
      </c>
      <c r="K3968" s="5" t="s">
        <v>591</v>
      </c>
      <c r="L3968" s="11" t="s">
        <v>914</v>
      </c>
      <c r="M3968" s="22">
        <v>1</v>
      </c>
      <c r="N3968" s="46">
        <f t="shared" si="105"/>
        <v>3279465</v>
      </c>
      <c r="O3968" s="49">
        <v>3279465</v>
      </c>
      <c r="P3968" s="5" t="s">
        <v>698</v>
      </c>
      <c r="Q3968" s="5" t="s">
        <v>3405</v>
      </c>
      <c r="R3968" s="11" t="s">
        <v>789</v>
      </c>
      <c r="S3968" s="22">
        <v>50</v>
      </c>
    </row>
    <row r="3969" spans="1:19" s="13" customFormat="1" ht="51">
      <c r="A3969" s="5">
        <v>3954</v>
      </c>
      <c r="B3969" s="15" t="s">
        <v>710</v>
      </c>
      <c r="C3969" s="5" t="s">
        <v>711</v>
      </c>
      <c r="D3969" s="11" t="s">
        <v>3437</v>
      </c>
      <c r="E3969" s="57" t="s">
        <v>3438</v>
      </c>
      <c r="F3969" s="57" t="s">
        <v>3438</v>
      </c>
      <c r="G3969" s="57" t="s">
        <v>3439</v>
      </c>
      <c r="H3969" s="57" t="s">
        <v>3440</v>
      </c>
      <c r="I3969" s="57" t="s">
        <v>3404</v>
      </c>
      <c r="J3969" s="57" t="s">
        <v>3403</v>
      </c>
      <c r="K3969" s="5" t="s">
        <v>591</v>
      </c>
      <c r="L3969" s="11" t="s">
        <v>914</v>
      </c>
      <c r="M3969" s="22">
        <v>1</v>
      </c>
      <c r="N3969" s="46">
        <f t="shared" si="105"/>
        <v>3279465</v>
      </c>
      <c r="O3969" s="49">
        <v>3279465</v>
      </c>
      <c r="P3969" s="5" t="s">
        <v>698</v>
      </c>
      <c r="Q3969" s="5" t="s">
        <v>3405</v>
      </c>
      <c r="R3969" s="11" t="s">
        <v>633</v>
      </c>
      <c r="S3969" s="22">
        <v>50</v>
      </c>
    </row>
    <row r="3970" spans="1:19" s="13" customFormat="1" ht="51">
      <c r="A3970" s="5">
        <v>3955</v>
      </c>
      <c r="B3970" s="15" t="s">
        <v>710</v>
      </c>
      <c r="C3970" s="5" t="s">
        <v>711</v>
      </c>
      <c r="D3970" s="11" t="s">
        <v>3437</v>
      </c>
      <c r="E3970" s="57" t="s">
        <v>3438</v>
      </c>
      <c r="F3970" s="57" t="s">
        <v>3438</v>
      </c>
      <c r="G3970" s="57" t="s">
        <v>3439</v>
      </c>
      <c r="H3970" s="57" t="s">
        <v>3440</v>
      </c>
      <c r="I3970" s="57" t="s">
        <v>3404</v>
      </c>
      <c r="J3970" s="57" t="s">
        <v>3403</v>
      </c>
      <c r="K3970" s="5" t="s">
        <v>591</v>
      </c>
      <c r="L3970" s="11" t="s">
        <v>914</v>
      </c>
      <c r="M3970" s="22">
        <v>1</v>
      </c>
      <c r="N3970" s="46">
        <f t="shared" si="105"/>
        <v>3279465</v>
      </c>
      <c r="O3970" s="49">
        <v>3279465</v>
      </c>
      <c r="P3970" s="5" t="s">
        <v>698</v>
      </c>
      <c r="Q3970" s="5" t="s">
        <v>3405</v>
      </c>
      <c r="R3970" s="11" t="s">
        <v>2514</v>
      </c>
      <c r="S3970" s="22">
        <v>50</v>
      </c>
    </row>
    <row r="3971" spans="1:19" s="13" customFormat="1" ht="63.75">
      <c r="A3971" s="5">
        <v>3956</v>
      </c>
      <c r="B3971" s="15" t="s">
        <v>710</v>
      </c>
      <c r="C3971" s="5" t="s">
        <v>711</v>
      </c>
      <c r="D3971" s="11" t="s">
        <v>3406</v>
      </c>
      <c r="E3971" s="57" t="s">
        <v>3409</v>
      </c>
      <c r="F3971" s="57" t="s">
        <v>1222</v>
      </c>
      <c r="G3971" s="57" t="s">
        <v>3410</v>
      </c>
      <c r="H3971" s="57" t="s">
        <v>3407</v>
      </c>
      <c r="I3971" s="57" t="s">
        <v>3408</v>
      </c>
      <c r="J3971" s="57" t="s">
        <v>3408</v>
      </c>
      <c r="K3971" s="5" t="s">
        <v>591</v>
      </c>
      <c r="L3971" s="31" t="s">
        <v>644</v>
      </c>
      <c r="M3971" s="22">
        <v>3</v>
      </c>
      <c r="N3971" s="46">
        <f t="shared" si="105"/>
        <v>397224</v>
      </c>
      <c r="O3971" s="49">
        <v>1191672</v>
      </c>
      <c r="P3971" s="5" t="s">
        <v>698</v>
      </c>
      <c r="Q3971" s="5" t="s">
        <v>3405</v>
      </c>
      <c r="R3971" s="11" t="s">
        <v>1175</v>
      </c>
      <c r="S3971" s="22">
        <v>50</v>
      </c>
    </row>
    <row r="3972" spans="1:19" ht="25.5">
      <c r="A3972" s="5">
        <v>3957</v>
      </c>
      <c r="B3972" s="29" t="s">
        <v>710</v>
      </c>
      <c r="C3972" s="30" t="s">
        <v>711</v>
      </c>
      <c r="D3972" s="109" t="s">
        <v>3413</v>
      </c>
      <c r="E3972" s="57" t="s">
        <v>175</v>
      </c>
      <c r="F3972" s="57" t="s">
        <v>175</v>
      </c>
      <c r="G3972" s="57" t="s">
        <v>3414</v>
      </c>
      <c r="H3972" s="57" t="s">
        <v>3415</v>
      </c>
      <c r="I3972" s="57" t="s">
        <v>175</v>
      </c>
      <c r="J3972" s="57" t="s">
        <v>175</v>
      </c>
      <c r="K3972" s="5" t="s">
        <v>591</v>
      </c>
      <c r="L3972" s="31" t="s">
        <v>644</v>
      </c>
      <c r="M3972" s="22">
        <v>4</v>
      </c>
      <c r="N3972" s="46">
        <f t="shared" si="105"/>
        <v>400000</v>
      </c>
      <c r="O3972" s="49">
        <v>1600000</v>
      </c>
      <c r="P3972" s="5" t="s">
        <v>698</v>
      </c>
      <c r="Q3972" s="5" t="s">
        <v>698</v>
      </c>
      <c r="R3972" s="11" t="s">
        <v>2029</v>
      </c>
      <c r="S3972" s="22">
        <v>50</v>
      </c>
    </row>
    <row r="3973" spans="1:19" ht="51">
      <c r="A3973" s="5">
        <v>3958</v>
      </c>
      <c r="B3973" s="15" t="s">
        <v>710</v>
      </c>
      <c r="C3973" s="5" t="s">
        <v>1464</v>
      </c>
      <c r="D3973" s="5" t="s">
        <v>2400</v>
      </c>
      <c r="E3973" s="5" t="s">
        <v>3418</v>
      </c>
      <c r="F3973" s="5" t="s">
        <v>3417</v>
      </c>
      <c r="G3973" s="5" t="s">
        <v>3419</v>
      </c>
      <c r="H3973" s="31" t="s">
        <v>3416</v>
      </c>
      <c r="I3973" s="5" t="s">
        <v>3418</v>
      </c>
      <c r="J3973" s="5" t="s">
        <v>3417</v>
      </c>
      <c r="K3973" s="5" t="s">
        <v>591</v>
      </c>
      <c r="L3973" s="4" t="s">
        <v>1464</v>
      </c>
      <c r="M3973" s="6">
        <v>1</v>
      </c>
      <c r="N3973" s="46">
        <f t="shared" si="105"/>
        <v>2386444</v>
      </c>
      <c r="O3973" s="85">
        <v>2386444</v>
      </c>
      <c r="P3973" s="5" t="s">
        <v>698</v>
      </c>
      <c r="Q3973" s="5" t="s">
        <v>3313</v>
      </c>
      <c r="R3973" s="11" t="s">
        <v>2507</v>
      </c>
      <c r="S3973" s="5">
        <v>50</v>
      </c>
    </row>
    <row r="3974" spans="1:19" ht="63.75">
      <c r="A3974" s="5">
        <v>3959</v>
      </c>
      <c r="B3974" s="29" t="s">
        <v>710</v>
      </c>
      <c r="C3974" s="30" t="s">
        <v>711</v>
      </c>
      <c r="D3974" s="109" t="s">
        <v>3413</v>
      </c>
      <c r="E3974" s="57" t="s">
        <v>3420</v>
      </c>
      <c r="F3974" s="57" t="s">
        <v>3420</v>
      </c>
      <c r="G3974" s="57" t="s">
        <v>3422</v>
      </c>
      <c r="H3974" s="57" t="s">
        <v>3421</v>
      </c>
      <c r="I3974" s="57" t="s">
        <v>3420</v>
      </c>
      <c r="J3974" s="57" t="s">
        <v>3420</v>
      </c>
      <c r="K3974" s="5" t="s">
        <v>591</v>
      </c>
      <c r="L3974" s="31" t="s">
        <v>644</v>
      </c>
      <c r="M3974" s="22">
        <v>1</v>
      </c>
      <c r="N3974" s="46">
        <f t="shared" si="105"/>
        <v>974700</v>
      </c>
      <c r="O3974" s="49">
        <v>974700</v>
      </c>
      <c r="P3974" s="5" t="s">
        <v>698</v>
      </c>
      <c r="Q3974" s="5" t="s">
        <v>3313</v>
      </c>
      <c r="R3974" s="11" t="s">
        <v>2507</v>
      </c>
      <c r="S3974" s="22">
        <v>100</v>
      </c>
    </row>
    <row r="3975" spans="1:19" s="7" customFormat="1" ht="51">
      <c r="A3975" s="5">
        <v>3960</v>
      </c>
      <c r="B3975" s="29" t="s">
        <v>710</v>
      </c>
      <c r="C3975" s="35" t="s">
        <v>597</v>
      </c>
      <c r="D3975" s="5" t="s">
        <v>3423</v>
      </c>
      <c r="E3975" s="31" t="s">
        <v>3427</v>
      </c>
      <c r="F3975" s="31" t="s">
        <v>3426</v>
      </c>
      <c r="G3975" s="31" t="s">
        <v>3425</v>
      </c>
      <c r="H3975" s="31" t="s">
        <v>3424</v>
      </c>
      <c r="I3975" s="31" t="s">
        <v>3427</v>
      </c>
      <c r="J3975" s="31" t="s">
        <v>3426</v>
      </c>
      <c r="K3975" s="5" t="s">
        <v>591</v>
      </c>
      <c r="L3975" s="11" t="s">
        <v>914</v>
      </c>
      <c r="M3975" s="6">
        <v>1</v>
      </c>
      <c r="N3975" s="71">
        <f t="shared" si="105"/>
        <v>657000</v>
      </c>
      <c r="O3975" s="71">
        <v>657000</v>
      </c>
      <c r="P3975" s="5" t="s">
        <v>698</v>
      </c>
      <c r="Q3975" s="5" t="s">
        <v>3313</v>
      </c>
      <c r="R3975" s="11" t="s">
        <v>2507</v>
      </c>
      <c r="S3975" s="5">
        <v>50</v>
      </c>
    </row>
    <row r="3976" spans="1:19" ht="89.25">
      <c r="A3976" s="5">
        <v>3961</v>
      </c>
      <c r="B3976" s="15" t="s">
        <v>710</v>
      </c>
      <c r="C3976" s="31" t="s">
        <v>597</v>
      </c>
      <c r="D3976" s="5" t="s">
        <v>966</v>
      </c>
      <c r="E3976" s="57" t="s">
        <v>1953</v>
      </c>
      <c r="F3976" s="57" t="s">
        <v>916</v>
      </c>
      <c r="G3976" s="57" t="s">
        <v>2758</v>
      </c>
      <c r="H3976" s="57" t="s">
        <v>1498</v>
      </c>
      <c r="I3976" s="57" t="s">
        <v>3429</v>
      </c>
      <c r="J3976" s="57" t="s">
        <v>3428</v>
      </c>
      <c r="K3976" s="57" t="s">
        <v>591</v>
      </c>
      <c r="L3976" s="11" t="s">
        <v>914</v>
      </c>
      <c r="M3976" s="22">
        <v>1</v>
      </c>
      <c r="N3976" s="46">
        <f t="shared" si="105"/>
        <v>1500000</v>
      </c>
      <c r="O3976" s="49">
        <v>1500000</v>
      </c>
      <c r="P3976" s="5" t="s">
        <v>698</v>
      </c>
      <c r="Q3976" s="15" t="s">
        <v>3430</v>
      </c>
      <c r="R3976" s="11" t="s">
        <v>1175</v>
      </c>
      <c r="S3976" s="22">
        <v>50</v>
      </c>
    </row>
    <row r="3977" spans="1:19" ht="38.25">
      <c r="A3977" s="5">
        <v>3962</v>
      </c>
      <c r="B3977" s="15" t="s">
        <v>710</v>
      </c>
      <c r="C3977" s="5" t="s">
        <v>597</v>
      </c>
      <c r="D3977" s="5" t="s">
        <v>942</v>
      </c>
      <c r="E3977" s="57" t="s">
        <v>1155</v>
      </c>
      <c r="F3977" s="57" t="s">
        <v>943</v>
      </c>
      <c r="G3977" s="57" t="s">
        <v>1155</v>
      </c>
      <c r="H3977" s="57" t="s">
        <v>943</v>
      </c>
      <c r="I3977" s="57" t="s">
        <v>3432</v>
      </c>
      <c r="J3977" s="57" t="s">
        <v>3431</v>
      </c>
      <c r="K3977" s="57" t="s">
        <v>1484</v>
      </c>
      <c r="L3977" s="11" t="s">
        <v>914</v>
      </c>
      <c r="M3977" s="22">
        <v>1</v>
      </c>
      <c r="N3977" s="46">
        <f t="shared" si="105"/>
        <v>4135270</v>
      </c>
      <c r="O3977" s="49">
        <v>4135270</v>
      </c>
      <c r="P3977" s="5" t="s">
        <v>698</v>
      </c>
      <c r="Q3977" s="5" t="s">
        <v>699</v>
      </c>
      <c r="R3977" s="11" t="s">
        <v>2029</v>
      </c>
      <c r="S3977" s="22">
        <v>50</v>
      </c>
    </row>
    <row r="3978" spans="1:19" ht="63.75">
      <c r="A3978" s="4">
        <v>3963</v>
      </c>
      <c r="B3978" s="29" t="s">
        <v>710</v>
      </c>
      <c r="C3978" s="30" t="s">
        <v>711</v>
      </c>
      <c r="D3978" s="15" t="s">
        <v>763</v>
      </c>
      <c r="E3978" s="57" t="s">
        <v>797</v>
      </c>
      <c r="F3978" s="57" t="s">
        <v>797</v>
      </c>
      <c r="G3978" s="57" t="s">
        <v>798</v>
      </c>
      <c r="H3978" s="57" t="s">
        <v>764</v>
      </c>
      <c r="I3978" s="57" t="s">
        <v>2152</v>
      </c>
      <c r="J3978" s="57" t="s">
        <v>146</v>
      </c>
      <c r="K3978" s="57" t="s">
        <v>591</v>
      </c>
      <c r="L3978" s="31" t="s">
        <v>644</v>
      </c>
      <c r="M3978" s="9">
        <v>3</v>
      </c>
      <c r="N3978" s="46">
        <f t="shared" si="105"/>
        <v>23393</v>
      </c>
      <c r="O3978" s="49">
        <v>70179</v>
      </c>
      <c r="P3978" s="5" t="s">
        <v>699</v>
      </c>
      <c r="Q3978" s="5" t="s">
        <v>699</v>
      </c>
      <c r="R3978" s="11" t="s">
        <v>2022</v>
      </c>
      <c r="S3978" s="9">
        <v>100</v>
      </c>
    </row>
    <row r="3979" spans="1:19" ht="51" outlineLevel="1">
      <c r="A3979" s="5">
        <v>3964</v>
      </c>
      <c r="B3979" s="15" t="s">
        <v>710</v>
      </c>
      <c r="C3979" s="5" t="s">
        <v>597</v>
      </c>
      <c r="D3979" s="5" t="s">
        <v>548</v>
      </c>
      <c r="E3979" s="57" t="s">
        <v>549</v>
      </c>
      <c r="F3979" s="57" t="s">
        <v>550</v>
      </c>
      <c r="G3979" s="57" t="s">
        <v>549</v>
      </c>
      <c r="H3979" s="57" t="s">
        <v>550</v>
      </c>
      <c r="I3979" s="57" t="s">
        <v>1410</v>
      </c>
      <c r="J3979" s="57" t="s">
        <v>69</v>
      </c>
      <c r="K3979" s="57" t="s">
        <v>591</v>
      </c>
      <c r="L3979" s="11" t="s">
        <v>914</v>
      </c>
      <c r="M3979" s="22">
        <v>1</v>
      </c>
      <c r="N3979" s="46">
        <f t="shared" si="105"/>
        <v>670</v>
      </c>
      <c r="O3979" s="49">
        <v>670</v>
      </c>
      <c r="P3979" s="5" t="s">
        <v>699</v>
      </c>
      <c r="Q3979" s="5" t="s">
        <v>766</v>
      </c>
      <c r="R3979" s="11" t="s">
        <v>3457</v>
      </c>
      <c r="S3979" s="5">
        <v>0</v>
      </c>
    </row>
    <row r="3980" spans="1:19" ht="76.5" outlineLevel="1">
      <c r="A3980" s="4">
        <v>3965</v>
      </c>
      <c r="B3980" s="15" t="s">
        <v>710</v>
      </c>
      <c r="C3980" s="5" t="s">
        <v>597</v>
      </c>
      <c r="D3980" s="5" t="s">
        <v>868</v>
      </c>
      <c r="E3980" s="57" t="s">
        <v>1874</v>
      </c>
      <c r="F3980" s="57" t="s">
        <v>869</v>
      </c>
      <c r="G3980" s="57" t="s">
        <v>1875</v>
      </c>
      <c r="H3980" s="57" t="s">
        <v>870</v>
      </c>
      <c r="I3980" s="57" t="s">
        <v>3441</v>
      </c>
      <c r="J3980" s="57" t="s">
        <v>72</v>
      </c>
      <c r="K3980" s="57" t="s">
        <v>591</v>
      </c>
      <c r="L3980" s="11" t="s">
        <v>914</v>
      </c>
      <c r="M3980" s="22">
        <v>1</v>
      </c>
      <c r="N3980" s="46">
        <f t="shared" si="105"/>
        <v>446</v>
      </c>
      <c r="O3980" s="49">
        <v>446</v>
      </c>
      <c r="P3980" s="5" t="s">
        <v>699</v>
      </c>
      <c r="Q3980" s="5" t="s">
        <v>766</v>
      </c>
      <c r="R3980" s="11" t="s">
        <v>3457</v>
      </c>
      <c r="S3980" s="5">
        <v>0</v>
      </c>
    </row>
    <row r="3981" spans="1:19" ht="63.75" outlineLevel="1">
      <c r="A3981" s="5">
        <v>3966</v>
      </c>
      <c r="B3981" s="15" t="s">
        <v>710</v>
      </c>
      <c r="C3981" s="5" t="s">
        <v>597</v>
      </c>
      <c r="D3981" s="5" t="s">
        <v>551</v>
      </c>
      <c r="E3981" s="57" t="s">
        <v>552</v>
      </c>
      <c r="F3981" s="57" t="s">
        <v>553</v>
      </c>
      <c r="G3981" s="57" t="s">
        <v>554</v>
      </c>
      <c r="H3981" s="57" t="s">
        <v>555</v>
      </c>
      <c r="I3981" s="57" t="s">
        <v>1412</v>
      </c>
      <c r="J3981" s="57" t="s">
        <v>71</v>
      </c>
      <c r="K3981" s="57" t="s">
        <v>591</v>
      </c>
      <c r="L3981" s="11" t="s">
        <v>914</v>
      </c>
      <c r="M3981" s="22">
        <v>1</v>
      </c>
      <c r="N3981" s="46">
        <f t="shared" si="105"/>
        <v>1786</v>
      </c>
      <c r="O3981" s="49">
        <v>1786</v>
      </c>
      <c r="P3981" s="5" t="s">
        <v>699</v>
      </c>
      <c r="Q3981" s="5" t="s">
        <v>766</v>
      </c>
      <c r="R3981" s="11" t="s">
        <v>3457</v>
      </c>
      <c r="S3981" s="5">
        <v>0</v>
      </c>
    </row>
    <row r="3982" spans="1:19" ht="51" outlineLevel="1">
      <c r="A3982" s="4">
        <v>3967</v>
      </c>
      <c r="B3982" s="15" t="s">
        <v>710</v>
      </c>
      <c r="C3982" s="5" t="s">
        <v>597</v>
      </c>
      <c r="D3982" s="5" t="s">
        <v>548</v>
      </c>
      <c r="E3982" s="57" t="s">
        <v>549</v>
      </c>
      <c r="F3982" s="57" t="s">
        <v>550</v>
      </c>
      <c r="G3982" s="57" t="s">
        <v>549</v>
      </c>
      <c r="H3982" s="57" t="s">
        <v>550</v>
      </c>
      <c r="I3982" s="57" t="s">
        <v>1410</v>
      </c>
      <c r="J3982" s="57" t="s">
        <v>69</v>
      </c>
      <c r="K3982" s="57" t="s">
        <v>591</v>
      </c>
      <c r="L3982" s="11" t="s">
        <v>914</v>
      </c>
      <c r="M3982" s="22">
        <v>1</v>
      </c>
      <c r="N3982" s="46">
        <f t="shared" si="105"/>
        <v>2232</v>
      </c>
      <c r="O3982" s="49">
        <v>2232</v>
      </c>
      <c r="P3982" s="5" t="s">
        <v>699</v>
      </c>
      <c r="Q3982" s="5" t="s">
        <v>766</v>
      </c>
      <c r="R3982" s="11" t="s">
        <v>3456</v>
      </c>
      <c r="S3982" s="5">
        <v>0</v>
      </c>
    </row>
    <row r="3983" spans="1:19" ht="76.5" outlineLevel="1">
      <c r="A3983" s="5">
        <v>3968</v>
      </c>
      <c r="B3983" s="15" t="s">
        <v>710</v>
      </c>
      <c r="C3983" s="5" t="s">
        <v>597</v>
      </c>
      <c r="D3983" s="5" t="s">
        <v>868</v>
      </c>
      <c r="E3983" s="57" t="s">
        <v>1874</v>
      </c>
      <c r="F3983" s="57" t="s">
        <v>869</v>
      </c>
      <c r="G3983" s="57" t="s">
        <v>1875</v>
      </c>
      <c r="H3983" s="57" t="s">
        <v>870</v>
      </c>
      <c r="I3983" s="57" t="s">
        <v>3441</v>
      </c>
      <c r="J3983" s="57" t="s">
        <v>72</v>
      </c>
      <c r="K3983" s="57" t="s">
        <v>591</v>
      </c>
      <c r="L3983" s="11" t="s">
        <v>914</v>
      </c>
      <c r="M3983" s="22">
        <v>1</v>
      </c>
      <c r="N3983" s="46">
        <f t="shared" si="105"/>
        <v>902</v>
      </c>
      <c r="O3983" s="49">
        <v>902</v>
      </c>
      <c r="P3983" s="5" t="s">
        <v>699</v>
      </c>
      <c r="Q3983" s="5" t="s">
        <v>766</v>
      </c>
      <c r="R3983" s="11" t="s">
        <v>3456</v>
      </c>
      <c r="S3983" s="5">
        <v>0</v>
      </c>
    </row>
    <row r="3984" spans="1:19" ht="63.75" outlineLevel="1">
      <c r="A3984" s="4">
        <v>3969</v>
      </c>
      <c r="B3984" s="15" t="s">
        <v>710</v>
      </c>
      <c r="C3984" s="5" t="s">
        <v>597</v>
      </c>
      <c r="D3984" s="5" t="s">
        <v>551</v>
      </c>
      <c r="E3984" s="57" t="s">
        <v>552</v>
      </c>
      <c r="F3984" s="57" t="s">
        <v>553</v>
      </c>
      <c r="G3984" s="57" t="s">
        <v>554</v>
      </c>
      <c r="H3984" s="57" t="s">
        <v>555</v>
      </c>
      <c r="I3984" s="57" t="s">
        <v>1412</v>
      </c>
      <c r="J3984" s="57" t="s">
        <v>71</v>
      </c>
      <c r="K3984" s="57" t="s">
        <v>591</v>
      </c>
      <c r="L3984" s="11" t="s">
        <v>914</v>
      </c>
      <c r="M3984" s="22">
        <v>1</v>
      </c>
      <c r="N3984" s="46">
        <f t="shared" si="105"/>
        <v>1429</v>
      </c>
      <c r="O3984" s="49">
        <v>1429</v>
      </c>
      <c r="P3984" s="5" t="s">
        <v>699</v>
      </c>
      <c r="Q3984" s="5" t="s">
        <v>766</v>
      </c>
      <c r="R3984" s="11" t="s">
        <v>3456</v>
      </c>
      <c r="S3984" s="5">
        <v>0</v>
      </c>
    </row>
    <row r="3985" spans="1:19" ht="51" outlineLevel="1">
      <c r="A3985" s="5">
        <v>3970</v>
      </c>
      <c r="B3985" s="15" t="s">
        <v>710</v>
      </c>
      <c r="C3985" s="5" t="s">
        <v>597</v>
      </c>
      <c r="D3985" s="5" t="s">
        <v>548</v>
      </c>
      <c r="E3985" s="57" t="s">
        <v>549</v>
      </c>
      <c r="F3985" s="57" t="s">
        <v>550</v>
      </c>
      <c r="G3985" s="57" t="s">
        <v>549</v>
      </c>
      <c r="H3985" s="57" t="s">
        <v>550</v>
      </c>
      <c r="I3985" s="57" t="s">
        <v>1410</v>
      </c>
      <c r="J3985" s="57" t="s">
        <v>69</v>
      </c>
      <c r="K3985" s="57" t="s">
        <v>591</v>
      </c>
      <c r="L3985" s="11" t="s">
        <v>914</v>
      </c>
      <c r="M3985" s="22">
        <v>1</v>
      </c>
      <c r="N3985" s="46">
        <f t="shared" si="105"/>
        <v>1339</v>
      </c>
      <c r="O3985" s="49">
        <v>1339</v>
      </c>
      <c r="P3985" s="5" t="s">
        <v>699</v>
      </c>
      <c r="Q3985" s="5" t="s">
        <v>766</v>
      </c>
      <c r="R3985" s="11" t="s">
        <v>3455</v>
      </c>
      <c r="S3985" s="5">
        <v>0</v>
      </c>
    </row>
    <row r="3986" spans="1:19" ht="63.75" outlineLevel="1">
      <c r="A3986" s="4">
        <v>3971</v>
      </c>
      <c r="B3986" s="15" t="s">
        <v>710</v>
      </c>
      <c r="C3986" s="5" t="s">
        <v>597</v>
      </c>
      <c r="D3986" s="5" t="s">
        <v>551</v>
      </c>
      <c r="E3986" s="57" t="s">
        <v>552</v>
      </c>
      <c r="F3986" s="57" t="s">
        <v>553</v>
      </c>
      <c r="G3986" s="57" t="s">
        <v>554</v>
      </c>
      <c r="H3986" s="57" t="s">
        <v>555</v>
      </c>
      <c r="I3986" s="57" t="s">
        <v>1412</v>
      </c>
      <c r="J3986" s="57" t="s">
        <v>71</v>
      </c>
      <c r="K3986" s="57" t="s">
        <v>591</v>
      </c>
      <c r="L3986" s="11" t="s">
        <v>914</v>
      </c>
      <c r="M3986" s="22">
        <v>1</v>
      </c>
      <c r="N3986" s="46">
        <f t="shared" si="105"/>
        <v>804</v>
      </c>
      <c r="O3986" s="49">
        <v>804</v>
      </c>
      <c r="P3986" s="5" t="s">
        <v>699</v>
      </c>
      <c r="Q3986" s="5" t="s">
        <v>766</v>
      </c>
      <c r="R3986" s="11" t="s">
        <v>3455</v>
      </c>
      <c r="S3986" s="5">
        <v>0</v>
      </c>
    </row>
    <row r="3987" spans="1:19" ht="51" outlineLevel="1">
      <c r="A3987" s="5">
        <v>3972</v>
      </c>
      <c r="B3987" s="15" t="s">
        <v>710</v>
      </c>
      <c r="C3987" s="5" t="s">
        <v>597</v>
      </c>
      <c r="D3987" s="5" t="s">
        <v>548</v>
      </c>
      <c r="E3987" s="57" t="s">
        <v>549</v>
      </c>
      <c r="F3987" s="57" t="s">
        <v>550</v>
      </c>
      <c r="G3987" s="57" t="s">
        <v>549</v>
      </c>
      <c r="H3987" s="57" t="s">
        <v>550</v>
      </c>
      <c r="I3987" s="57" t="s">
        <v>1410</v>
      </c>
      <c r="J3987" s="57" t="s">
        <v>69</v>
      </c>
      <c r="K3987" s="57" t="s">
        <v>591</v>
      </c>
      <c r="L3987" s="11" t="s">
        <v>914</v>
      </c>
      <c r="M3987" s="22">
        <v>1</v>
      </c>
      <c r="N3987" s="46">
        <f t="shared" si="105"/>
        <v>3929</v>
      </c>
      <c r="O3987" s="49">
        <v>3929</v>
      </c>
      <c r="P3987" s="5" t="s">
        <v>699</v>
      </c>
      <c r="Q3987" s="5" t="s">
        <v>766</v>
      </c>
      <c r="R3987" s="11" t="s">
        <v>3454</v>
      </c>
      <c r="S3987" s="5">
        <v>0</v>
      </c>
    </row>
    <row r="3988" spans="1:19" ht="63.75" outlineLevel="1">
      <c r="A3988" s="4">
        <v>3973</v>
      </c>
      <c r="B3988" s="15" t="s">
        <v>710</v>
      </c>
      <c r="C3988" s="5" t="s">
        <v>597</v>
      </c>
      <c r="D3988" s="5" t="s">
        <v>551</v>
      </c>
      <c r="E3988" s="57" t="s">
        <v>552</v>
      </c>
      <c r="F3988" s="57" t="s">
        <v>553</v>
      </c>
      <c r="G3988" s="57" t="s">
        <v>554</v>
      </c>
      <c r="H3988" s="57" t="s">
        <v>555</v>
      </c>
      <c r="I3988" s="57" t="s">
        <v>1412</v>
      </c>
      <c r="J3988" s="57" t="s">
        <v>71</v>
      </c>
      <c r="K3988" s="57" t="s">
        <v>591</v>
      </c>
      <c r="L3988" s="11" t="s">
        <v>914</v>
      </c>
      <c r="M3988" s="22">
        <v>1</v>
      </c>
      <c r="N3988" s="46">
        <f t="shared" si="105"/>
        <v>2232</v>
      </c>
      <c r="O3988" s="49">
        <v>2232</v>
      </c>
      <c r="P3988" s="5" t="s">
        <v>699</v>
      </c>
      <c r="Q3988" s="5" t="s">
        <v>766</v>
      </c>
      <c r="R3988" s="11" t="s">
        <v>3454</v>
      </c>
      <c r="S3988" s="5">
        <v>0</v>
      </c>
    </row>
    <row r="3989" spans="1:19" ht="51" outlineLevel="1">
      <c r="A3989" s="5">
        <v>3974</v>
      </c>
      <c r="B3989" s="15" t="s">
        <v>710</v>
      </c>
      <c r="C3989" s="5" t="s">
        <v>597</v>
      </c>
      <c r="D3989" s="5" t="s">
        <v>548</v>
      </c>
      <c r="E3989" s="57" t="s">
        <v>549</v>
      </c>
      <c r="F3989" s="57" t="s">
        <v>550</v>
      </c>
      <c r="G3989" s="57" t="s">
        <v>549</v>
      </c>
      <c r="H3989" s="57" t="s">
        <v>550</v>
      </c>
      <c r="I3989" s="57" t="s">
        <v>1410</v>
      </c>
      <c r="J3989" s="57" t="s">
        <v>69</v>
      </c>
      <c r="K3989" s="57" t="s">
        <v>591</v>
      </c>
      <c r="L3989" s="11" t="s">
        <v>914</v>
      </c>
      <c r="M3989" s="22">
        <v>1</v>
      </c>
      <c r="N3989" s="46">
        <f t="shared" si="105"/>
        <v>4107</v>
      </c>
      <c r="O3989" s="49">
        <v>4107</v>
      </c>
      <c r="P3989" s="5" t="s">
        <v>699</v>
      </c>
      <c r="Q3989" s="5" t="s">
        <v>766</v>
      </c>
      <c r="R3989" s="11" t="s">
        <v>3453</v>
      </c>
      <c r="S3989" s="5">
        <v>0</v>
      </c>
    </row>
    <row r="3990" spans="1:19" ht="76.5" outlineLevel="1">
      <c r="A3990" s="4">
        <v>3975</v>
      </c>
      <c r="B3990" s="15" t="s">
        <v>710</v>
      </c>
      <c r="C3990" s="5" t="s">
        <v>597</v>
      </c>
      <c r="D3990" s="5" t="s">
        <v>868</v>
      </c>
      <c r="E3990" s="57" t="s">
        <v>1874</v>
      </c>
      <c r="F3990" s="57" t="s">
        <v>869</v>
      </c>
      <c r="G3990" s="57" t="s">
        <v>1875</v>
      </c>
      <c r="H3990" s="57" t="s">
        <v>870</v>
      </c>
      <c r="I3990" s="57" t="s">
        <v>3441</v>
      </c>
      <c r="J3990" s="57" t="s">
        <v>72</v>
      </c>
      <c r="K3990" s="57" t="s">
        <v>591</v>
      </c>
      <c r="L3990" s="11" t="s">
        <v>914</v>
      </c>
      <c r="M3990" s="22">
        <v>1</v>
      </c>
      <c r="N3990" s="46">
        <f t="shared" si="105"/>
        <v>268</v>
      </c>
      <c r="O3990" s="49">
        <v>268</v>
      </c>
      <c r="P3990" s="5" t="s">
        <v>699</v>
      </c>
      <c r="Q3990" s="5" t="s">
        <v>766</v>
      </c>
      <c r="R3990" s="11" t="s">
        <v>3453</v>
      </c>
      <c r="S3990" s="5">
        <v>0</v>
      </c>
    </row>
    <row r="3991" spans="1:19" ht="63.75" outlineLevel="1">
      <c r="A3991" s="5">
        <v>3976</v>
      </c>
      <c r="B3991" s="15" t="s">
        <v>710</v>
      </c>
      <c r="C3991" s="5" t="s">
        <v>597</v>
      </c>
      <c r="D3991" s="5" t="s">
        <v>551</v>
      </c>
      <c r="E3991" s="57" t="s">
        <v>552</v>
      </c>
      <c r="F3991" s="57" t="s">
        <v>553</v>
      </c>
      <c r="G3991" s="57" t="s">
        <v>554</v>
      </c>
      <c r="H3991" s="57" t="s">
        <v>555</v>
      </c>
      <c r="I3991" s="57" t="s">
        <v>1412</v>
      </c>
      <c r="J3991" s="57" t="s">
        <v>71</v>
      </c>
      <c r="K3991" s="57" t="s">
        <v>591</v>
      </c>
      <c r="L3991" s="11" t="s">
        <v>914</v>
      </c>
      <c r="M3991" s="22">
        <v>1</v>
      </c>
      <c r="N3991" s="46">
        <f t="shared" si="105"/>
        <v>3929</v>
      </c>
      <c r="O3991" s="49">
        <v>3929</v>
      </c>
      <c r="P3991" s="5" t="s">
        <v>699</v>
      </c>
      <c r="Q3991" s="5" t="s">
        <v>766</v>
      </c>
      <c r="R3991" s="11" t="s">
        <v>3453</v>
      </c>
      <c r="S3991" s="5">
        <v>0</v>
      </c>
    </row>
    <row r="3992" spans="1:19" ht="51" outlineLevel="1">
      <c r="A3992" s="4">
        <v>3977</v>
      </c>
      <c r="B3992" s="15" t="s">
        <v>710</v>
      </c>
      <c r="C3992" s="5" t="s">
        <v>597</v>
      </c>
      <c r="D3992" s="5" t="s">
        <v>548</v>
      </c>
      <c r="E3992" s="57" t="s">
        <v>549</v>
      </c>
      <c r="F3992" s="57" t="s">
        <v>550</v>
      </c>
      <c r="G3992" s="57" t="s">
        <v>549</v>
      </c>
      <c r="H3992" s="57" t="s">
        <v>550</v>
      </c>
      <c r="I3992" s="57" t="s">
        <v>1410</v>
      </c>
      <c r="J3992" s="57" t="s">
        <v>69</v>
      </c>
      <c r="K3992" s="57" t="s">
        <v>591</v>
      </c>
      <c r="L3992" s="11" t="s">
        <v>914</v>
      </c>
      <c r="M3992" s="22">
        <v>1</v>
      </c>
      <c r="N3992" s="46">
        <f t="shared" si="105"/>
        <v>1518</v>
      </c>
      <c r="O3992" s="49">
        <v>1518</v>
      </c>
      <c r="P3992" s="5" t="s">
        <v>699</v>
      </c>
      <c r="Q3992" s="5" t="s">
        <v>766</v>
      </c>
      <c r="R3992" s="11" t="s">
        <v>3442</v>
      </c>
      <c r="S3992" s="5">
        <v>0</v>
      </c>
    </row>
    <row r="3993" spans="1:19" ht="76.5" outlineLevel="1">
      <c r="A3993" s="5">
        <v>3978</v>
      </c>
      <c r="B3993" s="15" t="s">
        <v>710</v>
      </c>
      <c r="C3993" s="5" t="s">
        <v>597</v>
      </c>
      <c r="D3993" s="5" t="s">
        <v>868</v>
      </c>
      <c r="E3993" s="57" t="s">
        <v>1874</v>
      </c>
      <c r="F3993" s="57" t="s">
        <v>869</v>
      </c>
      <c r="G3993" s="57" t="s">
        <v>1875</v>
      </c>
      <c r="H3993" s="57" t="s">
        <v>870</v>
      </c>
      <c r="I3993" s="57" t="s">
        <v>3441</v>
      </c>
      <c r="J3993" s="57" t="s">
        <v>72</v>
      </c>
      <c r="K3993" s="57" t="s">
        <v>591</v>
      </c>
      <c r="L3993" s="11" t="s">
        <v>914</v>
      </c>
      <c r="M3993" s="22">
        <v>1</v>
      </c>
      <c r="N3993" s="46">
        <f t="shared" si="105"/>
        <v>89</v>
      </c>
      <c r="O3993" s="49">
        <v>89</v>
      </c>
      <c r="P3993" s="5" t="s">
        <v>699</v>
      </c>
      <c r="Q3993" s="5" t="s">
        <v>766</v>
      </c>
      <c r="R3993" s="11" t="s">
        <v>3442</v>
      </c>
      <c r="S3993" s="5">
        <v>0</v>
      </c>
    </row>
    <row r="3994" spans="1:19" ht="63.75" outlineLevel="1">
      <c r="A3994" s="4">
        <v>3979</v>
      </c>
      <c r="B3994" s="15" t="s">
        <v>710</v>
      </c>
      <c r="C3994" s="5" t="s">
        <v>597</v>
      </c>
      <c r="D3994" s="5" t="s">
        <v>551</v>
      </c>
      <c r="E3994" s="57" t="s">
        <v>552</v>
      </c>
      <c r="F3994" s="57" t="s">
        <v>553</v>
      </c>
      <c r="G3994" s="57" t="s">
        <v>554</v>
      </c>
      <c r="H3994" s="57" t="s">
        <v>555</v>
      </c>
      <c r="I3994" s="57" t="s">
        <v>1412</v>
      </c>
      <c r="J3994" s="57" t="s">
        <v>71</v>
      </c>
      <c r="K3994" s="57" t="s">
        <v>591</v>
      </c>
      <c r="L3994" s="11" t="s">
        <v>914</v>
      </c>
      <c r="M3994" s="22">
        <v>1</v>
      </c>
      <c r="N3994" s="46">
        <f t="shared" si="105"/>
        <v>1786</v>
      </c>
      <c r="O3994" s="49">
        <v>1786</v>
      </c>
      <c r="P3994" s="5" t="s">
        <v>699</v>
      </c>
      <c r="Q3994" s="5" t="s">
        <v>766</v>
      </c>
      <c r="R3994" s="11" t="s">
        <v>3442</v>
      </c>
      <c r="S3994" s="5">
        <v>0</v>
      </c>
    </row>
    <row r="3995" spans="1:19" ht="51" outlineLevel="1">
      <c r="A3995" s="5">
        <v>3980</v>
      </c>
      <c r="B3995" s="15" t="s">
        <v>710</v>
      </c>
      <c r="C3995" s="5" t="s">
        <v>597</v>
      </c>
      <c r="D3995" s="5" t="s">
        <v>548</v>
      </c>
      <c r="E3995" s="57" t="s">
        <v>549</v>
      </c>
      <c r="F3995" s="57" t="s">
        <v>550</v>
      </c>
      <c r="G3995" s="57" t="s">
        <v>549</v>
      </c>
      <c r="H3995" s="57" t="s">
        <v>550</v>
      </c>
      <c r="I3995" s="57" t="s">
        <v>1410</v>
      </c>
      <c r="J3995" s="57" t="s">
        <v>69</v>
      </c>
      <c r="K3995" s="57" t="s">
        <v>591</v>
      </c>
      <c r="L3995" s="11" t="s">
        <v>914</v>
      </c>
      <c r="M3995" s="22">
        <v>1</v>
      </c>
      <c r="N3995" s="46">
        <f t="shared" si="105"/>
        <v>3571</v>
      </c>
      <c r="O3995" s="49">
        <v>3571</v>
      </c>
      <c r="P3995" s="5" t="s">
        <v>699</v>
      </c>
      <c r="Q3995" s="5" t="s">
        <v>766</v>
      </c>
      <c r="R3995" s="11" t="s">
        <v>3452</v>
      </c>
      <c r="S3995" s="5">
        <v>0</v>
      </c>
    </row>
    <row r="3996" spans="1:19" ht="76.5" outlineLevel="1">
      <c r="A3996" s="4">
        <v>3981</v>
      </c>
      <c r="B3996" s="15" t="s">
        <v>710</v>
      </c>
      <c r="C3996" s="5" t="s">
        <v>597</v>
      </c>
      <c r="D3996" s="5" t="s">
        <v>868</v>
      </c>
      <c r="E3996" s="57" t="s">
        <v>1874</v>
      </c>
      <c r="F3996" s="57" t="s">
        <v>869</v>
      </c>
      <c r="G3996" s="57" t="s">
        <v>1875</v>
      </c>
      <c r="H3996" s="57" t="s">
        <v>870</v>
      </c>
      <c r="I3996" s="57" t="s">
        <v>3441</v>
      </c>
      <c r="J3996" s="57" t="s">
        <v>72</v>
      </c>
      <c r="K3996" s="57" t="s">
        <v>591</v>
      </c>
      <c r="L3996" s="11" t="s">
        <v>914</v>
      </c>
      <c r="M3996" s="22">
        <v>1</v>
      </c>
      <c r="N3996" s="46">
        <f t="shared" si="105"/>
        <v>446</v>
      </c>
      <c r="O3996" s="49">
        <v>446</v>
      </c>
      <c r="P3996" s="5" t="s">
        <v>699</v>
      </c>
      <c r="Q3996" s="5" t="s">
        <v>766</v>
      </c>
      <c r="R3996" s="11" t="s">
        <v>3452</v>
      </c>
      <c r="S3996" s="5">
        <v>0</v>
      </c>
    </row>
    <row r="3997" spans="1:19" ht="63.75" outlineLevel="1">
      <c r="A3997" s="5">
        <v>3982</v>
      </c>
      <c r="B3997" s="15" t="s">
        <v>710</v>
      </c>
      <c r="C3997" s="5" t="s">
        <v>597</v>
      </c>
      <c r="D3997" s="5" t="s">
        <v>551</v>
      </c>
      <c r="E3997" s="57" t="s">
        <v>552</v>
      </c>
      <c r="F3997" s="57" t="s">
        <v>553</v>
      </c>
      <c r="G3997" s="57" t="s">
        <v>554</v>
      </c>
      <c r="H3997" s="57" t="s">
        <v>555</v>
      </c>
      <c r="I3997" s="57" t="s">
        <v>1412</v>
      </c>
      <c r="J3997" s="57" t="s">
        <v>71</v>
      </c>
      <c r="K3997" s="57" t="s">
        <v>591</v>
      </c>
      <c r="L3997" s="11" t="s">
        <v>914</v>
      </c>
      <c r="M3997" s="22">
        <v>1</v>
      </c>
      <c r="N3997" s="46">
        <f t="shared" si="105"/>
        <v>2232</v>
      </c>
      <c r="O3997" s="49">
        <v>2232</v>
      </c>
      <c r="P3997" s="5" t="s">
        <v>699</v>
      </c>
      <c r="Q3997" s="5" t="s">
        <v>766</v>
      </c>
      <c r="R3997" s="11" t="s">
        <v>3452</v>
      </c>
      <c r="S3997" s="5">
        <v>0</v>
      </c>
    </row>
    <row r="3998" spans="1:19" ht="63.75" outlineLevel="1">
      <c r="A3998" s="4">
        <v>3983</v>
      </c>
      <c r="B3998" s="15" t="s">
        <v>710</v>
      </c>
      <c r="C3998" s="5" t="s">
        <v>597</v>
      </c>
      <c r="D3998" s="5" t="s">
        <v>551</v>
      </c>
      <c r="E3998" s="57" t="s">
        <v>552</v>
      </c>
      <c r="F3998" s="57" t="s">
        <v>553</v>
      </c>
      <c r="G3998" s="57" t="s">
        <v>554</v>
      </c>
      <c r="H3998" s="57" t="s">
        <v>555</v>
      </c>
      <c r="I3998" s="57" t="s">
        <v>1412</v>
      </c>
      <c r="J3998" s="57" t="s">
        <v>71</v>
      </c>
      <c r="K3998" s="57" t="s">
        <v>591</v>
      </c>
      <c r="L3998" s="11" t="s">
        <v>914</v>
      </c>
      <c r="M3998" s="22">
        <v>1</v>
      </c>
      <c r="N3998" s="46">
        <f t="shared" si="105"/>
        <v>625</v>
      </c>
      <c r="O3998" s="49">
        <v>625</v>
      </c>
      <c r="P3998" s="5" t="s">
        <v>699</v>
      </c>
      <c r="Q3998" s="5" t="s">
        <v>766</v>
      </c>
      <c r="R3998" s="11" t="s">
        <v>3451</v>
      </c>
      <c r="S3998" s="5">
        <v>0</v>
      </c>
    </row>
    <row r="3999" spans="1:19" ht="51" outlineLevel="1">
      <c r="A3999" s="5">
        <v>3984</v>
      </c>
      <c r="B3999" s="15" t="s">
        <v>710</v>
      </c>
      <c r="C3999" s="5" t="s">
        <v>597</v>
      </c>
      <c r="D3999" s="5" t="s">
        <v>548</v>
      </c>
      <c r="E3999" s="57" t="s">
        <v>549</v>
      </c>
      <c r="F3999" s="57" t="s">
        <v>550</v>
      </c>
      <c r="G3999" s="57" t="s">
        <v>549</v>
      </c>
      <c r="H3999" s="57" t="s">
        <v>550</v>
      </c>
      <c r="I3999" s="57" t="s">
        <v>1410</v>
      </c>
      <c r="J3999" s="57" t="s">
        <v>69</v>
      </c>
      <c r="K3999" s="57" t="s">
        <v>591</v>
      </c>
      <c r="L3999" s="11" t="s">
        <v>914</v>
      </c>
      <c r="M3999" s="22">
        <v>1</v>
      </c>
      <c r="N3999" s="46">
        <f t="shared" si="105"/>
        <v>893</v>
      </c>
      <c r="O3999" s="49">
        <v>893</v>
      </c>
      <c r="P3999" s="5" t="s">
        <v>699</v>
      </c>
      <c r="Q3999" s="5" t="s">
        <v>766</v>
      </c>
      <c r="R3999" s="11" t="s">
        <v>3450</v>
      </c>
      <c r="S3999" s="5">
        <v>0</v>
      </c>
    </row>
    <row r="4000" spans="1:19" ht="63.75" outlineLevel="1">
      <c r="A4000" s="4">
        <v>3985</v>
      </c>
      <c r="B4000" s="15" t="s">
        <v>710</v>
      </c>
      <c r="C4000" s="5" t="s">
        <v>597</v>
      </c>
      <c r="D4000" s="5" t="s">
        <v>551</v>
      </c>
      <c r="E4000" s="57" t="s">
        <v>552</v>
      </c>
      <c r="F4000" s="57" t="s">
        <v>553</v>
      </c>
      <c r="G4000" s="57" t="s">
        <v>554</v>
      </c>
      <c r="H4000" s="57" t="s">
        <v>555</v>
      </c>
      <c r="I4000" s="57" t="s">
        <v>1412</v>
      </c>
      <c r="J4000" s="57" t="s">
        <v>71</v>
      </c>
      <c r="K4000" s="57" t="s">
        <v>591</v>
      </c>
      <c r="L4000" s="11" t="s">
        <v>914</v>
      </c>
      <c r="M4000" s="22">
        <v>1</v>
      </c>
      <c r="N4000" s="46">
        <f t="shared" si="105"/>
        <v>893</v>
      </c>
      <c r="O4000" s="49">
        <v>893</v>
      </c>
      <c r="P4000" s="5" t="s">
        <v>699</v>
      </c>
      <c r="Q4000" s="5" t="s">
        <v>766</v>
      </c>
      <c r="R4000" s="11" t="s">
        <v>3450</v>
      </c>
      <c r="S4000" s="5">
        <v>0</v>
      </c>
    </row>
    <row r="4001" spans="1:19" ht="51" outlineLevel="1">
      <c r="A4001" s="5">
        <v>3986</v>
      </c>
      <c r="B4001" s="15" t="s">
        <v>710</v>
      </c>
      <c r="C4001" s="5" t="s">
        <v>597</v>
      </c>
      <c r="D4001" s="5" t="s">
        <v>548</v>
      </c>
      <c r="E4001" s="57" t="s">
        <v>549</v>
      </c>
      <c r="F4001" s="57" t="s">
        <v>550</v>
      </c>
      <c r="G4001" s="57" t="s">
        <v>549</v>
      </c>
      <c r="H4001" s="57" t="s">
        <v>550</v>
      </c>
      <c r="I4001" s="57" t="s">
        <v>1410</v>
      </c>
      <c r="J4001" s="57" t="s">
        <v>69</v>
      </c>
      <c r="K4001" s="57" t="s">
        <v>591</v>
      </c>
      <c r="L4001" s="11" t="s">
        <v>914</v>
      </c>
      <c r="M4001" s="22">
        <v>1</v>
      </c>
      <c r="N4001" s="46">
        <f t="shared" si="105"/>
        <v>982</v>
      </c>
      <c r="O4001" s="49">
        <v>982</v>
      </c>
      <c r="P4001" s="5" t="s">
        <v>699</v>
      </c>
      <c r="Q4001" s="5" t="s">
        <v>766</v>
      </c>
      <c r="R4001" s="11" t="s">
        <v>3449</v>
      </c>
      <c r="S4001" s="5">
        <v>0</v>
      </c>
    </row>
    <row r="4002" spans="1:19" ht="63.75" outlineLevel="1">
      <c r="A4002" s="4">
        <v>3987</v>
      </c>
      <c r="B4002" s="15" t="s">
        <v>710</v>
      </c>
      <c r="C4002" s="5" t="s">
        <v>597</v>
      </c>
      <c r="D4002" s="5" t="s">
        <v>551</v>
      </c>
      <c r="E4002" s="57" t="s">
        <v>552</v>
      </c>
      <c r="F4002" s="57" t="s">
        <v>553</v>
      </c>
      <c r="G4002" s="57" t="s">
        <v>554</v>
      </c>
      <c r="H4002" s="57" t="s">
        <v>555</v>
      </c>
      <c r="I4002" s="57" t="s">
        <v>1412</v>
      </c>
      <c r="J4002" s="57" t="s">
        <v>71</v>
      </c>
      <c r="K4002" s="57" t="s">
        <v>591</v>
      </c>
      <c r="L4002" s="11" t="s">
        <v>914</v>
      </c>
      <c r="M4002" s="22">
        <v>1</v>
      </c>
      <c r="N4002" s="46">
        <f t="shared" si="105"/>
        <v>3304</v>
      </c>
      <c r="O4002" s="49">
        <v>3304</v>
      </c>
      <c r="P4002" s="5" t="s">
        <v>699</v>
      </c>
      <c r="Q4002" s="5" t="s">
        <v>766</v>
      </c>
      <c r="R4002" s="11" t="s">
        <v>3449</v>
      </c>
      <c r="S4002" s="5">
        <v>0</v>
      </c>
    </row>
    <row r="4003" spans="1:19" ht="51" outlineLevel="1">
      <c r="A4003" s="5">
        <v>3988</v>
      </c>
      <c r="B4003" s="15" t="s">
        <v>710</v>
      </c>
      <c r="C4003" s="5" t="s">
        <v>597</v>
      </c>
      <c r="D4003" s="5" t="s">
        <v>548</v>
      </c>
      <c r="E4003" s="57" t="s">
        <v>549</v>
      </c>
      <c r="F4003" s="57" t="s">
        <v>550</v>
      </c>
      <c r="G4003" s="57" t="s">
        <v>549</v>
      </c>
      <c r="H4003" s="57" t="s">
        <v>550</v>
      </c>
      <c r="I4003" s="57" t="s">
        <v>1410</v>
      </c>
      <c r="J4003" s="57" t="s">
        <v>69</v>
      </c>
      <c r="K4003" s="57" t="s">
        <v>591</v>
      </c>
      <c r="L4003" s="11" t="s">
        <v>914</v>
      </c>
      <c r="M4003" s="22">
        <v>1</v>
      </c>
      <c r="N4003" s="46">
        <f t="shared" si="105"/>
        <v>17850</v>
      </c>
      <c r="O4003" s="49">
        <v>17850</v>
      </c>
      <c r="P4003" s="5" t="s">
        <v>699</v>
      </c>
      <c r="Q4003" s="5" t="s">
        <v>766</v>
      </c>
      <c r="R4003" s="11" t="s">
        <v>3448</v>
      </c>
      <c r="S4003" s="5">
        <v>0</v>
      </c>
    </row>
    <row r="4004" spans="1:19" ht="76.5" outlineLevel="1">
      <c r="A4004" s="4">
        <v>3989</v>
      </c>
      <c r="B4004" s="15" t="s">
        <v>710</v>
      </c>
      <c r="C4004" s="5" t="s">
        <v>597</v>
      </c>
      <c r="D4004" s="5" t="s">
        <v>556</v>
      </c>
      <c r="E4004" s="57" t="s">
        <v>557</v>
      </c>
      <c r="F4004" s="57" t="s">
        <v>558</v>
      </c>
      <c r="G4004" s="57" t="s">
        <v>559</v>
      </c>
      <c r="H4004" s="57" t="s">
        <v>560</v>
      </c>
      <c r="I4004" s="57" t="s">
        <v>1411</v>
      </c>
      <c r="J4004" s="57" t="s">
        <v>70</v>
      </c>
      <c r="K4004" s="57" t="s">
        <v>591</v>
      </c>
      <c r="L4004" s="11" t="s">
        <v>914</v>
      </c>
      <c r="M4004" s="22">
        <v>1</v>
      </c>
      <c r="N4004" s="46">
        <f t="shared" si="105"/>
        <v>8400</v>
      </c>
      <c r="O4004" s="49">
        <v>8400</v>
      </c>
      <c r="P4004" s="5" t="s">
        <v>699</v>
      </c>
      <c r="Q4004" s="5" t="s">
        <v>766</v>
      </c>
      <c r="R4004" s="11" t="s">
        <v>3448</v>
      </c>
      <c r="S4004" s="5">
        <v>0</v>
      </c>
    </row>
    <row r="4005" spans="1:19" ht="63.75" outlineLevel="1">
      <c r="A4005" s="5">
        <v>3990</v>
      </c>
      <c r="B4005" s="15" t="s">
        <v>710</v>
      </c>
      <c r="C4005" s="5" t="s">
        <v>597</v>
      </c>
      <c r="D4005" s="5" t="s">
        <v>551</v>
      </c>
      <c r="E4005" s="57" t="s">
        <v>552</v>
      </c>
      <c r="F4005" s="57" t="s">
        <v>553</v>
      </c>
      <c r="G4005" s="57" t="s">
        <v>554</v>
      </c>
      <c r="H4005" s="57" t="s">
        <v>555</v>
      </c>
      <c r="I4005" s="57" t="s">
        <v>1412</v>
      </c>
      <c r="J4005" s="57" t="s">
        <v>71</v>
      </c>
      <c r="K4005" s="57" t="s">
        <v>591</v>
      </c>
      <c r="L4005" s="11" t="s">
        <v>914</v>
      </c>
      <c r="M4005" s="22">
        <v>1</v>
      </c>
      <c r="N4005" s="46">
        <f t="shared" si="105"/>
        <v>17850</v>
      </c>
      <c r="O4005" s="49">
        <v>17850</v>
      </c>
      <c r="P4005" s="5" t="s">
        <v>699</v>
      </c>
      <c r="Q4005" s="5" t="s">
        <v>766</v>
      </c>
      <c r="R4005" s="11" t="s">
        <v>3448</v>
      </c>
      <c r="S4005" s="5">
        <v>0</v>
      </c>
    </row>
    <row r="4006" spans="1:19" ht="76.5" outlineLevel="1">
      <c r="A4006" s="4">
        <v>3991</v>
      </c>
      <c r="B4006" s="15" t="s">
        <v>710</v>
      </c>
      <c r="C4006" s="5" t="s">
        <v>597</v>
      </c>
      <c r="D4006" s="5" t="s">
        <v>868</v>
      </c>
      <c r="E4006" s="57" t="s">
        <v>1874</v>
      </c>
      <c r="F4006" s="57" t="s">
        <v>869</v>
      </c>
      <c r="G4006" s="57" t="s">
        <v>1875</v>
      </c>
      <c r="H4006" s="57" t="s">
        <v>870</v>
      </c>
      <c r="I4006" s="57" t="s">
        <v>1411</v>
      </c>
      <c r="J4006" s="57" t="s">
        <v>72</v>
      </c>
      <c r="K4006" s="57" t="s">
        <v>591</v>
      </c>
      <c r="L4006" s="11" t="s">
        <v>914</v>
      </c>
      <c r="M4006" s="22">
        <v>1</v>
      </c>
      <c r="N4006" s="46">
        <f t="shared" ref="N4006:N4034" si="106">O4006/M4006</f>
        <v>8400</v>
      </c>
      <c r="O4006" s="49">
        <v>8400</v>
      </c>
      <c r="P4006" s="5" t="s">
        <v>699</v>
      </c>
      <c r="Q4006" s="5" t="s">
        <v>766</v>
      </c>
      <c r="R4006" s="11" t="s">
        <v>3448</v>
      </c>
      <c r="S4006" s="22">
        <v>0</v>
      </c>
    </row>
    <row r="4007" spans="1:19" ht="63.75">
      <c r="A4007" s="5">
        <v>3992</v>
      </c>
      <c r="B4007" s="56" t="s">
        <v>710</v>
      </c>
      <c r="C4007" s="4" t="s">
        <v>597</v>
      </c>
      <c r="D4007" s="31" t="s">
        <v>613</v>
      </c>
      <c r="E4007" s="76" t="s">
        <v>2019</v>
      </c>
      <c r="F4007" s="76" t="s">
        <v>614</v>
      </c>
      <c r="G4007" s="76" t="s">
        <v>2020</v>
      </c>
      <c r="H4007" s="76" t="s">
        <v>615</v>
      </c>
      <c r="I4007" s="76" t="s">
        <v>3444</v>
      </c>
      <c r="J4007" s="76" t="s">
        <v>3443</v>
      </c>
      <c r="K4007" s="57" t="s">
        <v>591</v>
      </c>
      <c r="L4007" s="5" t="s">
        <v>914</v>
      </c>
      <c r="M4007" s="22">
        <v>1</v>
      </c>
      <c r="N4007" s="46">
        <f t="shared" si="106"/>
        <v>1392500</v>
      </c>
      <c r="O4007" s="49">
        <f>1900000-186357-193643-127500</f>
        <v>1392500</v>
      </c>
      <c r="P4007" s="5" t="s">
        <v>506</v>
      </c>
      <c r="Q4007" s="5" t="s">
        <v>766</v>
      </c>
      <c r="R4007" s="11" t="s">
        <v>2022</v>
      </c>
      <c r="S4007" s="5">
        <v>0</v>
      </c>
    </row>
    <row r="4008" spans="1:19" ht="84" customHeight="1">
      <c r="A4008" s="4">
        <v>3993</v>
      </c>
      <c r="B4008" s="15" t="s">
        <v>710</v>
      </c>
      <c r="C4008" s="5" t="s">
        <v>711</v>
      </c>
      <c r="D4008" s="10" t="s">
        <v>748</v>
      </c>
      <c r="E4008" s="31" t="s">
        <v>979</v>
      </c>
      <c r="F4008" s="31" t="s">
        <v>979</v>
      </c>
      <c r="G4008" s="31" t="s">
        <v>750</v>
      </c>
      <c r="H4008" s="31" t="s">
        <v>751</v>
      </c>
      <c r="I4008" s="31" t="s">
        <v>979</v>
      </c>
      <c r="J4008" s="31" t="s">
        <v>979</v>
      </c>
      <c r="K4008" s="57" t="s">
        <v>591</v>
      </c>
      <c r="L4008" s="31" t="s">
        <v>644</v>
      </c>
      <c r="M4008" s="5">
        <v>2</v>
      </c>
      <c r="N4008" s="46">
        <f t="shared" si="106"/>
        <v>10000</v>
      </c>
      <c r="O4008" s="83">
        <v>20000</v>
      </c>
      <c r="P4008" s="5" t="s">
        <v>699</v>
      </c>
      <c r="Q4008" s="15" t="s">
        <v>3381</v>
      </c>
      <c r="R4008" s="11" t="s">
        <v>789</v>
      </c>
      <c r="S4008" s="5">
        <v>50</v>
      </c>
    </row>
    <row r="4009" spans="1:19" ht="63.75">
      <c r="A4009" s="5">
        <v>3994</v>
      </c>
      <c r="B4009" s="15" t="s">
        <v>710</v>
      </c>
      <c r="C4009" s="5" t="s">
        <v>711</v>
      </c>
      <c r="D4009" s="15" t="s">
        <v>3383</v>
      </c>
      <c r="E4009" s="31" t="s">
        <v>1529</v>
      </c>
      <c r="F4009" s="31" t="s">
        <v>1529</v>
      </c>
      <c r="G4009" s="31" t="s">
        <v>3384</v>
      </c>
      <c r="H4009" s="31" t="s">
        <v>3385</v>
      </c>
      <c r="I4009" s="31" t="s">
        <v>1529</v>
      </c>
      <c r="J4009" s="31" t="s">
        <v>1529</v>
      </c>
      <c r="K4009" s="57" t="s">
        <v>591</v>
      </c>
      <c r="L4009" s="31" t="s">
        <v>644</v>
      </c>
      <c r="M4009" s="5">
        <v>2</v>
      </c>
      <c r="N4009" s="46">
        <f t="shared" si="106"/>
        <v>18000</v>
      </c>
      <c r="O4009" s="83">
        <v>36000</v>
      </c>
      <c r="P4009" s="5" t="s">
        <v>699</v>
      </c>
      <c r="Q4009" s="15" t="s">
        <v>3381</v>
      </c>
      <c r="R4009" s="11" t="s">
        <v>789</v>
      </c>
      <c r="S4009" s="5">
        <v>50</v>
      </c>
    </row>
    <row r="4010" spans="1:19" ht="54.75" customHeight="1" outlineLevel="1">
      <c r="A4010" s="4">
        <v>3995</v>
      </c>
      <c r="B4010" s="29" t="s">
        <v>710</v>
      </c>
      <c r="C4010" s="30" t="s">
        <v>711</v>
      </c>
      <c r="D4010" s="11" t="s">
        <v>729</v>
      </c>
      <c r="E4010" s="57" t="s">
        <v>730</v>
      </c>
      <c r="F4010" s="57" t="s">
        <v>731</v>
      </c>
      <c r="G4010" s="57" t="s">
        <v>732</v>
      </c>
      <c r="H4010" s="57" t="s">
        <v>733</v>
      </c>
      <c r="I4010" s="57" t="s">
        <v>730</v>
      </c>
      <c r="J4010" s="57" t="s">
        <v>731</v>
      </c>
      <c r="K4010" s="57" t="s">
        <v>591</v>
      </c>
      <c r="L4010" s="31" t="s">
        <v>644</v>
      </c>
      <c r="M4010" s="22">
        <v>4</v>
      </c>
      <c r="N4010" s="46">
        <f t="shared" si="106"/>
        <v>25000</v>
      </c>
      <c r="O4010" s="49">
        <v>100000</v>
      </c>
      <c r="P4010" s="5" t="s">
        <v>699</v>
      </c>
      <c r="Q4010" s="15" t="s">
        <v>3381</v>
      </c>
      <c r="R4010" s="11" t="s">
        <v>633</v>
      </c>
      <c r="S4010" s="5">
        <v>50</v>
      </c>
    </row>
    <row r="4011" spans="1:19" ht="84" customHeight="1">
      <c r="A4011" s="5">
        <v>3996</v>
      </c>
      <c r="B4011" s="15" t="s">
        <v>710</v>
      </c>
      <c r="C4011" s="5" t="s">
        <v>711</v>
      </c>
      <c r="D4011" s="10" t="s">
        <v>748</v>
      </c>
      <c r="E4011" s="31" t="s">
        <v>979</v>
      </c>
      <c r="F4011" s="31" t="s">
        <v>979</v>
      </c>
      <c r="G4011" s="31" t="s">
        <v>750</v>
      </c>
      <c r="H4011" s="31" t="s">
        <v>751</v>
      </c>
      <c r="I4011" s="31" t="s">
        <v>979</v>
      </c>
      <c r="J4011" s="31" t="s">
        <v>979</v>
      </c>
      <c r="K4011" s="57" t="s">
        <v>591</v>
      </c>
      <c r="L4011" s="31" t="s">
        <v>644</v>
      </c>
      <c r="M4011" s="5">
        <v>4</v>
      </c>
      <c r="N4011" s="46">
        <f t="shared" si="106"/>
        <v>10000</v>
      </c>
      <c r="O4011" s="83">
        <v>40000</v>
      </c>
      <c r="P4011" s="5" t="s">
        <v>699</v>
      </c>
      <c r="Q4011" s="15" t="s">
        <v>3381</v>
      </c>
      <c r="R4011" s="11" t="s">
        <v>633</v>
      </c>
      <c r="S4011" s="5">
        <v>50</v>
      </c>
    </row>
    <row r="4012" spans="1:19" ht="63.75">
      <c r="A4012" s="4">
        <v>3997</v>
      </c>
      <c r="B4012" s="15" t="s">
        <v>710</v>
      </c>
      <c r="C4012" s="5" t="s">
        <v>711</v>
      </c>
      <c r="D4012" s="15" t="s">
        <v>3383</v>
      </c>
      <c r="E4012" s="31" t="s">
        <v>1529</v>
      </c>
      <c r="F4012" s="31" t="s">
        <v>1529</v>
      </c>
      <c r="G4012" s="31" t="s">
        <v>3384</v>
      </c>
      <c r="H4012" s="31" t="s">
        <v>3385</v>
      </c>
      <c r="I4012" s="31" t="s">
        <v>1529</v>
      </c>
      <c r="J4012" s="31" t="s">
        <v>1529</v>
      </c>
      <c r="K4012" s="57" t="s">
        <v>591</v>
      </c>
      <c r="L4012" s="31" t="s">
        <v>644</v>
      </c>
      <c r="M4012" s="5">
        <v>4</v>
      </c>
      <c r="N4012" s="46">
        <f t="shared" si="106"/>
        <v>8000</v>
      </c>
      <c r="O4012" s="83">
        <v>32000</v>
      </c>
      <c r="P4012" s="5" t="s">
        <v>699</v>
      </c>
      <c r="Q4012" s="15" t="s">
        <v>3381</v>
      </c>
      <c r="R4012" s="11" t="s">
        <v>633</v>
      </c>
      <c r="S4012" s="5">
        <v>50</v>
      </c>
    </row>
    <row r="4013" spans="1:19" s="13" customFormat="1" ht="76.5">
      <c r="A4013" s="5">
        <v>3998</v>
      </c>
      <c r="B4013" s="15" t="s">
        <v>710</v>
      </c>
      <c r="C4013" s="30" t="s">
        <v>711</v>
      </c>
      <c r="D4013" s="15" t="s">
        <v>723</v>
      </c>
      <c r="E4013" s="57" t="s">
        <v>874</v>
      </c>
      <c r="F4013" s="57" t="s">
        <v>874</v>
      </c>
      <c r="G4013" s="57" t="s">
        <v>875</v>
      </c>
      <c r="H4013" s="57" t="s">
        <v>876</v>
      </c>
      <c r="I4013" s="57" t="s">
        <v>2085</v>
      </c>
      <c r="J4013" s="57" t="s">
        <v>339</v>
      </c>
      <c r="K4013" s="57" t="s">
        <v>591</v>
      </c>
      <c r="L4013" s="31" t="s">
        <v>644</v>
      </c>
      <c r="M4013" s="22">
        <v>4</v>
      </c>
      <c r="N4013" s="46">
        <f t="shared" si="106"/>
        <v>27000</v>
      </c>
      <c r="O4013" s="49">
        <v>108000</v>
      </c>
      <c r="P4013" s="5" t="s">
        <v>699</v>
      </c>
      <c r="Q4013" s="15" t="s">
        <v>3381</v>
      </c>
      <c r="R4013" s="11" t="s">
        <v>633</v>
      </c>
      <c r="S4013" s="22">
        <v>50</v>
      </c>
    </row>
    <row r="4014" spans="1:19" s="13" customFormat="1" ht="102">
      <c r="A4014" s="4">
        <v>3999</v>
      </c>
      <c r="B4014" s="15" t="s">
        <v>710</v>
      </c>
      <c r="C4014" s="30" t="s">
        <v>711</v>
      </c>
      <c r="D4014" s="15" t="s">
        <v>716</v>
      </c>
      <c r="E4014" s="57" t="s">
        <v>874</v>
      </c>
      <c r="F4014" s="57" t="s">
        <v>874</v>
      </c>
      <c r="G4014" s="57" t="s">
        <v>877</v>
      </c>
      <c r="H4014" s="57" t="s">
        <v>718</v>
      </c>
      <c r="I4014" s="57" t="s">
        <v>2086</v>
      </c>
      <c r="J4014" s="57" t="s">
        <v>340</v>
      </c>
      <c r="K4014" s="57" t="s">
        <v>591</v>
      </c>
      <c r="L4014" s="31" t="s">
        <v>644</v>
      </c>
      <c r="M4014" s="22">
        <v>4</v>
      </c>
      <c r="N4014" s="46">
        <f t="shared" si="106"/>
        <v>36000</v>
      </c>
      <c r="O4014" s="49">
        <v>144000</v>
      </c>
      <c r="P4014" s="5" t="s">
        <v>699</v>
      </c>
      <c r="Q4014" s="15" t="s">
        <v>3381</v>
      </c>
      <c r="R4014" s="11" t="s">
        <v>633</v>
      </c>
      <c r="S4014" s="22">
        <v>50</v>
      </c>
    </row>
    <row r="4015" spans="1:19" ht="54.75" customHeight="1" outlineLevel="1">
      <c r="A4015" s="5">
        <v>4000</v>
      </c>
      <c r="B4015" s="29" t="s">
        <v>710</v>
      </c>
      <c r="C4015" s="30" t="s">
        <v>711</v>
      </c>
      <c r="D4015" s="11" t="s">
        <v>729</v>
      </c>
      <c r="E4015" s="57" t="s">
        <v>730</v>
      </c>
      <c r="F4015" s="57" t="s">
        <v>731</v>
      </c>
      <c r="G4015" s="57" t="s">
        <v>732</v>
      </c>
      <c r="H4015" s="57" t="s">
        <v>733</v>
      </c>
      <c r="I4015" s="57" t="s">
        <v>730</v>
      </c>
      <c r="J4015" s="57" t="s">
        <v>731</v>
      </c>
      <c r="K4015" s="57" t="s">
        <v>591</v>
      </c>
      <c r="L4015" s="31" t="s">
        <v>644</v>
      </c>
      <c r="M4015" s="22">
        <v>3</v>
      </c>
      <c r="N4015" s="46">
        <f t="shared" si="106"/>
        <v>21000</v>
      </c>
      <c r="O4015" s="49">
        <v>63000</v>
      </c>
      <c r="P4015" s="5" t="s">
        <v>699</v>
      </c>
      <c r="Q4015" s="15" t="s">
        <v>3381</v>
      </c>
      <c r="R4015" s="11" t="s">
        <v>2023</v>
      </c>
      <c r="S4015" s="5">
        <v>50</v>
      </c>
    </row>
    <row r="4016" spans="1:19" ht="84" customHeight="1">
      <c r="A4016" s="4">
        <v>4001</v>
      </c>
      <c r="B4016" s="15" t="s">
        <v>710</v>
      </c>
      <c r="C4016" s="5" t="s">
        <v>711</v>
      </c>
      <c r="D4016" s="10" t="s">
        <v>748</v>
      </c>
      <c r="E4016" s="31" t="s">
        <v>979</v>
      </c>
      <c r="F4016" s="31" t="s">
        <v>979</v>
      </c>
      <c r="G4016" s="31" t="s">
        <v>750</v>
      </c>
      <c r="H4016" s="31" t="s">
        <v>751</v>
      </c>
      <c r="I4016" s="31" t="s">
        <v>979</v>
      </c>
      <c r="J4016" s="31" t="s">
        <v>979</v>
      </c>
      <c r="K4016" s="57" t="s">
        <v>591</v>
      </c>
      <c r="L4016" s="31" t="s">
        <v>644</v>
      </c>
      <c r="M4016" s="5">
        <v>3</v>
      </c>
      <c r="N4016" s="46">
        <f t="shared" si="106"/>
        <v>10000</v>
      </c>
      <c r="O4016" s="83">
        <v>30000</v>
      </c>
      <c r="P4016" s="5" t="s">
        <v>699</v>
      </c>
      <c r="Q4016" s="15" t="s">
        <v>3381</v>
      </c>
      <c r="R4016" s="11" t="s">
        <v>2023</v>
      </c>
      <c r="S4016" s="5">
        <v>50</v>
      </c>
    </row>
    <row r="4017" spans="1:19" ht="63.75">
      <c r="A4017" s="5">
        <v>4002</v>
      </c>
      <c r="B4017" s="15" t="s">
        <v>710</v>
      </c>
      <c r="C4017" s="5" t="s">
        <v>711</v>
      </c>
      <c r="D4017" s="15" t="s">
        <v>3383</v>
      </c>
      <c r="E4017" s="31" t="s">
        <v>1529</v>
      </c>
      <c r="F4017" s="31" t="s">
        <v>1529</v>
      </c>
      <c r="G4017" s="31" t="s">
        <v>3384</v>
      </c>
      <c r="H4017" s="31" t="s">
        <v>3385</v>
      </c>
      <c r="I4017" s="31" t="s">
        <v>1529</v>
      </c>
      <c r="J4017" s="31" t="s">
        <v>1529</v>
      </c>
      <c r="K4017" s="57" t="s">
        <v>591</v>
      </c>
      <c r="L4017" s="31" t="s">
        <v>644</v>
      </c>
      <c r="M4017" s="5">
        <v>3</v>
      </c>
      <c r="N4017" s="46">
        <f t="shared" si="106"/>
        <v>18143</v>
      </c>
      <c r="O4017" s="83">
        <v>54429</v>
      </c>
      <c r="P4017" s="5" t="s">
        <v>699</v>
      </c>
      <c r="Q4017" s="15" t="s">
        <v>3381</v>
      </c>
      <c r="R4017" s="11" t="s">
        <v>2023</v>
      </c>
      <c r="S4017" s="5">
        <v>50</v>
      </c>
    </row>
    <row r="4018" spans="1:19" s="13" customFormat="1" ht="76.5">
      <c r="A4018" s="4">
        <v>4003</v>
      </c>
      <c r="B4018" s="15" t="s">
        <v>710</v>
      </c>
      <c r="C4018" s="30" t="s">
        <v>711</v>
      </c>
      <c r="D4018" s="15" t="s">
        <v>723</v>
      </c>
      <c r="E4018" s="57" t="s">
        <v>874</v>
      </c>
      <c r="F4018" s="57" t="s">
        <v>874</v>
      </c>
      <c r="G4018" s="57" t="s">
        <v>875</v>
      </c>
      <c r="H4018" s="57" t="s">
        <v>876</v>
      </c>
      <c r="I4018" s="57" t="s">
        <v>2085</v>
      </c>
      <c r="J4018" s="57" t="s">
        <v>339</v>
      </c>
      <c r="K4018" s="57" t="s">
        <v>591</v>
      </c>
      <c r="L4018" s="31" t="s">
        <v>644</v>
      </c>
      <c r="M4018" s="22">
        <v>2</v>
      </c>
      <c r="N4018" s="46">
        <f t="shared" si="106"/>
        <v>34857</v>
      </c>
      <c r="O4018" s="49">
        <v>69714</v>
      </c>
      <c r="P4018" s="5" t="s">
        <v>699</v>
      </c>
      <c r="Q4018" s="15" t="s">
        <v>3381</v>
      </c>
      <c r="R4018" s="11" t="s">
        <v>2023</v>
      </c>
      <c r="S4018" s="22">
        <v>50</v>
      </c>
    </row>
    <row r="4019" spans="1:19" ht="54.75" customHeight="1" outlineLevel="1">
      <c r="A4019" s="5">
        <v>4004</v>
      </c>
      <c r="B4019" s="29" t="s">
        <v>710</v>
      </c>
      <c r="C4019" s="30" t="s">
        <v>711</v>
      </c>
      <c r="D4019" s="11" t="s">
        <v>976</v>
      </c>
      <c r="E4019" s="57" t="s">
        <v>730</v>
      </c>
      <c r="F4019" s="57" t="s">
        <v>731</v>
      </c>
      <c r="G4019" s="57" t="s">
        <v>977</v>
      </c>
      <c r="H4019" s="57" t="s">
        <v>978</v>
      </c>
      <c r="I4019" s="57" t="s">
        <v>730</v>
      </c>
      <c r="J4019" s="57" t="s">
        <v>731</v>
      </c>
      <c r="K4019" s="57" t="s">
        <v>591</v>
      </c>
      <c r="L4019" s="31" t="s">
        <v>644</v>
      </c>
      <c r="M4019" s="22">
        <v>2</v>
      </c>
      <c r="N4019" s="46">
        <f t="shared" si="106"/>
        <v>26800</v>
      </c>
      <c r="O4019" s="49">
        <v>53600</v>
      </c>
      <c r="P4019" s="5" t="s">
        <v>699</v>
      </c>
      <c r="Q4019" s="15" t="s">
        <v>3381</v>
      </c>
      <c r="R4019" s="11" t="s">
        <v>2507</v>
      </c>
      <c r="S4019" s="5">
        <v>50</v>
      </c>
    </row>
    <row r="4020" spans="1:19" ht="54.75" customHeight="1" outlineLevel="1">
      <c r="A4020" s="4">
        <v>4005</v>
      </c>
      <c r="B4020" s="29" t="s">
        <v>710</v>
      </c>
      <c r="C4020" s="30" t="s">
        <v>711</v>
      </c>
      <c r="D4020" s="11" t="s">
        <v>729</v>
      </c>
      <c r="E4020" s="57" t="s">
        <v>730</v>
      </c>
      <c r="F4020" s="57" t="s">
        <v>731</v>
      </c>
      <c r="G4020" s="57" t="s">
        <v>732</v>
      </c>
      <c r="H4020" s="57" t="s">
        <v>733</v>
      </c>
      <c r="I4020" s="57" t="s">
        <v>730</v>
      </c>
      <c r="J4020" s="57" t="s">
        <v>731</v>
      </c>
      <c r="K4020" s="57" t="s">
        <v>591</v>
      </c>
      <c r="L4020" s="31" t="s">
        <v>644</v>
      </c>
      <c r="M4020" s="22">
        <v>1</v>
      </c>
      <c r="N4020" s="46">
        <f t="shared" si="106"/>
        <v>32000</v>
      </c>
      <c r="O4020" s="49">
        <v>32000</v>
      </c>
      <c r="P4020" s="5" t="s">
        <v>699</v>
      </c>
      <c r="Q4020" s="15" t="s">
        <v>3381</v>
      </c>
      <c r="R4020" s="11" t="s">
        <v>2507</v>
      </c>
      <c r="S4020" s="5">
        <v>50</v>
      </c>
    </row>
    <row r="4021" spans="1:19" ht="84" customHeight="1">
      <c r="A4021" s="5">
        <v>4006</v>
      </c>
      <c r="B4021" s="15" t="s">
        <v>710</v>
      </c>
      <c r="C4021" s="5" t="s">
        <v>711</v>
      </c>
      <c r="D4021" s="10" t="s">
        <v>748</v>
      </c>
      <c r="E4021" s="31" t="s">
        <v>979</v>
      </c>
      <c r="F4021" s="31" t="s">
        <v>979</v>
      </c>
      <c r="G4021" s="31" t="s">
        <v>750</v>
      </c>
      <c r="H4021" s="31" t="s">
        <v>751</v>
      </c>
      <c r="I4021" s="31" t="s">
        <v>979</v>
      </c>
      <c r="J4021" s="31" t="s">
        <v>979</v>
      </c>
      <c r="K4021" s="57" t="s">
        <v>591</v>
      </c>
      <c r="L4021" s="31" t="s">
        <v>644</v>
      </c>
      <c r="M4021" s="5">
        <v>6</v>
      </c>
      <c r="N4021" s="46">
        <f t="shared" si="106"/>
        <v>7000</v>
      </c>
      <c r="O4021" s="83">
        <v>42000</v>
      </c>
      <c r="P4021" s="5" t="s">
        <v>699</v>
      </c>
      <c r="Q4021" s="15" t="s">
        <v>3381</v>
      </c>
      <c r="R4021" s="11" t="s">
        <v>2507</v>
      </c>
      <c r="S4021" s="5">
        <v>50</v>
      </c>
    </row>
    <row r="4022" spans="1:19" ht="63.75">
      <c r="A4022" s="4">
        <v>4007</v>
      </c>
      <c r="B4022" s="15" t="s">
        <v>710</v>
      </c>
      <c r="C4022" s="5" t="s">
        <v>711</v>
      </c>
      <c r="D4022" s="15" t="s">
        <v>3383</v>
      </c>
      <c r="E4022" s="31" t="s">
        <v>1529</v>
      </c>
      <c r="F4022" s="31" t="s">
        <v>1529</v>
      </c>
      <c r="G4022" s="31" t="s">
        <v>3384</v>
      </c>
      <c r="H4022" s="31" t="s">
        <v>3385</v>
      </c>
      <c r="I4022" s="31" t="s">
        <v>1529</v>
      </c>
      <c r="J4022" s="31" t="s">
        <v>1529</v>
      </c>
      <c r="K4022" s="57" t="s">
        <v>591</v>
      </c>
      <c r="L4022" s="31" t="s">
        <v>644</v>
      </c>
      <c r="M4022" s="5">
        <v>3</v>
      </c>
      <c r="N4022" s="46">
        <f t="shared" si="106"/>
        <v>12000</v>
      </c>
      <c r="O4022" s="83">
        <v>36000</v>
      </c>
      <c r="P4022" s="5" t="s">
        <v>699</v>
      </c>
      <c r="Q4022" s="15" t="s">
        <v>3381</v>
      </c>
      <c r="R4022" s="11" t="s">
        <v>2507</v>
      </c>
      <c r="S4022" s="5">
        <v>50</v>
      </c>
    </row>
    <row r="4023" spans="1:19" s="13" customFormat="1" ht="76.5">
      <c r="A4023" s="5">
        <v>4008</v>
      </c>
      <c r="B4023" s="15" t="s">
        <v>710</v>
      </c>
      <c r="C4023" s="30" t="s">
        <v>711</v>
      </c>
      <c r="D4023" s="15" t="s">
        <v>723</v>
      </c>
      <c r="E4023" s="57" t="s">
        <v>874</v>
      </c>
      <c r="F4023" s="57" t="s">
        <v>874</v>
      </c>
      <c r="G4023" s="57" t="s">
        <v>875</v>
      </c>
      <c r="H4023" s="57" t="s">
        <v>876</v>
      </c>
      <c r="I4023" s="57" t="s">
        <v>2085</v>
      </c>
      <c r="J4023" s="57" t="s">
        <v>339</v>
      </c>
      <c r="K4023" s="57" t="s">
        <v>591</v>
      </c>
      <c r="L4023" s="31" t="s">
        <v>644</v>
      </c>
      <c r="M4023" s="22">
        <v>2</v>
      </c>
      <c r="N4023" s="46">
        <f t="shared" si="106"/>
        <v>30000</v>
      </c>
      <c r="O4023" s="49">
        <v>60000</v>
      </c>
      <c r="P4023" s="5" t="s">
        <v>699</v>
      </c>
      <c r="Q4023" s="15" t="s">
        <v>3381</v>
      </c>
      <c r="R4023" s="11" t="s">
        <v>2507</v>
      </c>
      <c r="S4023" s="22">
        <v>50</v>
      </c>
    </row>
    <row r="4024" spans="1:19" s="13" customFormat="1" ht="102">
      <c r="A4024" s="4">
        <v>4009</v>
      </c>
      <c r="B4024" s="15" t="s">
        <v>710</v>
      </c>
      <c r="C4024" s="30" t="s">
        <v>711</v>
      </c>
      <c r="D4024" s="15" t="s">
        <v>716</v>
      </c>
      <c r="E4024" s="57" t="s">
        <v>874</v>
      </c>
      <c r="F4024" s="57" t="s">
        <v>874</v>
      </c>
      <c r="G4024" s="57" t="s">
        <v>877</v>
      </c>
      <c r="H4024" s="57" t="s">
        <v>718</v>
      </c>
      <c r="I4024" s="57" t="s">
        <v>2086</v>
      </c>
      <c r="J4024" s="57" t="s">
        <v>340</v>
      </c>
      <c r="K4024" s="57" t="s">
        <v>591</v>
      </c>
      <c r="L4024" s="31" t="s">
        <v>644</v>
      </c>
      <c r="M4024" s="22">
        <v>3</v>
      </c>
      <c r="N4024" s="46">
        <f t="shared" si="106"/>
        <v>30000</v>
      </c>
      <c r="O4024" s="49">
        <v>90000</v>
      </c>
      <c r="P4024" s="5" t="s">
        <v>699</v>
      </c>
      <c r="Q4024" s="15" t="s">
        <v>3381</v>
      </c>
      <c r="R4024" s="11" t="s">
        <v>2507</v>
      </c>
      <c r="S4024" s="22">
        <v>50</v>
      </c>
    </row>
    <row r="4025" spans="1:19" ht="54.75" customHeight="1" outlineLevel="1">
      <c r="A4025" s="5">
        <v>4010</v>
      </c>
      <c r="B4025" s="29" t="s">
        <v>710</v>
      </c>
      <c r="C4025" s="30" t="s">
        <v>711</v>
      </c>
      <c r="D4025" s="11" t="s">
        <v>729</v>
      </c>
      <c r="E4025" s="57" t="s">
        <v>730</v>
      </c>
      <c r="F4025" s="57" t="s">
        <v>731</v>
      </c>
      <c r="G4025" s="57" t="s">
        <v>977</v>
      </c>
      <c r="H4025" s="57" t="s">
        <v>978</v>
      </c>
      <c r="I4025" s="57" t="s">
        <v>730</v>
      </c>
      <c r="J4025" s="57" t="s">
        <v>731</v>
      </c>
      <c r="K4025" s="57" t="s">
        <v>591</v>
      </c>
      <c r="L4025" s="31" t="s">
        <v>644</v>
      </c>
      <c r="M4025" s="22">
        <v>2</v>
      </c>
      <c r="N4025" s="46">
        <f t="shared" si="106"/>
        <v>35000</v>
      </c>
      <c r="O4025" s="49">
        <v>70000</v>
      </c>
      <c r="P4025" s="5" t="s">
        <v>699</v>
      </c>
      <c r="Q4025" s="15" t="s">
        <v>3381</v>
      </c>
      <c r="R4025" s="11" t="s">
        <v>715</v>
      </c>
      <c r="S4025" s="5">
        <v>50</v>
      </c>
    </row>
    <row r="4026" spans="1:19" ht="84" customHeight="1">
      <c r="A4026" s="4">
        <v>4011</v>
      </c>
      <c r="B4026" s="15" t="s">
        <v>710</v>
      </c>
      <c r="C4026" s="5" t="s">
        <v>711</v>
      </c>
      <c r="D4026" s="10" t="s">
        <v>748</v>
      </c>
      <c r="E4026" s="31" t="s">
        <v>979</v>
      </c>
      <c r="F4026" s="31" t="s">
        <v>979</v>
      </c>
      <c r="G4026" s="31" t="s">
        <v>750</v>
      </c>
      <c r="H4026" s="31" t="s">
        <v>751</v>
      </c>
      <c r="I4026" s="31" t="s">
        <v>979</v>
      </c>
      <c r="J4026" s="31" t="s">
        <v>979</v>
      </c>
      <c r="K4026" s="57" t="s">
        <v>591</v>
      </c>
      <c r="L4026" s="31" t="s">
        <v>644</v>
      </c>
      <c r="M4026" s="5">
        <v>1</v>
      </c>
      <c r="N4026" s="46">
        <f t="shared" si="106"/>
        <v>10000</v>
      </c>
      <c r="O4026" s="83">
        <v>10000</v>
      </c>
      <c r="P4026" s="5" t="s">
        <v>699</v>
      </c>
      <c r="Q4026" s="15" t="s">
        <v>3381</v>
      </c>
      <c r="R4026" s="11" t="s">
        <v>715</v>
      </c>
      <c r="S4026" s="5">
        <v>50</v>
      </c>
    </row>
    <row r="4027" spans="1:19" ht="63.75">
      <c r="A4027" s="5">
        <v>4012</v>
      </c>
      <c r="B4027" s="15" t="s">
        <v>710</v>
      </c>
      <c r="C4027" s="5" t="s">
        <v>711</v>
      </c>
      <c r="D4027" s="15" t="s">
        <v>3383</v>
      </c>
      <c r="E4027" s="31" t="s">
        <v>1529</v>
      </c>
      <c r="F4027" s="31" t="s">
        <v>1529</v>
      </c>
      <c r="G4027" s="31" t="s">
        <v>3384</v>
      </c>
      <c r="H4027" s="31" t="s">
        <v>3385</v>
      </c>
      <c r="I4027" s="31" t="s">
        <v>1529</v>
      </c>
      <c r="J4027" s="31" t="s">
        <v>1529</v>
      </c>
      <c r="K4027" s="57" t="s">
        <v>591</v>
      </c>
      <c r="L4027" s="31" t="s">
        <v>644</v>
      </c>
      <c r="M4027" s="5">
        <v>1</v>
      </c>
      <c r="N4027" s="46">
        <f t="shared" si="106"/>
        <v>25000</v>
      </c>
      <c r="O4027" s="83">
        <v>25000</v>
      </c>
      <c r="P4027" s="5" t="s">
        <v>699</v>
      </c>
      <c r="Q4027" s="15" t="s">
        <v>3381</v>
      </c>
      <c r="R4027" s="11" t="s">
        <v>715</v>
      </c>
      <c r="S4027" s="5">
        <v>50</v>
      </c>
    </row>
    <row r="4028" spans="1:19" s="13" customFormat="1" ht="76.5">
      <c r="A4028" s="4">
        <v>4013</v>
      </c>
      <c r="B4028" s="15" t="s">
        <v>710</v>
      </c>
      <c r="C4028" s="30" t="s">
        <v>711</v>
      </c>
      <c r="D4028" s="15" t="s">
        <v>723</v>
      </c>
      <c r="E4028" s="57" t="s">
        <v>874</v>
      </c>
      <c r="F4028" s="57" t="s">
        <v>874</v>
      </c>
      <c r="G4028" s="57" t="s">
        <v>875</v>
      </c>
      <c r="H4028" s="57" t="s">
        <v>876</v>
      </c>
      <c r="I4028" s="57" t="s">
        <v>2085</v>
      </c>
      <c r="J4028" s="57" t="s">
        <v>339</v>
      </c>
      <c r="K4028" s="57" t="s">
        <v>591</v>
      </c>
      <c r="L4028" s="31" t="s">
        <v>644</v>
      </c>
      <c r="M4028" s="22">
        <v>1</v>
      </c>
      <c r="N4028" s="46">
        <f t="shared" si="106"/>
        <v>28000</v>
      </c>
      <c r="O4028" s="49">
        <v>28000</v>
      </c>
      <c r="P4028" s="5" t="s">
        <v>699</v>
      </c>
      <c r="Q4028" s="15" t="s">
        <v>3381</v>
      </c>
      <c r="R4028" s="11" t="s">
        <v>715</v>
      </c>
      <c r="S4028" s="22">
        <v>50</v>
      </c>
    </row>
    <row r="4029" spans="1:19" s="13" customFormat="1" ht="102">
      <c r="A4029" s="5">
        <v>4014</v>
      </c>
      <c r="B4029" s="15" t="s">
        <v>710</v>
      </c>
      <c r="C4029" s="30" t="s">
        <v>711</v>
      </c>
      <c r="D4029" s="15" t="s">
        <v>716</v>
      </c>
      <c r="E4029" s="57" t="s">
        <v>874</v>
      </c>
      <c r="F4029" s="57" t="s">
        <v>874</v>
      </c>
      <c r="G4029" s="57" t="s">
        <v>877</v>
      </c>
      <c r="H4029" s="57" t="s">
        <v>718</v>
      </c>
      <c r="I4029" s="57" t="s">
        <v>2086</v>
      </c>
      <c r="J4029" s="57" t="s">
        <v>340</v>
      </c>
      <c r="K4029" s="57" t="s">
        <v>591</v>
      </c>
      <c r="L4029" s="31" t="s">
        <v>644</v>
      </c>
      <c r="M4029" s="22">
        <v>1</v>
      </c>
      <c r="N4029" s="46">
        <f t="shared" si="106"/>
        <v>43750</v>
      </c>
      <c r="O4029" s="49">
        <v>43750</v>
      </c>
      <c r="P4029" s="5" t="s">
        <v>699</v>
      </c>
      <c r="Q4029" s="15" t="s">
        <v>3381</v>
      </c>
      <c r="R4029" s="11" t="s">
        <v>715</v>
      </c>
      <c r="S4029" s="22">
        <v>50</v>
      </c>
    </row>
    <row r="4030" spans="1:19" ht="54.75" customHeight="1" outlineLevel="1">
      <c r="A4030" s="4">
        <v>4015</v>
      </c>
      <c r="B4030" s="29" t="s">
        <v>710</v>
      </c>
      <c r="C4030" s="30" t="s">
        <v>711</v>
      </c>
      <c r="D4030" s="11" t="s">
        <v>729</v>
      </c>
      <c r="E4030" s="57" t="s">
        <v>730</v>
      </c>
      <c r="F4030" s="57" t="s">
        <v>731</v>
      </c>
      <c r="G4030" s="57" t="s">
        <v>732</v>
      </c>
      <c r="H4030" s="57" t="s">
        <v>733</v>
      </c>
      <c r="I4030" s="57" t="s">
        <v>730</v>
      </c>
      <c r="J4030" s="57" t="s">
        <v>731</v>
      </c>
      <c r="K4030" s="57" t="s">
        <v>591</v>
      </c>
      <c r="L4030" s="31" t="s">
        <v>644</v>
      </c>
      <c r="M4030" s="22">
        <v>3</v>
      </c>
      <c r="N4030" s="46">
        <f t="shared" si="106"/>
        <v>29800</v>
      </c>
      <c r="O4030" s="49">
        <v>89400</v>
      </c>
      <c r="P4030" s="5" t="s">
        <v>699</v>
      </c>
      <c r="Q4030" s="15" t="s">
        <v>3381</v>
      </c>
      <c r="R4030" s="11" t="s">
        <v>925</v>
      </c>
      <c r="S4030" s="5">
        <v>50</v>
      </c>
    </row>
    <row r="4031" spans="1:19" ht="84" customHeight="1">
      <c r="A4031" s="5">
        <v>4016</v>
      </c>
      <c r="B4031" s="15" t="s">
        <v>710</v>
      </c>
      <c r="C4031" s="5" t="s">
        <v>711</v>
      </c>
      <c r="D4031" s="10" t="s">
        <v>748</v>
      </c>
      <c r="E4031" s="31" t="s">
        <v>979</v>
      </c>
      <c r="F4031" s="31" t="s">
        <v>979</v>
      </c>
      <c r="G4031" s="31" t="s">
        <v>750</v>
      </c>
      <c r="H4031" s="31" t="s">
        <v>751</v>
      </c>
      <c r="I4031" s="31" t="s">
        <v>979</v>
      </c>
      <c r="J4031" s="31" t="s">
        <v>979</v>
      </c>
      <c r="K4031" s="57" t="s">
        <v>591</v>
      </c>
      <c r="L4031" s="31" t="s">
        <v>644</v>
      </c>
      <c r="M4031" s="5">
        <v>3</v>
      </c>
      <c r="N4031" s="46">
        <f t="shared" si="106"/>
        <v>5893</v>
      </c>
      <c r="O4031" s="83">
        <v>17679</v>
      </c>
      <c r="P4031" s="5" t="s">
        <v>699</v>
      </c>
      <c r="Q4031" s="15" t="s">
        <v>3381</v>
      </c>
      <c r="R4031" s="11" t="s">
        <v>925</v>
      </c>
      <c r="S4031" s="5">
        <v>50</v>
      </c>
    </row>
    <row r="4032" spans="1:19" ht="63.75">
      <c r="A4032" s="4">
        <v>4017</v>
      </c>
      <c r="B4032" s="15" t="s">
        <v>710</v>
      </c>
      <c r="C4032" s="5" t="s">
        <v>711</v>
      </c>
      <c r="D4032" s="15" t="s">
        <v>3383</v>
      </c>
      <c r="E4032" s="31" t="s">
        <v>1529</v>
      </c>
      <c r="F4032" s="31" t="s">
        <v>1529</v>
      </c>
      <c r="G4032" s="31" t="s">
        <v>3384</v>
      </c>
      <c r="H4032" s="31" t="s">
        <v>3385</v>
      </c>
      <c r="I4032" s="31" t="s">
        <v>1529</v>
      </c>
      <c r="J4032" s="31" t="s">
        <v>1529</v>
      </c>
      <c r="K4032" s="57" t="s">
        <v>591</v>
      </c>
      <c r="L4032" s="31" t="s">
        <v>644</v>
      </c>
      <c r="M4032" s="5">
        <v>3</v>
      </c>
      <c r="N4032" s="46">
        <f t="shared" si="106"/>
        <v>18900</v>
      </c>
      <c r="O4032" s="83">
        <v>56700</v>
      </c>
      <c r="P4032" s="5" t="s">
        <v>699</v>
      </c>
      <c r="Q4032" s="15" t="s">
        <v>3381</v>
      </c>
      <c r="R4032" s="11" t="s">
        <v>925</v>
      </c>
      <c r="S4032" s="5">
        <v>50</v>
      </c>
    </row>
    <row r="4033" spans="1:19" s="13" customFormat="1" ht="76.5">
      <c r="A4033" s="5">
        <v>4018</v>
      </c>
      <c r="B4033" s="15" t="s">
        <v>710</v>
      </c>
      <c r="C4033" s="30" t="s">
        <v>711</v>
      </c>
      <c r="D4033" s="15" t="s">
        <v>723</v>
      </c>
      <c r="E4033" s="57" t="s">
        <v>874</v>
      </c>
      <c r="F4033" s="57" t="s">
        <v>874</v>
      </c>
      <c r="G4033" s="57" t="s">
        <v>875</v>
      </c>
      <c r="H4033" s="57" t="s">
        <v>876</v>
      </c>
      <c r="I4033" s="57" t="s">
        <v>2085</v>
      </c>
      <c r="J4033" s="57" t="s">
        <v>339</v>
      </c>
      <c r="K4033" s="57" t="s">
        <v>591</v>
      </c>
      <c r="L4033" s="31" t="s">
        <v>644</v>
      </c>
      <c r="M4033" s="22">
        <v>3</v>
      </c>
      <c r="N4033" s="46">
        <f t="shared" si="106"/>
        <v>31700</v>
      </c>
      <c r="O4033" s="49">
        <v>95100</v>
      </c>
      <c r="P4033" s="5" t="s">
        <v>699</v>
      </c>
      <c r="Q4033" s="15" t="s">
        <v>3381</v>
      </c>
      <c r="R4033" s="11" t="s">
        <v>925</v>
      </c>
      <c r="S4033" s="22">
        <v>50</v>
      </c>
    </row>
    <row r="4034" spans="1:19" s="13" customFormat="1" ht="102">
      <c r="A4034" s="4">
        <v>4019</v>
      </c>
      <c r="B4034" s="15" t="s">
        <v>710</v>
      </c>
      <c r="C4034" s="30" t="s">
        <v>711</v>
      </c>
      <c r="D4034" s="15" t="s">
        <v>716</v>
      </c>
      <c r="E4034" s="57" t="s">
        <v>874</v>
      </c>
      <c r="F4034" s="57" t="s">
        <v>874</v>
      </c>
      <c r="G4034" s="57" t="s">
        <v>877</v>
      </c>
      <c r="H4034" s="57" t="s">
        <v>718</v>
      </c>
      <c r="I4034" s="57" t="s">
        <v>2086</v>
      </c>
      <c r="J4034" s="57" t="s">
        <v>340</v>
      </c>
      <c r="K4034" s="57" t="s">
        <v>591</v>
      </c>
      <c r="L4034" s="31" t="s">
        <v>644</v>
      </c>
      <c r="M4034" s="22">
        <v>3</v>
      </c>
      <c r="N4034" s="46">
        <f t="shared" si="106"/>
        <v>23900</v>
      </c>
      <c r="O4034" s="49">
        <v>71700</v>
      </c>
      <c r="P4034" s="5" t="s">
        <v>699</v>
      </c>
      <c r="Q4034" s="15" t="s">
        <v>3381</v>
      </c>
      <c r="R4034" s="11" t="s">
        <v>925</v>
      </c>
      <c r="S4034" s="22">
        <v>50</v>
      </c>
    </row>
    <row r="4035" spans="1:19" ht="51.75" customHeight="1" outlineLevel="1">
      <c r="A4035" s="5">
        <v>4020</v>
      </c>
      <c r="B4035" s="29" t="s">
        <v>710</v>
      </c>
      <c r="C4035" s="30" t="s">
        <v>711</v>
      </c>
      <c r="D4035" s="15" t="s">
        <v>3446</v>
      </c>
      <c r="E4035" s="57" t="s">
        <v>745</v>
      </c>
      <c r="F4035" s="57" t="s">
        <v>109</v>
      </c>
      <c r="G4035" s="57" t="s">
        <v>3447</v>
      </c>
      <c r="H4035" s="57" t="s">
        <v>3445</v>
      </c>
      <c r="I4035" s="57" t="s">
        <v>745</v>
      </c>
      <c r="J4035" s="57" t="s">
        <v>109</v>
      </c>
      <c r="K4035" s="57" t="s">
        <v>591</v>
      </c>
      <c r="L4035" s="31" t="s">
        <v>644</v>
      </c>
      <c r="M4035" s="22">
        <v>6</v>
      </c>
      <c r="N4035" s="46">
        <f>O4035/M4035</f>
        <v>2500</v>
      </c>
      <c r="O4035" s="49">
        <v>15000</v>
      </c>
      <c r="P4035" s="5" t="s">
        <v>699</v>
      </c>
      <c r="Q4035" s="15" t="s">
        <v>3381</v>
      </c>
      <c r="R4035" s="11" t="s">
        <v>925</v>
      </c>
      <c r="S4035" s="5">
        <v>50</v>
      </c>
    </row>
    <row r="4036" spans="1:19" ht="54.75" customHeight="1" outlineLevel="1">
      <c r="A4036" s="4">
        <v>4021</v>
      </c>
      <c r="B4036" s="29" t="s">
        <v>710</v>
      </c>
      <c r="C4036" s="30" t="s">
        <v>711</v>
      </c>
      <c r="D4036" s="11" t="s">
        <v>729</v>
      </c>
      <c r="E4036" s="57" t="s">
        <v>730</v>
      </c>
      <c r="F4036" s="57" t="s">
        <v>731</v>
      </c>
      <c r="G4036" s="57" t="s">
        <v>732</v>
      </c>
      <c r="H4036" s="57" t="s">
        <v>733</v>
      </c>
      <c r="I4036" s="57" t="s">
        <v>730</v>
      </c>
      <c r="J4036" s="57" t="s">
        <v>731</v>
      </c>
      <c r="K4036" s="57" t="s">
        <v>591</v>
      </c>
      <c r="L4036" s="31" t="s">
        <v>644</v>
      </c>
      <c r="M4036" s="22">
        <v>4</v>
      </c>
      <c r="N4036" s="46">
        <f t="shared" ref="N4036:N4061" si="107">O4036/M4036</f>
        <v>25000</v>
      </c>
      <c r="O4036" s="49">
        <v>100000</v>
      </c>
      <c r="P4036" s="5" t="s">
        <v>699</v>
      </c>
      <c r="Q4036" s="15" t="s">
        <v>3381</v>
      </c>
      <c r="R4036" s="11" t="s">
        <v>2024</v>
      </c>
      <c r="S4036" s="5">
        <v>50</v>
      </c>
    </row>
    <row r="4037" spans="1:19" ht="84" customHeight="1">
      <c r="A4037" s="5">
        <v>4022</v>
      </c>
      <c r="B4037" s="15" t="s">
        <v>710</v>
      </c>
      <c r="C4037" s="5" t="s">
        <v>711</v>
      </c>
      <c r="D4037" s="10" t="s">
        <v>748</v>
      </c>
      <c r="E4037" s="31" t="s">
        <v>979</v>
      </c>
      <c r="F4037" s="31" t="s">
        <v>979</v>
      </c>
      <c r="G4037" s="31" t="s">
        <v>750</v>
      </c>
      <c r="H4037" s="31" t="s">
        <v>751</v>
      </c>
      <c r="I4037" s="31" t="s">
        <v>979</v>
      </c>
      <c r="J4037" s="31" t="s">
        <v>979</v>
      </c>
      <c r="K4037" s="57" t="s">
        <v>591</v>
      </c>
      <c r="L4037" s="31" t="s">
        <v>644</v>
      </c>
      <c r="M4037" s="5">
        <v>4</v>
      </c>
      <c r="N4037" s="46">
        <f t="shared" si="107"/>
        <v>10000</v>
      </c>
      <c r="O4037" s="83">
        <v>40000</v>
      </c>
      <c r="P4037" s="5" t="s">
        <v>699</v>
      </c>
      <c r="Q4037" s="15" t="s">
        <v>3381</v>
      </c>
      <c r="R4037" s="11" t="s">
        <v>2024</v>
      </c>
      <c r="S4037" s="5">
        <v>50</v>
      </c>
    </row>
    <row r="4038" spans="1:19" ht="63.75">
      <c r="A4038" s="4">
        <v>4023</v>
      </c>
      <c r="B4038" s="15" t="s">
        <v>710</v>
      </c>
      <c r="C4038" s="5" t="s">
        <v>711</v>
      </c>
      <c r="D4038" s="15" t="s">
        <v>3383</v>
      </c>
      <c r="E4038" s="31" t="s">
        <v>1529</v>
      </c>
      <c r="F4038" s="31" t="s">
        <v>1529</v>
      </c>
      <c r="G4038" s="31" t="s">
        <v>3384</v>
      </c>
      <c r="H4038" s="31" t="s">
        <v>3385</v>
      </c>
      <c r="I4038" s="31" t="s">
        <v>1529</v>
      </c>
      <c r="J4038" s="31" t="s">
        <v>1529</v>
      </c>
      <c r="K4038" s="57" t="s">
        <v>591</v>
      </c>
      <c r="L4038" s="31" t="s">
        <v>644</v>
      </c>
      <c r="M4038" s="5">
        <v>4</v>
      </c>
      <c r="N4038" s="46">
        <f t="shared" si="107"/>
        <v>10000</v>
      </c>
      <c r="O4038" s="83">
        <v>40000</v>
      </c>
      <c r="P4038" s="5" t="s">
        <v>699</v>
      </c>
      <c r="Q4038" s="15" t="s">
        <v>3381</v>
      </c>
      <c r="R4038" s="11" t="s">
        <v>2024</v>
      </c>
      <c r="S4038" s="5">
        <v>50</v>
      </c>
    </row>
    <row r="4039" spans="1:19" s="13" customFormat="1" ht="76.5">
      <c r="A4039" s="5">
        <v>4024</v>
      </c>
      <c r="B4039" s="15" t="s">
        <v>710</v>
      </c>
      <c r="C4039" s="30" t="s">
        <v>711</v>
      </c>
      <c r="D4039" s="15" t="s">
        <v>723</v>
      </c>
      <c r="E4039" s="57" t="s">
        <v>874</v>
      </c>
      <c r="F4039" s="57" t="s">
        <v>874</v>
      </c>
      <c r="G4039" s="57" t="s">
        <v>875</v>
      </c>
      <c r="H4039" s="57" t="s">
        <v>876</v>
      </c>
      <c r="I4039" s="57" t="s">
        <v>2085</v>
      </c>
      <c r="J4039" s="57" t="s">
        <v>339</v>
      </c>
      <c r="K4039" s="57" t="s">
        <v>591</v>
      </c>
      <c r="L4039" s="31" t="s">
        <v>644</v>
      </c>
      <c r="M4039" s="22">
        <v>1</v>
      </c>
      <c r="N4039" s="46">
        <f t="shared" si="107"/>
        <v>24000</v>
      </c>
      <c r="O4039" s="49">
        <v>24000</v>
      </c>
      <c r="P4039" s="5" t="s">
        <v>699</v>
      </c>
      <c r="Q4039" s="15" t="s">
        <v>3381</v>
      </c>
      <c r="R4039" s="11" t="s">
        <v>2024</v>
      </c>
      <c r="S4039" s="22">
        <v>50</v>
      </c>
    </row>
    <row r="4040" spans="1:19" s="13" customFormat="1" ht="102">
      <c r="A4040" s="4">
        <v>4025</v>
      </c>
      <c r="B4040" s="15" t="s">
        <v>710</v>
      </c>
      <c r="C4040" s="30" t="s">
        <v>711</v>
      </c>
      <c r="D4040" s="15" t="s">
        <v>716</v>
      </c>
      <c r="E4040" s="57" t="s">
        <v>874</v>
      </c>
      <c r="F4040" s="57" t="s">
        <v>874</v>
      </c>
      <c r="G4040" s="57" t="s">
        <v>877</v>
      </c>
      <c r="H4040" s="57" t="s">
        <v>718</v>
      </c>
      <c r="I4040" s="57" t="s">
        <v>2086</v>
      </c>
      <c r="J4040" s="57" t="s">
        <v>340</v>
      </c>
      <c r="K4040" s="57" t="s">
        <v>591</v>
      </c>
      <c r="L4040" s="31" t="s">
        <v>644</v>
      </c>
      <c r="M4040" s="22">
        <v>2</v>
      </c>
      <c r="N4040" s="46">
        <f t="shared" si="107"/>
        <v>24000</v>
      </c>
      <c r="O4040" s="49">
        <v>48000</v>
      </c>
      <c r="P4040" s="5" t="s">
        <v>699</v>
      </c>
      <c r="Q4040" s="15" t="s">
        <v>3381</v>
      </c>
      <c r="R4040" s="11" t="s">
        <v>2024</v>
      </c>
      <c r="S4040" s="22">
        <v>50</v>
      </c>
    </row>
    <row r="4041" spans="1:19" ht="54.75" customHeight="1" outlineLevel="1">
      <c r="A4041" s="5">
        <v>4026</v>
      </c>
      <c r="B4041" s="29" t="s">
        <v>710</v>
      </c>
      <c r="C4041" s="30" t="s">
        <v>711</v>
      </c>
      <c r="D4041" s="11" t="s">
        <v>729</v>
      </c>
      <c r="E4041" s="57" t="s">
        <v>730</v>
      </c>
      <c r="F4041" s="57" t="s">
        <v>731</v>
      </c>
      <c r="G4041" s="57" t="s">
        <v>732</v>
      </c>
      <c r="H4041" s="57" t="s">
        <v>733</v>
      </c>
      <c r="I4041" s="57" t="s">
        <v>730</v>
      </c>
      <c r="J4041" s="57" t="s">
        <v>731</v>
      </c>
      <c r="K4041" s="57" t="s">
        <v>591</v>
      </c>
      <c r="L4041" s="31" t="s">
        <v>644</v>
      </c>
      <c r="M4041" s="22">
        <v>2</v>
      </c>
      <c r="N4041" s="46">
        <f t="shared" si="107"/>
        <v>39554</v>
      </c>
      <c r="O4041" s="49">
        <v>79108</v>
      </c>
      <c r="P4041" s="5" t="s">
        <v>699</v>
      </c>
      <c r="Q4041" s="15" t="s">
        <v>3381</v>
      </c>
      <c r="R4041" s="11" t="s">
        <v>3339</v>
      </c>
      <c r="S4041" s="5">
        <v>50</v>
      </c>
    </row>
    <row r="4042" spans="1:19" ht="84" customHeight="1">
      <c r="A4042" s="4">
        <v>4027</v>
      </c>
      <c r="B4042" s="15" t="s">
        <v>710</v>
      </c>
      <c r="C4042" s="5" t="s">
        <v>711</v>
      </c>
      <c r="D4042" s="10" t="s">
        <v>748</v>
      </c>
      <c r="E4042" s="31" t="s">
        <v>979</v>
      </c>
      <c r="F4042" s="31" t="s">
        <v>979</v>
      </c>
      <c r="G4042" s="31" t="s">
        <v>750</v>
      </c>
      <c r="H4042" s="31" t="s">
        <v>751</v>
      </c>
      <c r="I4042" s="31" t="s">
        <v>979</v>
      </c>
      <c r="J4042" s="31" t="s">
        <v>979</v>
      </c>
      <c r="K4042" s="57" t="s">
        <v>591</v>
      </c>
      <c r="L4042" s="31" t="s">
        <v>644</v>
      </c>
      <c r="M4042" s="5">
        <v>4</v>
      </c>
      <c r="N4042" s="46">
        <f t="shared" si="107"/>
        <v>10000</v>
      </c>
      <c r="O4042" s="83">
        <v>40000</v>
      </c>
      <c r="P4042" s="5" t="s">
        <v>699</v>
      </c>
      <c r="Q4042" s="15" t="s">
        <v>3381</v>
      </c>
      <c r="R4042" s="11" t="s">
        <v>3339</v>
      </c>
      <c r="S4042" s="5">
        <v>50</v>
      </c>
    </row>
    <row r="4043" spans="1:19" ht="63.75">
      <c r="A4043" s="5">
        <v>4028</v>
      </c>
      <c r="B4043" s="15" t="s">
        <v>710</v>
      </c>
      <c r="C4043" s="5" t="s">
        <v>711</v>
      </c>
      <c r="D4043" s="15" t="s">
        <v>3383</v>
      </c>
      <c r="E4043" s="31" t="s">
        <v>1529</v>
      </c>
      <c r="F4043" s="31" t="s">
        <v>1529</v>
      </c>
      <c r="G4043" s="31" t="s">
        <v>3384</v>
      </c>
      <c r="H4043" s="31" t="s">
        <v>3385</v>
      </c>
      <c r="I4043" s="31" t="s">
        <v>1529</v>
      </c>
      <c r="J4043" s="31" t="s">
        <v>1529</v>
      </c>
      <c r="K4043" s="57" t="s">
        <v>591</v>
      </c>
      <c r="L4043" s="31" t="s">
        <v>644</v>
      </c>
      <c r="M4043" s="5">
        <v>4</v>
      </c>
      <c r="N4043" s="46">
        <f t="shared" si="107"/>
        <v>16200</v>
      </c>
      <c r="O4043" s="83">
        <v>64800</v>
      </c>
      <c r="P4043" s="5" t="s">
        <v>699</v>
      </c>
      <c r="Q4043" s="15" t="s">
        <v>3381</v>
      </c>
      <c r="R4043" s="11" t="s">
        <v>3339</v>
      </c>
      <c r="S4043" s="5">
        <v>50</v>
      </c>
    </row>
    <row r="4044" spans="1:19" s="13" customFormat="1" ht="76.5">
      <c r="A4044" s="4">
        <v>4029</v>
      </c>
      <c r="B4044" s="15" t="s">
        <v>710</v>
      </c>
      <c r="C4044" s="30" t="s">
        <v>711</v>
      </c>
      <c r="D4044" s="15" t="s">
        <v>723</v>
      </c>
      <c r="E4044" s="57" t="s">
        <v>874</v>
      </c>
      <c r="F4044" s="57" t="s">
        <v>874</v>
      </c>
      <c r="G4044" s="57" t="s">
        <v>875</v>
      </c>
      <c r="H4044" s="57" t="s">
        <v>876</v>
      </c>
      <c r="I4044" s="57" t="s">
        <v>2085</v>
      </c>
      <c r="J4044" s="57" t="s">
        <v>339</v>
      </c>
      <c r="K4044" s="57" t="s">
        <v>591</v>
      </c>
      <c r="L4044" s="31" t="s">
        <v>644</v>
      </c>
      <c r="M4044" s="22">
        <v>2</v>
      </c>
      <c r="N4044" s="46">
        <f t="shared" si="107"/>
        <v>30900</v>
      </c>
      <c r="O4044" s="49">
        <v>61800</v>
      </c>
      <c r="P4044" s="5" t="s">
        <v>699</v>
      </c>
      <c r="Q4044" s="15" t="s">
        <v>3381</v>
      </c>
      <c r="R4044" s="11" t="s">
        <v>3339</v>
      </c>
      <c r="S4044" s="22">
        <v>50</v>
      </c>
    </row>
    <row r="4045" spans="1:19" s="13" customFormat="1" ht="102">
      <c r="A4045" s="5">
        <v>4030</v>
      </c>
      <c r="B4045" s="15" t="s">
        <v>710</v>
      </c>
      <c r="C4045" s="30" t="s">
        <v>711</v>
      </c>
      <c r="D4045" s="15" t="s">
        <v>716</v>
      </c>
      <c r="E4045" s="57" t="s">
        <v>874</v>
      </c>
      <c r="F4045" s="57" t="s">
        <v>874</v>
      </c>
      <c r="G4045" s="57" t="s">
        <v>877</v>
      </c>
      <c r="H4045" s="57" t="s">
        <v>718</v>
      </c>
      <c r="I4045" s="57" t="s">
        <v>2086</v>
      </c>
      <c r="J4045" s="57" t="s">
        <v>340</v>
      </c>
      <c r="K4045" s="57" t="s">
        <v>591</v>
      </c>
      <c r="L4045" s="31" t="s">
        <v>644</v>
      </c>
      <c r="M4045" s="22">
        <v>3</v>
      </c>
      <c r="N4045" s="46">
        <f t="shared" si="107"/>
        <v>38900</v>
      </c>
      <c r="O4045" s="49">
        <v>116700</v>
      </c>
      <c r="P4045" s="5" t="s">
        <v>699</v>
      </c>
      <c r="Q4045" s="15" t="s">
        <v>3381</v>
      </c>
      <c r="R4045" s="11" t="s">
        <v>3339</v>
      </c>
      <c r="S4045" s="22">
        <v>50</v>
      </c>
    </row>
    <row r="4046" spans="1:19" ht="54.75" customHeight="1" outlineLevel="1">
      <c r="A4046" s="4">
        <v>4031</v>
      </c>
      <c r="B4046" s="29" t="s">
        <v>710</v>
      </c>
      <c r="C4046" s="30" t="s">
        <v>711</v>
      </c>
      <c r="D4046" s="11" t="s">
        <v>729</v>
      </c>
      <c r="E4046" s="57" t="s">
        <v>730</v>
      </c>
      <c r="F4046" s="57" t="s">
        <v>731</v>
      </c>
      <c r="G4046" s="57" t="s">
        <v>732</v>
      </c>
      <c r="H4046" s="57" t="s">
        <v>733</v>
      </c>
      <c r="I4046" s="57" t="s">
        <v>730</v>
      </c>
      <c r="J4046" s="57" t="s">
        <v>731</v>
      </c>
      <c r="K4046" s="57" t="s">
        <v>591</v>
      </c>
      <c r="L4046" s="31" t="s">
        <v>644</v>
      </c>
      <c r="M4046" s="22">
        <v>3</v>
      </c>
      <c r="N4046" s="46">
        <f t="shared" si="107"/>
        <v>26800</v>
      </c>
      <c r="O4046" s="49">
        <v>80400</v>
      </c>
      <c r="P4046" s="5" t="s">
        <v>699</v>
      </c>
      <c r="Q4046" s="15" t="s">
        <v>3381</v>
      </c>
      <c r="R4046" s="11" t="s">
        <v>2030</v>
      </c>
      <c r="S4046" s="5">
        <v>50</v>
      </c>
    </row>
    <row r="4047" spans="1:19" ht="84" customHeight="1">
      <c r="A4047" s="5">
        <v>4032</v>
      </c>
      <c r="B4047" s="15" t="s">
        <v>710</v>
      </c>
      <c r="C4047" s="5" t="s">
        <v>711</v>
      </c>
      <c r="D4047" s="10" t="s">
        <v>748</v>
      </c>
      <c r="E4047" s="31" t="s">
        <v>979</v>
      </c>
      <c r="F4047" s="31" t="s">
        <v>979</v>
      </c>
      <c r="G4047" s="31" t="s">
        <v>750</v>
      </c>
      <c r="H4047" s="31" t="s">
        <v>751</v>
      </c>
      <c r="I4047" s="31" t="s">
        <v>979</v>
      </c>
      <c r="J4047" s="31" t="s">
        <v>979</v>
      </c>
      <c r="K4047" s="57" t="s">
        <v>591</v>
      </c>
      <c r="L4047" s="31" t="s">
        <v>644</v>
      </c>
      <c r="M4047" s="5">
        <v>3</v>
      </c>
      <c r="N4047" s="46">
        <f t="shared" si="107"/>
        <v>10000</v>
      </c>
      <c r="O4047" s="83">
        <v>30000</v>
      </c>
      <c r="P4047" s="5" t="s">
        <v>699</v>
      </c>
      <c r="Q4047" s="15" t="s">
        <v>3381</v>
      </c>
      <c r="R4047" s="11" t="s">
        <v>2030</v>
      </c>
      <c r="S4047" s="5">
        <v>50</v>
      </c>
    </row>
    <row r="4048" spans="1:19" ht="63.75">
      <c r="A4048" s="4">
        <v>4033</v>
      </c>
      <c r="B4048" s="15" t="s">
        <v>710</v>
      </c>
      <c r="C4048" s="5" t="s">
        <v>711</v>
      </c>
      <c r="D4048" s="15" t="s">
        <v>3383</v>
      </c>
      <c r="E4048" s="31" t="s">
        <v>1529</v>
      </c>
      <c r="F4048" s="31" t="s">
        <v>1529</v>
      </c>
      <c r="G4048" s="31" t="s">
        <v>3384</v>
      </c>
      <c r="H4048" s="31" t="s">
        <v>3385</v>
      </c>
      <c r="I4048" s="31" t="s">
        <v>1529</v>
      </c>
      <c r="J4048" s="31" t="s">
        <v>1529</v>
      </c>
      <c r="K4048" s="57" t="s">
        <v>591</v>
      </c>
      <c r="L4048" s="31" t="s">
        <v>644</v>
      </c>
      <c r="M4048" s="5">
        <v>3</v>
      </c>
      <c r="N4048" s="46">
        <f t="shared" si="107"/>
        <v>10000</v>
      </c>
      <c r="O4048" s="83">
        <v>30000</v>
      </c>
      <c r="P4048" s="5" t="s">
        <v>699</v>
      </c>
      <c r="Q4048" s="15" t="s">
        <v>3381</v>
      </c>
      <c r="R4048" s="11" t="s">
        <v>2030</v>
      </c>
      <c r="S4048" s="5">
        <v>50</v>
      </c>
    </row>
    <row r="4049" spans="1:19" s="13" customFormat="1" ht="76.5">
      <c r="A4049" s="5">
        <v>4034</v>
      </c>
      <c r="B4049" s="15" t="s">
        <v>710</v>
      </c>
      <c r="C4049" s="30" t="s">
        <v>711</v>
      </c>
      <c r="D4049" s="15" t="s">
        <v>723</v>
      </c>
      <c r="E4049" s="57" t="s">
        <v>874</v>
      </c>
      <c r="F4049" s="57" t="s">
        <v>874</v>
      </c>
      <c r="G4049" s="57" t="s">
        <v>875</v>
      </c>
      <c r="H4049" s="57" t="s">
        <v>876</v>
      </c>
      <c r="I4049" s="57" t="s">
        <v>2085</v>
      </c>
      <c r="J4049" s="57" t="s">
        <v>339</v>
      </c>
      <c r="K4049" s="57" t="s">
        <v>591</v>
      </c>
      <c r="L4049" s="31" t="s">
        <v>644</v>
      </c>
      <c r="M4049" s="22">
        <v>1</v>
      </c>
      <c r="N4049" s="46">
        <f t="shared" si="107"/>
        <v>30000</v>
      </c>
      <c r="O4049" s="49">
        <v>30000</v>
      </c>
      <c r="P4049" s="5" t="s">
        <v>699</v>
      </c>
      <c r="Q4049" s="15" t="s">
        <v>3381</v>
      </c>
      <c r="R4049" s="11" t="s">
        <v>2030</v>
      </c>
      <c r="S4049" s="22">
        <v>50</v>
      </c>
    </row>
    <row r="4050" spans="1:19" s="13" customFormat="1" ht="102">
      <c r="A4050" s="4">
        <v>4035</v>
      </c>
      <c r="B4050" s="15" t="s">
        <v>710</v>
      </c>
      <c r="C4050" s="30" t="s">
        <v>711</v>
      </c>
      <c r="D4050" s="15" t="s">
        <v>716</v>
      </c>
      <c r="E4050" s="57" t="s">
        <v>874</v>
      </c>
      <c r="F4050" s="57" t="s">
        <v>874</v>
      </c>
      <c r="G4050" s="57" t="s">
        <v>877</v>
      </c>
      <c r="H4050" s="57" t="s">
        <v>718</v>
      </c>
      <c r="I4050" s="57" t="s">
        <v>2086</v>
      </c>
      <c r="J4050" s="57" t="s">
        <v>340</v>
      </c>
      <c r="K4050" s="57" t="s">
        <v>591</v>
      </c>
      <c r="L4050" s="31" t="s">
        <v>644</v>
      </c>
      <c r="M4050" s="22">
        <v>3</v>
      </c>
      <c r="N4050" s="46">
        <f t="shared" si="107"/>
        <v>25000</v>
      </c>
      <c r="O4050" s="49">
        <v>75000</v>
      </c>
      <c r="P4050" s="5" t="s">
        <v>699</v>
      </c>
      <c r="Q4050" s="15" t="s">
        <v>3381</v>
      </c>
      <c r="R4050" s="11" t="s">
        <v>2030</v>
      </c>
      <c r="S4050" s="22">
        <v>50</v>
      </c>
    </row>
    <row r="4051" spans="1:19" ht="54.75" customHeight="1" outlineLevel="1">
      <c r="A4051" s="5">
        <v>4036</v>
      </c>
      <c r="B4051" s="29" t="s">
        <v>710</v>
      </c>
      <c r="C4051" s="30" t="s">
        <v>711</v>
      </c>
      <c r="D4051" s="11" t="s">
        <v>729</v>
      </c>
      <c r="E4051" s="57" t="s">
        <v>730</v>
      </c>
      <c r="F4051" s="57" t="s">
        <v>731</v>
      </c>
      <c r="G4051" s="57" t="s">
        <v>732</v>
      </c>
      <c r="H4051" s="57" t="s">
        <v>733</v>
      </c>
      <c r="I4051" s="57" t="s">
        <v>730</v>
      </c>
      <c r="J4051" s="57" t="s">
        <v>731</v>
      </c>
      <c r="K4051" s="57" t="s">
        <v>591</v>
      </c>
      <c r="L4051" s="31" t="s">
        <v>644</v>
      </c>
      <c r="M4051" s="22">
        <v>5</v>
      </c>
      <c r="N4051" s="46">
        <f t="shared" si="107"/>
        <v>30000</v>
      </c>
      <c r="O4051" s="49">
        <v>150000</v>
      </c>
      <c r="P4051" s="5" t="s">
        <v>699</v>
      </c>
      <c r="Q4051" s="15" t="s">
        <v>3381</v>
      </c>
      <c r="R4051" s="11" t="s">
        <v>902</v>
      </c>
      <c r="S4051" s="5">
        <v>50</v>
      </c>
    </row>
    <row r="4052" spans="1:19" ht="84" customHeight="1">
      <c r="A4052" s="4">
        <v>4037</v>
      </c>
      <c r="B4052" s="15" t="s">
        <v>710</v>
      </c>
      <c r="C4052" s="5" t="s">
        <v>711</v>
      </c>
      <c r="D4052" s="10" t="s">
        <v>748</v>
      </c>
      <c r="E4052" s="31" t="s">
        <v>979</v>
      </c>
      <c r="F4052" s="31" t="s">
        <v>979</v>
      </c>
      <c r="G4052" s="31" t="s">
        <v>750</v>
      </c>
      <c r="H4052" s="31" t="s">
        <v>751</v>
      </c>
      <c r="I4052" s="31" t="s">
        <v>979</v>
      </c>
      <c r="J4052" s="31" t="s">
        <v>979</v>
      </c>
      <c r="K4052" s="57" t="s">
        <v>591</v>
      </c>
      <c r="L4052" s="31" t="s">
        <v>644</v>
      </c>
      <c r="M4052" s="5">
        <v>6</v>
      </c>
      <c r="N4052" s="46">
        <f t="shared" si="107"/>
        <v>10000</v>
      </c>
      <c r="O4052" s="83">
        <v>60000</v>
      </c>
      <c r="P4052" s="5" t="s">
        <v>699</v>
      </c>
      <c r="Q4052" s="15" t="s">
        <v>3381</v>
      </c>
      <c r="R4052" s="11" t="s">
        <v>902</v>
      </c>
      <c r="S4052" s="5">
        <v>50</v>
      </c>
    </row>
    <row r="4053" spans="1:19" ht="63.75">
      <c r="A4053" s="5">
        <v>4038</v>
      </c>
      <c r="B4053" s="15" t="s">
        <v>710</v>
      </c>
      <c r="C4053" s="5" t="s">
        <v>711</v>
      </c>
      <c r="D4053" s="15" t="s">
        <v>3383</v>
      </c>
      <c r="E4053" s="31" t="s">
        <v>1529</v>
      </c>
      <c r="F4053" s="31" t="s">
        <v>1529</v>
      </c>
      <c r="G4053" s="31" t="s">
        <v>3384</v>
      </c>
      <c r="H4053" s="31" t="s">
        <v>3385</v>
      </c>
      <c r="I4053" s="31" t="s">
        <v>1529</v>
      </c>
      <c r="J4053" s="31" t="s">
        <v>1529</v>
      </c>
      <c r="K4053" s="57" t="s">
        <v>591</v>
      </c>
      <c r="L4053" s="31" t="s">
        <v>644</v>
      </c>
      <c r="M4053" s="5">
        <v>5</v>
      </c>
      <c r="N4053" s="46">
        <f t="shared" si="107"/>
        <v>15000</v>
      </c>
      <c r="O4053" s="83">
        <v>75000</v>
      </c>
      <c r="P4053" s="5" t="s">
        <v>699</v>
      </c>
      <c r="Q4053" s="15" t="s">
        <v>3381</v>
      </c>
      <c r="R4053" s="11" t="s">
        <v>902</v>
      </c>
      <c r="S4053" s="5">
        <v>50</v>
      </c>
    </row>
    <row r="4054" spans="1:19" s="13" customFormat="1" ht="76.5">
      <c r="A4054" s="4">
        <v>4039</v>
      </c>
      <c r="B4054" s="15" t="s">
        <v>710</v>
      </c>
      <c r="C4054" s="30" t="s">
        <v>711</v>
      </c>
      <c r="D4054" s="15" t="s">
        <v>723</v>
      </c>
      <c r="E4054" s="57" t="s">
        <v>874</v>
      </c>
      <c r="F4054" s="57" t="s">
        <v>874</v>
      </c>
      <c r="G4054" s="57" t="s">
        <v>875</v>
      </c>
      <c r="H4054" s="57" t="s">
        <v>876</v>
      </c>
      <c r="I4054" s="57" t="s">
        <v>2085</v>
      </c>
      <c r="J4054" s="57" t="s">
        <v>339</v>
      </c>
      <c r="K4054" s="57" t="s">
        <v>591</v>
      </c>
      <c r="L4054" s="31" t="s">
        <v>644</v>
      </c>
      <c r="M4054" s="22">
        <v>1</v>
      </c>
      <c r="N4054" s="46">
        <f t="shared" si="107"/>
        <v>30000</v>
      </c>
      <c r="O4054" s="49">
        <v>30000</v>
      </c>
      <c r="P4054" s="5" t="s">
        <v>699</v>
      </c>
      <c r="Q4054" s="15" t="s">
        <v>3381</v>
      </c>
      <c r="R4054" s="11" t="s">
        <v>902</v>
      </c>
      <c r="S4054" s="22">
        <v>50</v>
      </c>
    </row>
    <row r="4055" spans="1:19" s="13" customFormat="1" ht="102">
      <c r="A4055" s="5">
        <v>4040</v>
      </c>
      <c r="B4055" s="15" t="s">
        <v>710</v>
      </c>
      <c r="C4055" s="30" t="s">
        <v>711</v>
      </c>
      <c r="D4055" s="15" t="s">
        <v>716</v>
      </c>
      <c r="E4055" s="57" t="s">
        <v>874</v>
      </c>
      <c r="F4055" s="57" t="s">
        <v>874</v>
      </c>
      <c r="G4055" s="57" t="s">
        <v>877</v>
      </c>
      <c r="H4055" s="57" t="s">
        <v>718</v>
      </c>
      <c r="I4055" s="57" t="s">
        <v>2086</v>
      </c>
      <c r="J4055" s="57" t="s">
        <v>340</v>
      </c>
      <c r="K4055" s="57" t="s">
        <v>591</v>
      </c>
      <c r="L4055" s="31" t="s">
        <v>644</v>
      </c>
      <c r="M4055" s="22">
        <v>5</v>
      </c>
      <c r="N4055" s="46">
        <f t="shared" si="107"/>
        <v>33400</v>
      </c>
      <c r="O4055" s="49">
        <v>167000</v>
      </c>
      <c r="P4055" s="5" t="s">
        <v>699</v>
      </c>
      <c r="Q4055" s="15" t="s">
        <v>3381</v>
      </c>
      <c r="R4055" s="11" t="s">
        <v>902</v>
      </c>
      <c r="S4055" s="22">
        <v>50</v>
      </c>
    </row>
    <row r="4056" spans="1:19" ht="54.75" customHeight="1" outlineLevel="1">
      <c r="A4056" s="4">
        <v>4041</v>
      </c>
      <c r="B4056" s="29" t="s">
        <v>710</v>
      </c>
      <c r="C4056" s="30" t="s">
        <v>711</v>
      </c>
      <c r="D4056" s="11" t="s">
        <v>976</v>
      </c>
      <c r="E4056" s="57" t="s">
        <v>730</v>
      </c>
      <c r="F4056" s="57" t="s">
        <v>731</v>
      </c>
      <c r="G4056" s="57" t="s">
        <v>977</v>
      </c>
      <c r="H4056" s="57" t="s">
        <v>978</v>
      </c>
      <c r="I4056" s="57" t="s">
        <v>730</v>
      </c>
      <c r="J4056" s="57" t="s">
        <v>731</v>
      </c>
      <c r="K4056" s="57" t="s">
        <v>591</v>
      </c>
      <c r="L4056" s="31" t="s">
        <v>644</v>
      </c>
      <c r="M4056" s="22">
        <v>2</v>
      </c>
      <c r="N4056" s="46">
        <f t="shared" si="107"/>
        <v>21500</v>
      </c>
      <c r="O4056" s="49">
        <v>43000</v>
      </c>
      <c r="P4056" s="5" t="s">
        <v>699</v>
      </c>
      <c r="Q4056" s="15" t="s">
        <v>3381</v>
      </c>
      <c r="R4056" s="11" t="s">
        <v>2514</v>
      </c>
      <c r="S4056" s="5">
        <v>50</v>
      </c>
    </row>
    <row r="4057" spans="1:19" ht="54.75" customHeight="1" outlineLevel="1">
      <c r="A4057" s="5">
        <v>4042</v>
      </c>
      <c r="B4057" s="29" t="s">
        <v>710</v>
      </c>
      <c r="C4057" s="30" t="s">
        <v>711</v>
      </c>
      <c r="D4057" s="11" t="s">
        <v>729</v>
      </c>
      <c r="E4057" s="57" t="s">
        <v>730</v>
      </c>
      <c r="F4057" s="57" t="s">
        <v>731</v>
      </c>
      <c r="G4057" s="57" t="s">
        <v>732</v>
      </c>
      <c r="H4057" s="57" t="s">
        <v>733</v>
      </c>
      <c r="I4057" s="57" t="s">
        <v>730</v>
      </c>
      <c r="J4057" s="57" t="s">
        <v>731</v>
      </c>
      <c r="K4057" s="57" t="s">
        <v>591</v>
      </c>
      <c r="L4057" s="31" t="s">
        <v>644</v>
      </c>
      <c r="M4057" s="22">
        <v>2</v>
      </c>
      <c r="N4057" s="46">
        <f t="shared" si="107"/>
        <v>23600</v>
      </c>
      <c r="O4057" s="49">
        <v>47200</v>
      </c>
      <c r="P4057" s="5" t="s">
        <v>699</v>
      </c>
      <c r="Q4057" s="15" t="s">
        <v>3381</v>
      </c>
      <c r="R4057" s="11" t="s">
        <v>2514</v>
      </c>
      <c r="S4057" s="5">
        <v>50</v>
      </c>
    </row>
    <row r="4058" spans="1:19" ht="84" customHeight="1">
      <c r="A4058" s="4">
        <v>4043</v>
      </c>
      <c r="B4058" s="15" t="s">
        <v>710</v>
      </c>
      <c r="C4058" s="5" t="s">
        <v>711</v>
      </c>
      <c r="D4058" s="10" t="s">
        <v>748</v>
      </c>
      <c r="E4058" s="31" t="s">
        <v>979</v>
      </c>
      <c r="F4058" s="31" t="s">
        <v>979</v>
      </c>
      <c r="G4058" s="31" t="s">
        <v>750</v>
      </c>
      <c r="H4058" s="31" t="s">
        <v>751</v>
      </c>
      <c r="I4058" s="31" t="s">
        <v>979</v>
      </c>
      <c r="J4058" s="31" t="s">
        <v>979</v>
      </c>
      <c r="K4058" s="57" t="s">
        <v>591</v>
      </c>
      <c r="L4058" s="31" t="s">
        <v>644</v>
      </c>
      <c r="M4058" s="5">
        <v>2</v>
      </c>
      <c r="N4058" s="46">
        <f t="shared" si="107"/>
        <v>6950</v>
      </c>
      <c r="O4058" s="83">
        <v>13900</v>
      </c>
      <c r="P4058" s="5" t="s">
        <v>699</v>
      </c>
      <c r="Q4058" s="15" t="s">
        <v>3381</v>
      </c>
      <c r="R4058" s="11" t="s">
        <v>2514</v>
      </c>
      <c r="S4058" s="5">
        <v>50</v>
      </c>
    </row>
    <row r="4059" spans="1:19" ht="63.75">
      <c r="A4059" s="5">
        <v>4044</v>
      </c>
      <c r="B4059" s="15" t="s">
        <v>710</v>
      </c>
      <c r="C4059" s="5" t="s">
        <v>711</v>
      </c>
      <c r="D4059" s="15" t="s">
        <v>3383</v>
      </c>
      <c r="E4059" s="31" t="s">
        <v>1529</v>
      </c>
      <c r="F4059" s="31" t="s">
        <v>1529</v>
      </c>
      <c r="G4059" s="31" t="s">
        <v>3384</v>
      </c>
      <c r="H4059" s="31" t="s">
        <v>3385</v>
      </c>
      <c r="I4059" s="31" t="s">
        <v>1529</v>
      </c>
      <c r="J4059" s="31" t="s">
        <v>1529</v>
      </c>
      <c r="K4059" s="57" t="s">
        <v>591</v>
      </c>
      <c r="L4059" s="31" t="s">
        <v>644</v>
      </c>
      <c r="M4059" s="5">
        <v>2</v>
      </c>
      <c r="N4059" s="46">
        <f t="shared" si="107"/>
        <v>10000</v>
      </c>
      <c r="O4059" s="83">
        <v>20000</v>
      </c>
      <c r="P4059" s="5" t="s">
        <v>699</v>
      </c>
      <c r="Q4059" s="15" t="s">
        <v>3381</v>
      </c>
      <c r="R4059" s="11" t="s">
        <v>2514</v>
      </c>
      <c r="S4059" s="5">
        <v>50</v>
      </c>
    </row>
    <row r="4060" spans="1:19" s="13" customFormat="1" ht="76.5">
      <c r="A4060" s="4">
        <v>4045</v>
      </c>
      <c r="B4060" s="15" t="s">
        <v>710</v>
      </c>
      <c r="C4060" s="30" t="s">
        <v>711</v>
      </c>
      <c r="D4060" s="15" t="s">
        <v>723</v>
      </c>
      <c r="E4060" s="57" t="s">
        <v>874</v>
      </c>
      <c r="F4060" s="57" t="s">
        <v>874</v>
      </c>
      <c r="G4060" s="57" t="s">
        <v>875</v>
      </c>
      <c r="H4060" s="57" t="s">
        <v>876</v>
      </c>
      <c r="I4060" s="57" t="s">
        <v>2085</v>
      </c>
      <c r="J4060" s="57" t="s">
        <v>339</v>
      </c>
      <c r="K4060" s="57" t="s">
        <v>591</v>
      </c>
      <c r="L4060" s="31" t="s">
        <v>644</v>
      </c>
      <c r="M4060" s="22">
        <v>2</v>
      </c>
      <c r="N4060" s="46">
        <f t="shared" si="107"/>
        <v>21600</v>
      </c>
      <c r="O4060" s="49">
        <v>43200</v>
      </c>
      <c r="P4060" s="5" t="s">
        <v>699</v>
      </c>
      <c r="Q4060" s="15" t="s">
        <v>3381</v>
      </c>
      <c r="R4060" s="11" t="s">
        <v>2514</v>
      </c>
      <c r="S4060" s="22">
        <v>50</v>
      </c>
    </row>
    <row r="4061" spans="1:19" s="13" customFormat="1" ht="102">
      <c r="A4061" s="5">
        <v>4046</v>
      </c>
      <c r="B4061" s="15" t="s">
        <v>710</v>
      </c>
      <c r="C4061" s="30" t="s">
        <v>711</v>
      </c>
      <c r="D4061" s="15" t="s">
        <v>716</v>
      </c>
      <c r="E4061" s="57" t="s">
        <v>874</v>
      </c>
      <c r="F4061" s="57" t="s">
        <v>874</v>
      </c>
      <c r="G4061" s="57" t="s">
        <v>877</v>
      </c>
      <c r="H4061" s="57" t="s">
        <v>718</v>
      </c>
      <c r="I4061" s="57" t="s">
        <v>2086</v>
      </c>
      <c r="J4061" s="57" t="s">
        <v>340</v>
      </c>
      <c r="K4061" s="57" t="s">
        <v>591</v>
      </c>
      <c r="L4061" s="31" t="s">
        <v>644</v>
      </c>
      <c r="M4061" s="22">
        <v>2</v>
      </c>
      <c r="N4061" s="46">
        <f t="shared" si="107"/>
        <v>20300</v>
      </c>
      <c r="O4061" s="49">
        <v>40600</v>
      </c>
      <c r="P4061" s="5" t="s">
        <v>699</v>
      </c>
      <c r="Q4061" s="15" t="s">
        <v>3381</v>
      </c>
      <c r="R4061" s="11" t="s">
        <v>2514</v>
      </c>
      <c r="S4061" s="22">
        <v>50</v>
      </c>
    </row>
    <row r="4062" spans="1:19" s="113" customFormat="1" ht="204">
      <c r="A4062" s="4">
        <v>4047</v>
      </c>
      <c r="B4062" s="15" t="s">
        <v>710</v>
      </c>
      <c r="C4062" s="31" t="s">
        <v>597</v>
      </c>
      <c r="D4062" s="5" t="s">
        <v>3526</v>
      </c>
      <c r="E4062" s="57" t="s">
        <v>1942</v>
      </c>
      <c r="F4062" s="57" t="s">
        <v>1428</v>
      </c>
      <c r="G4062" s="57" t="s">
        <v>3527</v>
      </c>
      <c r="H4062" s="57" t="s">
        <v>3528</v>
      </c>
      <c r="I4062" s="57" t="s">
        <v>3529</v>
      </c>
      <c r="J4062" s="57" t="s">
        <v>3530</v>
      </c>
      <c r="K4062" s="57" t="s">
        <v>591</v>
      </c>
      <c r="L4062" s="11" t="s">
        <v>914</v>
      </c>
      <c r="M4062" s="22">
        <v>1</v>
      </c>
      <c r="N4062" s="46">
        <f>O4062/M4062</f>
        <v>3307142.84</v>
      </c>
      <c r="O4062" s="49">
        <v>3307142.84</v>
      </c>
      <c r="P4062" s="5" t="s">
        <v>699</v>
      </c>
      <c r="Q4062" s="5" t="s">
        <v>766</v>
      </c>
      <c r="R4062" s="31" t="s">
        <v>1175</v>
      </c>
      <c r="S4062" s="5">
        <v>0</v>
      </c>
    </row>
    <row r="4063" spans="1:19" s="113" customFormat="1" ht="165.75">
      <c r="A4063" s="5">
        <v>4048</v>
      </c>
      <c r="B4063" s="15" t="s">
        <v>710</v>
      </c>
      <c r="C4063" s="31" t="s">
        <v>597</v>
      </c>
      <c r="D4063" s="5" t="s">
        <v>3531</v>
      </c>
      <c r="E4063" s="57" t="s">
        <v>3532</v>
      </c>
      <c r="F4063" s="57" t="s">
        <v>3533</v>
      </c>
      <c r="G4063" s="57" t="s">
        <v>3534</v>
      </c>
      <c r="H4063" s="57" t="s">
        <v>3535</v>
      </c>
      <c r="I4063" s="57" t="s">
        <v>3552</v>
      </c>
      <c r="J4063" s="57" t="s">
        <v>3551</v>
      </c>
      <c r="K4063" s="57" t="s">
        <v>591</v>
      </c>
      <c r="L4063" s="11" t="s">
        <v>914</v>
      </c>
      <c r="M4063" s="22">
        <v>1</v>
      </c>
      <c r="N4063" s="46">
        <f>O4063/M4063</f>
        <v>1678571.45</v>
      </c>
      <c r="O4063" s="49">
        <v>1678571.45</v>
      </c>
      <c r="P4063" s="5" t="s">
        <v>588</v>
      </c>
      <c r="Q4063" s="5" t="s">
        <v>766</v>
      </c>
      <c r="R4063" s="31" t="s">
        <v>1175</v>
      </c>
      <c r="S4063" s="5">
        <v>0</v>
      </c>
    </row>
    <row r="4064" spans="1:19" s="113" customFormat="1" ht="114.75">
      <c r="A4064" s="4">
        <v>4049</v>
      </c>
      <c r="B4064" s="15" t="s">
        <v>710</v>
      </c>
      <c r="C4064" s="31" t="s">
        <v>597</v>
      </c>
      <c r="D4064" s="5" t="s">
        <v>3536</v>
      </c>
      <c r="E4064" s="57" t="s">
        <v>3537</v>
      </c>
      <c r="F4064" s="57" t="s">
        <v>3538</v>
      </c>
      <c r="G4064" s="57" t="s">
        <v>3539</v>
      </c>
      <c r="H4064" s="57" t="s">
        <v>3540</v>
      </c>
      <c r="I4064" s="57" t="s">
        <v>3541</v>
      </c>
      <c r="J4064" s="57" t="s">
        <v>3542</v>
      </c>
      <c r="K4064" s="57" t="s">
        <v>591</v>
      </c>
      <c r="L4064" s="11" t="s">
        <v>914</v>
      </c>
      <c r="M4064" s="22">
        <v>1</v>
      </c>
      <c r="N4064" s="46">
        <f>O4064/M4064</f>
        <v>3303571.43</v>
      </c>
      <c r="O4064" s="49">
        <v>3303571.43</v>
      </c>
      <c r="P4064" s="5" t="s">
        <v>699</v>
      </c>
      <c r="Q4064" s="5" t="s">
        <v>766</v>
      </c>
      <c r="R4064" s="31" t="s">
        <v>1175</v>
      </c>
      <c r="S4064" s="5">
        <v>0</v>
      </c>
    </row>
    <row r="4065" spans="1:19" s="113" customFormat="1" ht="51">
      <c r="A4065" s="4">
        <v>4050</v>
      </c>
      <c r="B4065" s="15" t="s">
        <v>710</v>
      </c>
      <c r="C4065" s="31" t="s">
        <v>597</v>
      </c>
      <c r="D4065" s="5" t="s">
        <v>3543</v>
      </c>
      <c r="E4065" s="57" t="s">
        <v>3545</v>
      </c>
      <c r="F4065" s="57" t="s">
        <v>3544</v>
      </c>
      <c r="G4065" s="57" t="s">
        <v>3545</v>
      </c>
      <c r="H4065" s="57" t="s">
        <v>3544</v>
      </c>
      <c r="I4065" s="57" t="s">
        <v>3545</v>
      </c>
      <c r="J4065" s="57" t="s">
        <v>3544</v>
      </c>
      <c r="K4065" s="57" t="s">
        <v>591</v>
      </c>
      <c r="L4065" s="11" t="s">
        <v>914</v>
      </c>
      <c r="M4065" s="22">
        <v>1</v>
      </c>
      <c r="N4065" s="46">
        <f>O4065/M4065</f>
        <v>500000</v>
      </c>
      <c r="O4065" s="49">
        <v>500000</v>
      </c>
      <c r="P4065" s="5" t="s">
        <v>699</v>
      </c>
      <c r="Q4065" s="5" t="s">
        <v>766</v>
      </c>
      <c r="R4065" s="31" t="s">
        <v>1175</v>
      </c>
      <c r="S4065" s="5">
        <v>0</v>
      </c>
    </row>
    <row r="4066" spans="1:19" s="113" customFormat="1" ht="38.25">
      <c r="A4066" s="4">
        <v>4051</v>
      </c>
      <c r="B4066" s="15" t="s">
        <v>710</v>
      </c>
      <c r="C4066" s="31" t="s">
        <v>597</v>
      </c>
      <c r="D4066" s="5" t="s">
        <v>3546</v>
      </c>
      <c r="E4066" s="57" t="s">
        <v>3550</v>
      </c>
      <c r="F4066" s="57" t="s">
        <v>3547</v>
      </c>
      <c r="G4066" s="57" t="s">
        <v>3549</v>
      </c>
      <c r="H4066" s="57" t="s">
        <v>3548</v>
      </c>
      <c r="I4066" s="57" t="s">
        <v>3550</v>
      </c>
      <c r="J4066" s="57" t="s">
        <v>3547</v>
      </c>
      <c r="K4066" s="57" t="s">
        <v>591</v>
      </c>
      <c r="L4066" s="11" t="s">
        <v>914</v>
      </c>
      <c r="M4066" s="22">
        <v>1</v>
      </c>
      <c r="N4066" s="46">
        <f>O4066/M4066</f>
        <v>550000</v>
      </c>
      <c r="O4066" s="49">
        <v>550000</v>
      </c>
      <c r="P4066" s="5" t="s">
        <v>699</v>
      </c>
      <c r="Q4066" s="5" t="s">
        <v>699</v>
      </c>
      <c r="R4066" s="31">
        <v>511000000</v>
      </c>
      <c r="S4066" s="5">
        <v>100</v>
      </c>
    </row>
    <row r="4067" spans="1:19" s="7" customFormat="1" ht="51">
      <c r="A4067" s="5">
        <v>4052</v>
      </c>
      <c r="B4067" s="15" t="s">
        <v>710</v>
      </c>
      <c r="C4067" s="5" t="s">
        <v>597</v>
      </c>
      <c r="D4067" s="15" t="s">
        <v>3553</v>
      </c>
      <c r="E4067" s="31" t="s">
        <v>2927</v>
      </c>
      <c r="F4067" s="31" t="s">
        <v>2913</v>
      </c>
      <c r="G4067" s="31" t="s">
        <v>2928</v>
      </c>
      <c r="H4067" s="31" t="s">
        <v>2914</v>
      </c>
      <c r="I4067" s="31" t="s">
        <v>3555</v>
      </c>
      <c r="J4067" s="31" t="s">
        <v>3554</v>
      </c>
      <c r="K4067" s="57" t="s">
        <v>591</v>
      </c>
      <c r="L4067" s="31" t="s">
        <v>914</v>
      </c>
      <c r="M4067" s="6">
        <v>1</v>
      </c>
      <c r="N4067" s="71">
        <f t="shared" ref="N4067" si="108">O4067/M4067</f>
        <v>1071429</v>
      </c>
      <c r="O4067" s="71">
        <v>1071429</v>
      </c>
      <c r="P4067" s="5" t="s">
        <v>588</v>
      </c>
      <c r="Q4067" s="5" t="s">
        <v>3556</v>
      </c>
      <c r="R4067" s="11">
        <v>751110000</v>
      </c>
      <c r="S4067" s="5">
        <v>0</v>
      </c>
    </row>
    <row r="4068" spans="1:19" ht="51" outlineLevel="1">
      <c r="A4068" s="4">
        <v>4053</v>
      </c>
      <c r="B4068" s="15" t="s">
        <v>710</v>
      </c>
      <c r="C4068" s="5" t="s">
        <v>597</v>
      </c>
      <c r="D4068" s="5" t="s">
        <v>3557</v>
      </c>
      <c r="E4068" s="57" t="s">
        <v>3561</v>
      </c>
      <c r="F4068" s="57" t="s">
        <v>3558</v>
      </c>
      <c r="G4068" s="57" t="s">
        <v>3562</v>
      </c>
      <c r="H4068" s="57" t="s">
        <v>3559</v>
      </c>
      <c r="I4068" s="57" t="s">
        <v>3563</v>
      </c>
      <c r="J4068" s="57" t="s">
        <v>3560</v>
      </c>
      <c r="K4068" s="57" t="s">
        <v>591</v>
      </c>
      <c r="L4068" s="11" t="s">
        <v>914</v>
      </c>
      <c r="M4068" s="22">
        <v>1</v>
      </c>
      <c r="N4068" s="46">
        <f>O4068/M4068</f>
        <v>1330924</v>
      </c>
      <c r="O4068" s="49">
        <f>2204418-873494</f>
        <v>1330924</v>
      </c>
      <c r="P4068" s="5" t="s">
        <v>506</v>
      </c>
      <c r="Q4068" s="5" t="s">
        <v>3556</v>
      </c>
      <c r="R4068" s="11" t="s">
        <v>1175</v>
      </c>
      <c r="S4068" s="22">
        <v>0</v>
      </c>
    </row>
    <row r="4069" spans="1:19" s="26" customFormat="1" ht="89.25">
      <c r="A4069" s="5">
        <v>4054</v>
      </c>
      <c r="B4069" s="5" t="s">
        <v>710</v>
      </c>
      <c r="C4069" s="42" t="s">
        <v>597</v>
      </c>
      <c r="D4069" s="77" t="s">
        <v>1934</v>
      </c>
      <c r="E4069" s="5" t="s">
        <v>508</v>
      </c>
      <c r="F4069" s="57" t="s">
        <v>509</v>
      </c>
      <c r="G4069" s="5" t="s">
        <v>1935</v>
      </c>
      <c r="H4069" s="57" t="s">
        <v>1041</v>
      </c>
      <c r="I4069" s="5" t="s">
        <v>3573</v>
      </c>
      <c r="J4069" s="5" t="s">
        <v>3565</v>
      </c>
      <c r="K4069" s="57" t="s">
        <v>591</v>
      </c>
      <c r="L4069" s="5" t="s">
        <v>914</v>
      </c>
      <c r="M4069" s="5">
        <v>1</v>
      </c>
      <c r="N4069" s="46">
        <f t="shared" ref="N4069" si="109">O4069/M4069</f>
        <v>1500000</v>
      </c>
      <c r="O4069" s="46">
        <v>1500000</v>
      </c>
      <c r="P4069" s="5" t="s">
        <v>699</v>
      </c>
      <c r="Q4069" s="5" t="s">
        <v>2368</v>
      </c>
      <c r="R4069" s="110">
        <v>751110000</v>
      </c>
      <c r="S4069" s="5">
        <v>50</v>
      </c>
    </row>
    <row r="4070" spans="1:19" ht="63.75" outlineLevel="1">
      <c r="A4070" s="4">
        <v>4055</v>
      </c>
      <c r="B4070" s="29" t="s">
        <v>710</v>
      </c>
      <c r="C4070" s="35" t="s">
        <v>597</v>
      </c>
      <c r="D4070" s="5" t="s">
        <v>3566</v>
      </c>
      <c r="E4070" s="57" t="s">
        <v>3568</v>
      </c>
      <c r="F4070" s="57" t="s">
        <v>3567</v>
      </c>
      <c r="G4070" s="57" t="s">
        <v>3570</v>
      </c>
      <c r="H4070" s="57" t="s">
        <v>3569</v>
      </c>
      <c r="I4070" s="57" t="s">
        <v>3572</v>
      </c>
      <c r="J4070" s="57" t="s">
        <v>3571</v>
      </c>
      <c r="K4070" s="57" t="s">
        <v>591</v>
      </c>
      <c r="L4070" s="11" t="s">
        <v>914</v>
      </c>
      <c r="M4070" s="22">
        <v>1</v>
      </c>
      <c r="N4070" s="46">
        <f>O4070</f>
        <v>3071000</v>
      </c>
      <c r="O4070" s="49">
        <v>3071000</v>
      </c>
      <c r="P4070" s="5" t="s">
        <v>699</v>
      </c>
      <c r="Q4070" s="5" t="s">
        <v>2368</v>
      </c>
      <c r="R4070" s="110">
        <v>751110000</v>
      </c>
      <c r="S4070" s="5">
        <v>100</v>
      </c>
    </row>
    <row r="4071" spans="1:19" s="7" customFormat="1" ht="76.5">
      <c r="A4071" s="5">
        <v>4056</v>
      </c>
      <c r="B4071" s="29" t="s">
        <v>710</v>
      </c>
      <c r="C4071" s="30" t="s">
        <v>597</v>
      </c>
      <c r="D4071" s="31" t="s">
        <v>3574</v>
      </c>
      <c r="E4071" s="31" t="s">
        <v>3575</v>
      </c>
      <c r="F4071" s="31" t="s">
        <v>3576</v>
      </c>
      <c r="G4071" s="31" t="s">
        <v>3575</v>
      </c>
      <c r="H4071" s="31" t="s">
        <v>3576</v>
      </c>
      <c r="I4071" s="5" t="s">
        <v>3578</v>
      </c>
      <c r="J4071" s="5" t="s">
        <v>3577</v>
      </c>
      <c r="K4071" s="5" t="s">
        <v>591</v>
      </c>
      <c r="L4071" s="11" t="s">
        <v>914</v>
      </c>
      <c r="M4071" s="6">
        <v>1</v>
      </c>
      <c r="N4071" s="71">
        <f>O4071/M4071</f>
        <v>2500000</v>
      </c>
      <c r="O4071" s="71">
        <v>2500000</v>
      </c>
      <c r="P4071" s="5" t="s">
        <v>699</v>
      </c>
      <c r="Q4071" s="5" t="s">
        <v>2368</v>
      </c>
      <c r="R4071" s="31" t="s">
        <v>1175</v>
      </c>
      <c r="S4071" s="5">
        <v>100</v>
      </c>
    </row>
    <row r="4072" spans="1:19" s="26" customFormat="1" ht="140.25">
      <c r="A4072" s="4">
        <v>4057</v>
      </c>
      <c r="B4072" s="5" t="s">
        <v>710</v>
      </c>
      <c r="C4072" s="42" t="s">
        <v>597</v>
      </c>
      <c r="D4072" s="77" t="s">
        <v>2587</v>
      </c>
      <c r="E4072" s="78" t="s">
        <v>2613</v>
      </c>
      <c r="F4072" s="57" t="s">
        <v>2588</v>
      </c>
      <c r="G4072" s="5" t="s">
        <v>2613</v>
      </c>
      <c r="H4072" s="57" t="s">
        <v>2588</v>
      </c>
      <c r="I4072" s="5" t="s">
        <v>3580</v>
      </c>
      <c r="J4072" s="5" t="s">
        <v>3579</v>
      </c>
      <c r="K4072" s="5" t="s">
        <v>591</v>
      </c>
      <c r="L4072" s="5" t="s">
        <v>914</v>
      </c>
      <c r="M4072" s="5">
        <v>1</v>
      </c>
      <c r="N4072" s="46">
        <f t="shared" ref="N4072:N4077" si="110">O4072/M4072</f>
        <v>3302000</v>
      </c>
      <c r="O4072" s="46">
        <v>3302000</v>
      </c>
      <c r="P4072" s="5" t="s">
        <v>588</v>
      </c>
      <c r="Q4072" s="5" t="s">
        <v>3013</v>
      </c>
      <c r="R4072" s="110">
        <v>751110000</v>
      </c>
      <c r="S4072" s="5">
        <v>50</v>
      </c>
    </row>
    <row r="4073" spans="1:19" s="26" customFormat="1" ht="139.5" customHeight="1">
      <c r="A4073" s="5">
        <v>4058</v>
      </c>
      <c r="B4073" s="5" t="s">
        <v>710</v>
      </c>
      <c r="C4073" s="42" t="s">
        <v>597</v>
      </c>
      <c r="D4073" s="77" t="s">
        <v>2590</v>
      </c>
      <c r="E4073" s="78" t="s">
        <v>2643</v>
      </c>
      <c r="F4073" s="57" t="s">
        <v>2642</v>
      </c>
      <c r="G4073" s="5" t="s">
        <v>2614</v>
      </c>
      <c r="H4073" s="57" t="s">
        <v>2644</v>
      </c>
      <c r="I4073" s="5" t="s">
        <v>3582</v>
      </c>
      <c r="J4073" s="5" t="s">
        <v>3581</v>
      </c>
      <c r="K4073" s="5" t="s">
        <v>591</v>
      </c>
      <c r="L4073" s="5" t="s">
        <v>914</v>
      </c>
      <c r="M4073" s="5">
        <v>1</v>
      </c>
      <c r="N4073" s="46">
        <f t="shared" si="110"/>
        <v>3300500</v>
      </c>
      <c r="O4073" s="46">
        <v>3300500</v>
      </c>
      <c r="P4073" s="5" t="s">
        <v>588</v>
      </c>
      <c r="Q4073" s="5" t="s">
        <v>3013</v>
      </c>
      <c r="R4073" s="110">
        <v>751110000</v>
      </c>
      <c r="S4073" s="5">
        <v>50</v>
      </c>
    </row>
    <row r="4074" spans="1:19" s="26" customFormat="1" ht="57.75" customHeight="1">
      <c r="A4074" s="4">
        <v>4059</v>
      </c>
      <c r="B4074" s="5" t="s">
        <v>710</v>
      </c>
      <c r="C4074" s="42" t="s">
        <v>597</v>
      </c>
      <c r="D4074" s="77" t="s">
        <v>2605</v>
      </c>
      <c r="E4074" s="5" t="s">
        <v>2662</v>
      </c>
      <c r="F4074" s="57" t="s">
        <v>2606</v>
      </c>
      <c r="G4074" s="5" t="s">
        <v>2663</v>
      </c>
      <c r="H4074" s="57" t="s">
        <v>2607</v>
      </c>
      <c r="I4074" s="5" t="s">
        <v>3584</v>
      </c>
      <c r="J4074" s="5" t="s">
        <v>3583</v>
      </c>
      <c r="K4074" s="57" t="s">
        <v>591</v>
      </c>
      <c r="L4074" s="5" t="s">
        <v>914</v>
      </c>
      <c r="M4074" s="5">
        <v>1</v>
      </c>
      <c r="N4074" s="46">
        <f t="shared" si="110"/>
        <v>1875000</v>
      </c>
      <c r="O4074" s="46">
        <v>1875000</v>
      </c>
      <c r="P4074" s="5" t="s">
        <v>699</v>
      </c>
      <c r="Q4074" s="5" t="s">
        <v>2368</v>
      </c>
      <c r="R4074" s="110">
        <v>751110000</v>
      </c>
      <c r="S4074" s="5">
        <v>50</v>
      </c>
    </row>
    <row r="4075" spans="1:19" s="26" customFormat="1" ht="90" customHeight="1">
      <c r="A4075" s="5">
        <v>4060</v>
      </c>
      <c r="B4075" s="5" t="s">
        <v>710</v>
      </c>
      <c r="C4075" s="42" t="s">
        <v>597</v>
      </c>
      <c r="D4075" s="77" t="s">
        <v>3585</v>
      </c>
      <c r="E4075" s="5" t="s">
        <v>3532</v>
      </c>
      <c r="F4075" s="57" t="s">
        <v>3533</v>
      </c>
      <c r="G4075" s="5" t="s">
        <v>3588</v>
      </c>
      <c r="H4075" s="57" t="s">
        <v>3586</v>
      </c>
      <c r="I4075" s="5" t="s">
        <v>3589</v>
      </c>
      <c r="J4075" s="5" t="s">
        <v>3587</v>
      </c>
      <c r="K4075" s="57" t="s">
        <v>591</v>
      </c>
      <c r="L4075" s="5" t="s">
        <v>914</v>
      </c>
      <c r="M4075" s="5">
        <v>1</v>
      </c>
      <c r="N4075" s="46">
        <f t="shared" si="110"/>
        <v>500000</v>
      </c>
      <c r="O4075" s="46">
        <v>500000</v>
      </c>
      <c r="P4075" s="5" t="s">
        <v>506</v>
      </c>
      <c r="Q4075" s="5" t="s">
        <v>3013</v>
      </c>
      <c r="R4075" s="110">
        <v>751110000</v>
      </c>
      <c r="S4075" s="5">
        <v>100</v>
      </c>
    </row>
    <row r="4076" spans="1:19" s="26" customFormat="1" ht="51">
      <c r="A4076" s="4">
        <v>4061</v>
      </c>
      <c r="B4076" s="5" t="s">
        <v>710</v>
      </c>
      <c r="C4076" s="42" t="s">
        <v>597</v>
      </c>
      <c r="D4076" s="77" t="s">
        <v>3599</v>
      </c>
      <c r="E4076" s="78" t="s">
        <v>3601</v>
      </c>
      <c r="F4076" s="57" t="s">
        <v>3600</v>
      </c>
      <c r="G4076" s="78" t="s">
        <v>3601</v>
      </c>
      <c r="H4076" s="57" t="s">
        <v>3600</v>
      </c>
      <c r="I4076" s="78" t="s">
        <v>3601</v>
      </c>
      <c r="J4076" s="57" t="s">
        <v>3600</v>
      </c>
      <c r="K4076" s="5" t="s">
        <v>591</v>
      </c>
      <c r="L4076" s="5" t="s">
        <v>914</v>
      </c>
      <c r="M4076" s="5">
        <v>1</v>
      </c>
      <c r="N4076" s="46">
        <f t="shared" si="110"/>
        <v>3200000</v>
      </c>
      <c r="O4076" s="46">
        <v>3200000</v>
      </c>
      <c r="P4076" s="5" t="s">
        <v>506</v>
      </c>
      <c r="Q4076" s="5" t="s">
        <v>766</v>
      </c>
      <c r="R4076" s="110">
        <v>751110000</v>
      </c>
      <c r="S4076" s="5">
        <v>20</v>
      </c>
    </row>
    <row r="4077" spans="1:19" s="13" customFormat="1" ht="64.5" customHeight="1">
      <c r="A4077" s="5">
        <v>4062</v>
      </c>
      <c r="B4077" s="15" t="s">
        <v>941</v>
      </c>
      <c r="C4077" s="5" t="s">
        <v>711</v>
      </c>
      <c r="D4077" s="11" t="s">
        <v>3406</v>
      </c>
      <c r="E4077" s="57" t="s">
        <v>3409</v>
      </c>
      <c r="F4077" s="57" t="s">
        <v>1222</v>
      </c>
      <c r="G4077" s="57" t="s">
        <v>3410</v>
      </c>
      <c r="H4077" s="57" t="s">
        <v>3407</v>
      </c>
      <c r="I4077" s="57" t="s">
        <v>3591</v>
      </c>
      <c r="J4077" s="57" t="s">
        <v>3590</v>
      </c>
      <c r="K4077" s="5" t="s">
        <v>591</v>
      </c>
      <c r="L4077" s="31" t="s">
        <v>644</v>
      </c>
      <c r="M4077" s="22">
        <v>1</v>
      </c>
      <c r="N4077" s="46">
        <f t="shared" si="110"/>
        <v>22028571</v>
      </c>
      <c r="O4077" s="49">
        <v>22028571</v>
      </c>
      <c r="P4077" s="5" t="s">
        <v>506</v>
      </c>
      <c r="Q4077" s="5" t="s">
        <v>2500</v>
      </c>
      <c r="R4077" s="11" t="s">
        <v>1175</v>
      </c>
      <c r="S4077" s="22">
        <v>0</v>
      </c>
    </row>
    <row r="4078" spans="1:19" ht="51">
      <c r="A4078" s="4">
        <v>4063</v>
      </c>
      <c r="B4078" s="29" t="s">
        <v>710</v>
      </c>
      <c r="C4078" s="30" t="s">
        <v>711</v>
      </c>
      <c r="D4078" s="109" t="s">
        <v>3593</v>
      </c>
      <c r="E4078" s="57" t="s">
        <v>3595</v>
      </c>
      <c r="F4078" s="57" t="s">
        <v>3594</v>
      </c>
      <c r="G4078" s="57" t="s">
        <v>3596</v>
      </c>
      <c r="H4078" s="57" t="s">
        <v>2805</v>
      </c>
      <c r="I4078" s="57" t="s">
        <v>3598</v>
      </c>
      <c r="J4078" s="57" t="s">
        <v>3597</v>
      </c>
      <c r="K4078" s="57" t="s">
        <v>591</v>
      </c>
      <c r="L4078" s="31" t="s">
        <v>644</v>
      </c>
      <c r="M4078" s="22">
        <v>1</v>
      </c>
      <c r="N4078" s="46">
        <f>O4078/M4078</f>
        <v>32589</v>
      </c>
      <c r="O4078" s="49">
        <v>32589</v>
      </c>
      <c r="P4078" s="5" t="s">
        <v>699</v>
      </c>
      <c r="Q4078" s="5" t="s">
        <v>2939</v>
      </c>
      <c r="R4078" s="11" t="s">
        <v>1021</v>
      </c>
      <c r="S4078" s="22">
        <v>100</v>
      </c>
    </row>
    <row r="4079" spans="1:19" s="13" customFormat="1" ht="25.5">
      <c r="A4079" s="5">
        <v>4064</v>
      </c>
      <c r="B4079" s="29" t="s">
        <v>710</v>
      </c>
      <c r="C4079" s="5" t="s">
        <v>711</v>
      </c>
      <c r="D4079" s="11" t="s">
        <v>3603</v>
      </c>
      <c r="E4079" s="57" t="s">
        <v>3602</v>
      </c>
      <c r="F4079" s="57" t="s">
        <v>3602</v>
      </c>
      <c r="G4079" s="57" t="s">
        <v>3605</v>
      </c>
      <c r="H4079" s="57" t="s">
        <v>3604</v>
      </c>
      <c r="I4079" s="57" t="s">
        <v>3602</v>
      </c>
      <c r="J4079" s="57" t="s">
        <v>3602</v>
      </c>
      <c r="K4079" s="5" t="s">
        <v>591</v>
      </c>
      <c r="L4079" s="31" t="s">
        <v>644</v>
      </c>
      <c r="M4079" s="22">
        <v>2</v>
      </c>
      <c r="N4079" s="46">
        <f t="shared" ref="N4079" si="111">O4079/M4079</f>
        <v>61250</v>
      </c>
      <c r="O4079" s="49">
        <v>122500</v>
      </c>
      <c r="P4079" s="5" t="s">
        <v>588</v>
      </c>
      <c r="Q4079" s="5" t="s">
        <v>506</v>
      </c>
      <c r="R4079" s="11" t="s">
        <v>789</v>
      </c>
      <c r="S4079" s="22">
        <v>100</v>
      </c>
    </row>
    <row r="4080" spans="1:19" ht="51" outlineLevel="1">
      <c r="A4080" s="4">
        <v>4065</v>
      </c>
      <c r="B4080" s="29" t="s">
        <v>710</v>
      </c>
      <c r="C4080" s="35" t="s">
        <v>1464</v>
      </c>
      <c r="D4080" s="5" t="s">
        <v>3606</v>
      </c>
      <c r="E4080" s="57" t="s">
        <v>3609</v>
      </c>
      <c r="F4080" s="57" t="s">
        <v>3607</v>
      </c>
      <c r="G4080" s="57" t="s">
        <v>3609</v>
      </c>
      <c r="H4080" s="57" t="s">
        <v>3607</v>
      </c>
      <c r="I4080" s="57" t="s">
        <v>3610</v>
      </c>
      <c r="J4080" s="57" t="s">
        <v>3608</v>
      </c>
      <c r="K4080" s="57" t="s">
        <v>591</v>
      </c>
      <c r="L4080" s="35" t="s">
        <v>1464</v>
      </c>
      <c r="M4080" s="22">
        <v>1</v>
      </c>
      <c r="N4080" s="46">
        <f>O4080</f>
        <v>57500</v>
      </c>
      <c r="O4080" s="49">
        <v>57500</v>
      </c>
      <c r="P4080" s="5" t="s">
        <v>588</v>
      </c>
      <c r="Q4080" s="5" t="s">
        <v>506</v>
      </c>
      <c r="R4080" s="11" t="s">
        <v>789</v>
      </c>
      <c r="S4080" s="5">
        <v>100</v>
      </c>
    </row>
    <row r="4081" spans="1:19" s="26" customFormat="1" ht="51" collapsed="1">
      <c r="A4081" s="4">
        <v>4066</v>
      </c>
      <c r="B4081" s="5" t="s">
        <v>710</v>
      </c>
      <c r="C4081" s="42" t="s">
        <v>597</v>
      </c>
      <c r="D4081" s="77" t="s">
        <v>3611</v>
      </c>
      <c r="E4081" s="78" t="s">
        <v>3614</v>
      </c>
      <c r="F4081" s="57" t="s">
        <v>3612</v>
      </c>
      <c r="G4081" s="78" t="s">
        <v>3615</v>
      </c>
      <c r="H4081" s="57" t="s">
        <v>3613</v>
      </c>
      <c r="I4081" s="78" t="s">
        <v>3615</v>
      </c>
      <c r="J4081" s="57" t="s">
        <v>3613</v>
      </c>
      <c r="K4081" s="5" t="s">
        <v>591</v>
      </c>
      <c r="L4081" s="5" t="s">
        <v>914</v>
      </c>
      <c r="M4081" s="5">
        <v>1</v>
      </c>
      <c r="N4081" s="46">
        <f t="shared" ref="N4081:N4082" si="112">O4081/M4081</f>
        <v>500000</v>
      </c>
      <c r="O4081" s="46">
        <v>500000</v>
      </c>
      <c r="P4081" s="5" t="s">
        <v>699</v>
      </c>
      <c r="Q4081" s="5" t="s">
        <v>588</v>
      </c>
      <c r="R4081" s="110">
        <v>751110000</v>
      </c>
      <c r="S4081" s="5">
        <v>100</v>
      </c>
    </row>
    <row r="4082" spans="1:19" s="37" customFormat="1" ht="51">
      <c r="A4082" s="4">
        <v>4067</v>
      </c>
      <c r="B4082" s="15" t="s">
        <v>710</v>
      </c>
      <c r="C4082" s="5" t="s">
        <v>1464</v>
      </c>
      <c r="D4082" s="5" t="s">
        <v>2940</v>
      </c>
      <c r="E4082" s="5" t="s">
        <v>2957</v>
      </c>
      <c r="F4082" s="57" t="s">
        <v>2941</v>
      </c>
      <c r="G4082" s="5" t="s">
        <v>2957</v>
      </c>
      <c r="H4082" s="57" t="s">
        <v>2941</v>
      </c>
      <c r="I4082" s="57" t="s">
        <v>3617</v>
      </c>
      <c r="J4082" s="57" t="s">
        <v>3618</v>
      </c>
      <c r="K4082" s="57" t="s">
        <v>591</v>
      </c>
      <c r="L4082" s="11" t="s">
        <v>1464</v>
      </c>
      <c r="M4082" s="22">
        <v>1</v>
      </c>
      <c r="N4082" s="46">
        <f t="shared" si="112"/>
        <v>133929</v>
      </c>
      <c r="O4082" s="49">
        <v>133929</v>
      </c>
      <c r="P4082" s="31" t="s">
        <v>588</v>
      </c>
      <c r="Q4082" s="5" t="s">
        <v>2513</v>
      </c>
      <c r="R4082" s="11" t="s">
        <v>1021</v>
      </c>
      <c r="S4082" s="5">
        <v>0</v>
      </c>
    </row>
    <row r="4083" spans="1:19" ht="51">
      <c r="A4083" s="4">
        <v>4068</v>
      </c>
      <c r="B4083" s="29" t="s">
        <v>710</v>
      </c>
      <c r="C4083" s="30" t="s">
        <v>1464</v>
      </c>
      <c r="D4083" s="5" t="s">
        <v>3314</v>
      </c>
      <c r="E4083" s="5" t="s">
        <v>3323</v>
      </c>
      <c r="F4083" s="5" t="s">
        <v>3315</v>
      </c>
      <c r="G4083" s="5" t="s">
        <v>3323</v>
      </c>
      <c r="H4083" s="5" t="s">
        <v>3315</v>
      </c>
      <c r="I4083" s="57" t="s">
        <v>3619</v>
      </c>
      <c r="J4083" s="5" t="s">
        <v>3620</v>
      </c>
      <c r="K4083" s="57" t="s">
        <v>1484</v>
      </c>
      <c r="L4083" s="5" t="s">
        <v>1464</v>
      </c>
      <c r="M4083" s="9">
        <v>1</v>
      </c>
      <c r="N4083" s="46">
        <f>O4083/M4083</f>
        <v>4781850</v>
      </c>
      <c r="O4083" s="49">
        <v>4781850</v>
      </c>
      <c r="P4083" s="5" t="s">
        <v>588</v>
      </c>
      <c r="Q4083" s="5" t="s">
        <v>2425</v>
      </c>
      <c r="R4083" s="11" t="s">
        <v>1021</v>
      </c>
      <c r="S4083" s="9">
        <v>30</v>
      </c>
    </row>
    <row r="4084" spans="1:19" ht="51" outlineLevel="1">
      <c r="A4084" s="4">
        <v>4069</v>
      </c>
      <c r="B4084" s="29" t="s">
        <v>710</v>
      </c>
      <c r="C4084" s="5" t="s">
        <v>597</v>
      </c>
      <c r="D4084" s="11" t="s">
        <v>3621</v>
      </c>
      <c r="E4084" s="57" t="s">
        <v>3622</v>
      </c>
      <c r="F4084" s="57" t="s">
        <v>3623</v>
      </c>
      <c r="G4084" s="57" t="s">
        <v>3624</v>
      </c>
      <c r="H4084" s="57" t="s">
        <v>3625</v>
      </c>
      <c r="I4084" s="57" t="s">
        <v>3624</v>
      </c>
      <c r="J4084" s="57" t="s">
        <v>3625</v>
      </c>
      <c r="K4084" s="57" t="s">
        <v>591</v>
      </c>
      <c r="L4084" s="11" t="s">
        <v>914</v>
      </c>
      <c r="M4084" s="9">
        <v>1</v>
      </c>
      <c r="N4084" s="46">
        <f>O4084/M4084</f>
        <v>90000</v>
      </c>
      <c r="O4084" s="49">
        <v>90000</v>
      </c>
      <c r="P4084" s="14" t="s">
        <v>588</v>
      </c>
      <c r="Q4084" s="5" t="s">
        <v>2491</v>
      </c>
      <c r="R4084" s="11" t="s">
        <v>1175</v>
      </c>
      <c r="S4084" s="14">
        <v>0</v>
      </c>
    </row>
    <row r="4085" spans="1:19" ht="37.5" customHeight="1">
      <c r="A4085" s="4">
        <v>4070</v>
      </c>
      <c r="B4085" s="29" t="s">
        <v>710</v>
      </c>
      <c r="C4085" s="30" t="s">
        <v>711</v>
      </c>
      <c r="D4085" s="5" t="s">
        <v>1416</v>
      </c>
      <c r="E4085" s="57" t="s">
        <v>1417</v>
      </c>
      <c r="F4085" s="57" t="s">
        <v>1418</v>
      </c>
      <c r="G4085" s="57" t="s">
        <v>1419</v>
      </c>
      <c r="H4085" s="57" t="s">
        <v>1420</v>
      </c>
      <c r="I4085" s="57" t="s">
        <v>3626</v>
      </c>
      <c r="J4085" s="57" t="s">
        <v>3627</v>
      </c>
      <c r="K4085" s="57" t="s">
        <v>1485</v>
      </c>
      <c r="L4085" s="11" t="s">
        <v>629</v>
      </c>
      <c r="M4085" s="22">
        <v>2300</v>
      </c>
      <c r="N4085" s="46">
        <f>O4085/M4085</f>
        <v>128105.59</v>
      </c>
      <c r="O4085" s="49">
        <f>370461000-75818143</f>
        <v>294642857</v>
      </c>
      <c r="P4085" s="5" t="s">
        <v>506</v>
      </c>
      <c r="Q4085" s="5" t="s">
        <v>3729</v>
      </c>
      <c r="R4085" s="11" t="s">
        <v>2024</v>
      </c>
      <c r="S4085" s="22">
        <v>0</v>
      </c>
    </row>
    <row r="4086" spans="1:19" s="7" customFormat="1" ht="38.25">
      <c r="A4086" s="116">
        <v>4071</v>
      </c>
      <c r="B4086" s="29" t="s">
        <v>710</v>
      </c>
      <c r="C4086" s="35" t="s">
        <v>597</v>
      </c>
      <c r="D4086" s="5" t="s">
        <v>503</v>
      </c>
      <c r="E4086" s="31" t="s">
        <v>504</v>
      </c>
      <c r="F4086" s="31" t="s">
        <v>505</v>
      </c>
      <c r="G4086" s="31" t="s">
        <v>504</v>
      </c>
      <c r="H4086" s="31" t="s">
        <v>505</v>
      </c>
      <c r="I4086" s="31" t="s">
        <v>504</v>
      </c>
      <c r="J4086" s="31" t="s">
        <v>505</v>
      </c>
      <c r="K4086" s="5" t="s">
        <v>591</v>
      </c>
      <c r="L4086" s="11" t="s">
        <v>914</v>
      </c>
      <c r="M4086" s="6">
        <v>1</v>
      </c>
      <c r="N4086" s="71">
        <f>O4086/M4086</f>
        <v>800000</v>
      </c>
      <c r="O4086" s="71">
        <v>800000</v>
      </c>
      <c r="P4086" s="5" t="s">
        <v>588</v>
      </c>
      <c r="Q4086" s="5" t="s">
        <v>3628</v>
      </c>
      <c r="R4086" s="5" t="s">
        <v>1175</v>
      </c>
      <c r="S4086" s="5">
        <v>100</v>
      </c>
    </row>
    <row r="4087" spans="1:19" s="13" customFormat="1" ht="51">
      <c r="A4087" s="5">
        <v>4072</v>
      </c>
      <c r="B4087" s="29" t="s">
        <v>710</v>
      </c>
      <c r="C4087" s="35" t="s">
        <v>1464</v>
      </c>
      <c r="D4087" s="5" t="s">
        <v>2940</v>
      </c>
      <c r="E4087" s="57" t="s">
        <v>2957</v>
      </c>
      <c r="F4087" s="31" t="s">
        <v>2941</v>
      </c>
      <c r="G4087" s="57" t="s">
        <v>2957</v>
      </c>
      <c r="H4087" s="31" t="s">
        <v>2941</v>
      </c>
      <c r="I4087" s="57" t="s">
        <v>2957</v>
      </c>
      <c r="J4087" s="31" t="s">
        <v>2941</v>
      </c>
      <c r="K4087" s="57" t="s">
        <v>591</v>
      </c>
      <c r="L4087" s="11" t="s">
        <v>914</v>
      </c>
      <c r="M4087" s="22">
        <v>1</v>
      </c>
      <c r="N4087" s="46">
        <v>42000</v>
      </c>
      <c r="O4087" s="49">
        <f t="shared" ref="O4087:O4088" si="113">M4087*N4087</f>
        <v>42000</v>
      </c>
      <c r="P4087" s="5" t="s">
        <v>506</v>
      </c>
      <c r="Q4087" s="5" t="s">
        <v>2818</v>
      </c>
      <c r="R4087" s="11" t="s">
        <v>2030</v>
      </c>
      <c r="S4087" s="22">
        <v>0</v>
      </c>
    </row>
    <row r="4088" spans="1:19" ht="63.75" outlineLevel="1">
      <c r="A4088" s="5">
        <v>4073</v>
      </c>
      <c r="B4088" s="15" t="s">
        <v>710</v>
      </c>
      <c r="C4088" s="5" t="s">
        <v>597</v>
      </c>
      <c r="D4088" s="5" t="s">
        <v>702</v>
      </c>
      <c r="E4088" s="57" t="s">
        <v>777</v>
      </c>
      <c r="F4088" s="57" t="s">
        <v>703</v>
      </c>
      <c r="G4088" s="57" t="s">
        <v>777</v>
      </c>
      <c r="H4088" s="57" t="s">
        <v>703</v>
      </c>
      <c r="I4088" s="57" t="s">
        <v>3655</v>
      </c>
      <c r="J4088" s="57" t="s">
        <v>3629</v>
      </c>
      <c r="K4088" s="57" t="s">
        <v>591</v>
      </c>
      <c r="L4088" s="11" t="s">
        <v>914</v>
      </c>
      <c r="M4088" s="22">
        <v>1</v>
      </c>
      <c r="N4088" s="46">
        <v>350000</v>
      </c>
      <c r="O4088" s="49">
        <f t="shared" si="113"/>
        <v>350000</v>
      </c>
      <c r="P4088" s="5" t="s">
        <v>588</v>
      </c>
      <c r="Q4088" s="5" t="s">
        <v>766</v>
      </c>
      <c r="R4088" s="11" t="s">
        <v>925</v>
      </c>
      <c r="S4088" s="22">
        <v>0</v>
      </c>
    </row>
    <row r="4089" spans="1:19" s="1" customFormat="1" ht="102">
      <c r="A4089" s="5">
        <v>4074</v>
      </c>
      <c r="B4089" s="15" t="s">
        <v>710</v>
      </c>
      <c r="C4089" s="31" t="s">
        <v>597</v>
      </c>
      <c r="D4089" s="5" t="s">
        <v>3630</v>
      </c>
      <c r="E4089" s="57" t="s">
        <v>3656</v>
      </c>
      <c r="F4089" s="57" t="s">
        <v>3631</v>
      </c>
      <c r="G4089" s="57" t="s">
        <v>3656</v>
      </c>
      <c r="H4089" s="57" t="s">
        <v>3631</v>
      </c>
      <c r="I4089" s="57" t="s">
        <v>3657</v>
      </c>
      <c r="J4089" s="57" t="s">
        <v>3632</v>
      </c>
      <c r="K4089" s="57" t="s">
        <v>591</v>
      </c>
      <c r="L4089" s="11" t="s">
        <v>914</v>
      </c>
      <c r="M4089" s="22">
        <v>1</v>
      </c>
      <c r="N4089" s="46">
        <v>430285</v>
      </c>
      <c r="O4089" s="49">
        <f>M4089*N4089</f>
        <v>430285</v>
      </c>
      <c r="P4089" s="5" t="s">
        <v>588</v>
      </c>
      <c r="Q4089" s="5" t="s">
        <v>3633</v>
      </c>
      <c r="R4089" s="11" t="s">
        <v>2022</v>
      </c>
      <c r="S4089" s="5">
        <v>30</v>
      </c>
    </row>
    <row r="4090" spans="1:19" s="1" customFormat="1" ht="102">
      <c r="A4090" s="5">
        <v>4075</v>
      </c>
      <c r="B4090" s="15" t="s">
        <v>710</v>
      </c>
      <c r="C4090" s="31" t="s">
        <v>597</v>
      </c>
      <c r="D4090" s="5" t="s">
        <v>2714</v>
      </c>
      <c r="E4090" s="57" t="s">
        <v>2717</v>
      </c>
      <c r="F4090" s="57" t="s">
        <v>2715</v>
      </c>
      <c r="G4090" s="57" t="s">
        <v>2717</v>
      </c>
      <c r="H4090" s="57" t="s">
        <v>2715</v>
      </c>
      <c r="I4090" s="57" t="s">
        <v>3658</v>
      </c>
      <c r="J4090" s="57" t="s">
        <v>3634</v>
      </c>
      <c r="K4090" s="57" t="s">
        <v>591</v>
      </c>
      <c r="L4090" s="11" t="s">
        <v>914</v>
      </c>
      <c r="M4090" s="22">
        <v>1</v>
      </c>
      <c r="N4090" s="46">
        <v>640608</v>
      </c>
      <c r="O4090" s="49">
        <f>M4090*N4090</f>
        <v>640608</v>
      </c>
      <c r="P4090" s="5" t="s">
        <v>588</v>
      </c>
      <c r="Q4090" s="5" t="s">
        <v>3633</v>
      </c>
      <c r="R4090" s="11" t="s">
        <v>2022</v>
      </c>
      <c r="S4090" s="5">
        <v>30</v>
      </c>
    </row>
    <row r="4091" spans="1:19" s="1" customFormat="1" ht="102">
      <c r="A4091" s="5">
        <v>4076</v>
      </c>
      <c r="B4091" s="15" t="s">
        <v>710</v>
      </c>
      <c r="C4091" s="31" t="s">
        <v>597</v>
      </c>
      <c r="D4091" s="5" t="s">
        <v>3635</v>
      </c>
      <c r="E4091" s="57" t="s">
        <v>3659</v>
      </c>
      <c r="F4091" s="57" t="s">
        <v>3636</v>
      </c>
      <c r="G4091" s="57" t="s">
        <v>3660</v>
      </c>
      <c r="H4091" s="57" t="s">
        <v>3636</v>
      </c>
      <c r="I4091" s="57" t="s">
        <v>3661</v>
      </c>
      <c r="J4091" s="57" t="s">
        <v>3637</v>
      </c>
      <c r="K4091" s="57" t="s">
        <v>591</v>
      </c>
      <c r="L4091" s="11" t="s">
        <v>914</v>
      </c>
      <c r="M4091" s="22">
        <v>1</v>
      </c>
      <c r="N4091" s="46">
        <v>381500</v>
      </c>
      <c r="O4091" s="49">
        <f>M4091*N4091</f>
        <v>381500</v>
      </c>
      <c r="P4091" s="5" t="s">
        <v>588</v>
      </c>
      <c r="Q4091" s="5" t="s">
        <v>3633</v>
      </c>
      <c r="R4091" s="11" t="s">
        <v>2022</v>
      </c>
      <c r="S4091" s="5">
        <v>30</v>
      </c>
    </row>
    <row r="4092" spans="1:19" s="1" customFormat="1" ht="89.25">
      <c r="A4092" s="5">
        <v>4077</v>
      </c>
      <c r="B4092" s="15" t="s">
        <v>710</v>
      </c>
      <c r="C4092" s="31" t="s">
        <v>597</v>
      </c>
      <c r="D4092" s="5" t="s">
        <v>966</v>
      </c>
      <c r="E4092" s="57" t="s">
        <v>3662</v>
      </c>
      <c r="F4092" s="57" t="s">
        <v>916</v>
      </c>
      <c r="G4092" s="57" t="s">
        <v>3663</v>
      </c>
      <c r="H4092" s="57" t="s">
        <v>967</v>
      </c>
      <c r="I4092" s="57" t="s">
        <v>3664</v>
      </c>
      <c r="J4092" s="57" t="s">
        <v>3638</v>
      </c>
      <c r="K4092" s="57" t="s">
        <v>591</v>
      </c>
      <c r="L4092" s="11" t="s">
        <v>914</v>
      </c>
      <c r="M4092" s="22">
        <v>1</v>
      </c>
      <c r="N4092" s="46">
        <v>940848</v>
      </c>
      <c r="O4092" s="49">
        <f>M4092*N4092</f>
        <v>940848</v>
      </c>
      <c r="P4092" s="5" t="s">
        <v>588</v>
      </c>
      <c r="Q4092" s="5" t="s">
        <v>3633</v>
      </c>
      <c r="R4092" s="11" t="s">
        <v>2022</v>
      </c>
      <c r="S4092" s="5">
        <v>30</v>
      </c>
    </row>
    <row r="4093" spans="1:19" s="1" customFormat="1" ht="127.5">
      <c r="A4093" s="5">
        <v>4078</v>
      </c>
      <c r="B4093" s="15" t="s">
        <v>710</v>
      </c>
      <c r="C4093" s="31" t="s">
        <v>597</v>
      </c>
      <c r="D4093" s="5" t="s">
        <v>3640</v>
      </c>
      <c r="E4093" s="57" t="s">
        <v>1977</v>
      </c>
      <c r="F4093" s="57" t="s">
        <v>1369</v>
      </c>
      <c r="G4093" s="57" t="s">
        <v>3665</v>
      </c>
      <c r="H4093" s="57" t="s">
        <v>969</v>
      </c>
      <c r="I4093" s="57" t="s">
        <v>3666</v>
      </c>
      <c r="J4093" s="76" t="s">
        <v>3641</v>
      </c>
      <c r="K4093" s="76" t="s">
        <v>591</v>
      </c>
      <c r="L4093" s="11" t="s">
        <v>914</v>
      </c>
      <c r="M4093" s="22">
        <v>1</v>
      </c>
      <c r="N4093" s="46">
        <v>1666465</v>
      </c>
      <c r="O4093" s="49">
        <f>M4093*N4093</f>
        <v>1666465</v>
      </c>
      <c r="P4093" s="4" t="s">
        <v>588</v>
      </c>
      <c r="Q4093" s="5" t="s">
        <v>2368</v>
      </c>
      <c r="R4093" s="11" t="s">
        <v>1175</v>
      </c>
      <c r="S4093" s="5">
        <v>50</v>
      </c>
    </row>
    <row r="4094" spans="1:19" s="1" customFormat="1" ht="63.75">
      <c r="A4094" s="5">
        <v>4079</v>
      </c>
      <c r="B4094" s="29" t="s">
        <v>710</v>
      </c>
      <c r="C4094" s="35" t="s">
        <v>597</v>
      </c>
      <c r="D4094" s="5" t="s">
        <v>589</v>
      </c>
      <c r="E4094" s="31" t="s">
        <v>2360</v>
      </c>
      <c r="F4094" s="31" t="s">
        <v>590</v>
      </c>
      <c r="G4094" s="31" t="s">
        <v>2361</v>
      </c>
      <c r="H4094" s="31" t="s">
        <v>590</v>
      </c>
      <c r="I4094" s="57" t="s">
        <v>3667</v>
      </c>
      <c r="J4094" s="57" t="s">
        <v>3642</v>
      </c>
      <c r="K4094" s="57" t="s">
        <v>591</v>
      </c>
      <c r="L4094" s="11" t="s">
        <v>914</v>
      </c>
      <c r="M4094" s="22">
        <v>1</v>
      </c>
      <c r="N4094" s="46">
        <v>750000</v>
      </c>
      <c r="O4094" s="49">
        <f t="shared" ref="O4094:O4119" si="114">M4094*N4094</f>
        <v>750000</v>
      </c>
      <c r="P4094" s="5" t="s">
        <v>588</v>
      </c>
      <c r="Q4094" s="5" t="s">
        <v>2368</v>
      </c>
      <c r="R4094" s="11" t="s">
        <v>2027</v>
      </c>
      <c r="S4094" s="22">
        <v>30</v>
      </c>
    </row>
    <row r="4095" spans="1:19" s="1" customFormat="1" ht="51">
      <c r="A4095" s="5">
        <v>4080</v>
      </c>
      <c r="B4095" s="29" t="s">
        <v>710</v>
      </c>
      <c r="C4095" s="35" t="s">
        <v>597</v>
      </c>
      <c r="D4095" s="5" t="s">
        <v>548</v>
      </c>
      <c r="E4095" s="57" t="s">
        <v>549</v>
      </c>
      <c r="F4095" s="57" t="s">
        <v>550</v>
      </c>
      <c r="G4095" s="57" t="s">
        <v>549</v>
      </c>
      <c r="H4095" s="57" t="s">
        <v>550</v>
      </c>
      <c r="I4095" s="57" t="s">
        <v>1410</v>
      </c>
      <c r="J4095" s="57" t="s">
        <v>69</v>
      </c>
      <c r="K4095" s="57" t="s">
        <v>591</v>
      </c>
      <c r="L4095" s="11" t="s">
        <v>914</v>
      </c>
      <c r="M4095" s="22">
        <v>1</v>
      </c>
      <c r="N4095" s="46">
        <v>18991</v>
      </c>
      <c r="O4095" s="49">
        <f t="shared" si="114"/>
        <v>18991</v>
      </c>
      <c r="P4095" s="4" t="s">
        <v>588</v>
      </c>
      <c r="Q4095" s="5" t="s">
        <v>766</v>
      </c>
      <c r="R4095" s="11" t="s">
        <v>3643</v>
      </c>
      <c r="S4095" s="5">
        <v>0</v>
      </c>
    </row>
    <row r="4096" spans="1:19" s="1" customFormat="1" ht="51">
      <c r="A4096" s="5">
        <v>4081</v>
      </c>
      <c r="B4096" s="29" t="s">
        <v>710</v>
      </c>
      <c r="C4096" s="35" t="s">
        <v>597</v>
      </c>
      <c r="D4096" s="5" t="s">
        <v>551</v>
      </c>
      <c r="E4096" s="57" t="s">
        <v>3668</v>
      </c>
      <c r="F4096" s="57" t="s">
        <v>553</v>
      </c>
      <c r="G4096" s="57" t="s">
        <v>3668</v>
      </c>
      <c r="H4096" s="57" t="s">
        <v>553</v>
      </c>
      <c r="I4096" s="57" t="s">
        <v>3669</v>
      </c>
      <c r="J4096" s="57" t="s">
        <v>71</v>
      </c>
      <c r="K4096" s="57" t="s">
        <v>591</v>
      </c>
      <c r="L4096" s="11" t="s">
        <v>914</v>
      </c>
      <c r="M4096" s="22">
        <v>1</v>
      </c>
      <c r="N4096" s="46">
        <v>12992</v>
      </c>
      <c r="O4096" s="49">
        <f t="shared" si="114"/>
        <v>12992</v>
      </c>
      <c r="P4096" s="4" t="s">
        <v>588</v>
      </c>
      <c r="Q4096" s="5" t="s">
        <v>766</v>
      </c>
      <c r="R4096" s="11" t="s">
        <v>3643</v>
      </c>
      <c r="S4096" s="5">
        <v>0</v>
      </c>
    </row>
    <row r="4097" spans="1:19" s="1" customFormat="1" ht="51">
      <c r="A4097" s="5">
        <v>4082</v>
      </c>
      <c r="B4097" s="29" t="s">
        <v>710</v>
      </c>
      <c r="C4097" s="35" t="s">
        <v>597</v>
      </c>
      <c r="D4097" s="5" t="s">
        <v>548</v>
      </c>
      <c r="E4097" s="57" t="s">
        <v>549</v>
      </c>
      <c r="F4097" s="57" t="s">
        <v>550</v>
      </c>
      <c r="G4097" s="57" t="s">
        <v>549</v>
      </c>
      <c r="H4097" s="57" t="s">
        <v>550</v>
      </c>
      <c r="I4097" s="57" t="s">
        <v>1410</v>
      </c>
      <c r="J4097" s="57" t="s">
        <v>69</v>
      </c>
      <c r="K4097" s="57" t="s">
        <v>591</v>
      </c>
      <c r="L4097" s="11" t="s">
        <v>914</v>
      </c>
      <c r="M4097" s="22">
        <v>1</v>
      </c>
      <c r="N4097" s="46">
        <v>8445</v>
      </c>
      <c r="O4097" s="49">
        <f t="shared" si="114"/>
        <v>8445</v>
      </c>
      <c r="P4097" s="4" t="s">
        <v>588</v>
      </c>
      <c r="Q4097" s="5" t="s">
        <v>766</v>
      </c>
      <c r="R4097" s="11" t="s">
        <v>3644</v>
      </c>
      <c r="S4097" s="5">
        <v>0</v>
      </c>
    </row>
    <row r="4098" spans="1:19" s="1" customFormat="1" ht="51">
      <c r="A4098" s="5">
        <v>4083</v>
      </c>
      <c r="B4098" s="29" t="s">
        <v>710</v>
      </c>
      <c r="C4098" s="35" t="s">
        <v>597</v>
      </c>
      <c r="D4098" s="5" t="s">
        <v>551</v>
      </c>
      <c r="E4098" s="57" t="s">
        <v>3668</v>
      </c>
      <c r="F4098" s="57" t="s">
        <v>553</v>
      </c>
      <c r="G4098" s="57" t="s">
        <v>3668</v>
      </c>
      <c r="H4098" s="57" t="s">
        <v>553</v>
      </c>
      <c r="I4098" s="57" t="s">
        <v>3669</v>
      </c>
      <c r="J4098" s="57" t="s">
        <v>71</v>
      </c>
      <c r="K4098" s="57" t="s">
        <v>591</v>
      </c>
      <c r="L4098" s="11" t="s">
        <v>914</v>
      </c>
      <c r="M4098" s="22">
        <v>1</v>
      </c>
      <c r="N4098" s="46">
        <v>12992</v>
      </c>
      <c r="O4098" s="49">
        <f t="shared" si="114"/>
        <v>12992</v>
      </c>
      <c r="P4098" s="4" t="s">
        <v>588</v>
      </c>
      <c r="Q4098" s="5" t="s">
        <v>766</v>
      </c>
      <c r="R4098" s="11" t="s">
        <v>3644</v>
      </c>
      <c r="S4098" s="5">
        <v>0</v>
      </c>
    </row>
    <row r="4099" spans="1:19" s="1" customFormat="1" ht="51">
      <c r="A4099" s="5">
        <v>4084</v>
      </c>
      <c r="B4099" s="29" t="s">
        <v>710</v>
      </c>
      <c r="C4099" s="35" t="s">
        <v>597</v>
      </c>
      <c r="D4099" s="5" t="s">
        <v>548</v>
      </c>
      <c r="E4099" s="57" t="s">
        <v>549</v>
      </c>
      <c r="F4099" s="57" t="s">
        <v>550</v>
      </c>
      <c r="G4099" s="57" t="s">
        <v>549</v>
      </c>
      <c r="H4099" s="57" t="s">
        <v>550</v>
      </c>
      <c r="I4099" s="57" t="s">
        <v>1410</v>
      </c>
      <c r="J4099" s="57" t="s">
        <v>69</v>
      </c>
      <c r="K4099" s="57" t="s">
        <v>591</v>
      </c>
      <c r="L4099" s="11" t="s">
        <v>914</v>
      </c>
      <c r="M4099" s="22">
        <v>1</v>
      </c>
      <c r="N4099" s="46">
        <v>4395</v>
      </c>
      <c r="O4099" s="49">
        <f t="shared" si="114"/>
        <v>4395</v>
      </c>
      <c r="P4099" s="4" t="s">
        <v>588</v>
      </c>
      <c r="Q4099" s="5" t="s">
        <v>766</v>
      </c>
      <c r="R4099" s="11" t="s">
        <v>3645</v>
      </c>
      <c r="S4099" s="5">
        <v>0</v>
      </c>
    </row>
    <row r="4100" spans="1:19" s="1" customFormat="1" ht="51">
      <c r="A4100" s="5">
        <v>4085</v>
      </c>
      <c r="B4100" s="29" t="s">
        <v>710</v>
      </c>
      <c r="C4100" s="35" t="s">
        <v>597</v>
      </c>
      <c r="D4100" s="5" t="s">
        <v>551</v>
      </c>
      <c r="E4100" s="57" t="s">
        <v>3668</v>
      </c>
      <c r="F4100" s="57" t="s">
        <v>553</v>
      </c>
      <c r="G4100" s="57" t="s">
        <v>3668</v>
      </c>
      <c r="H4100" s="57" t="s">
        <v>553</v>
      </c>
      <c r="I4100" s="57" t="s">
        <v>3669</v>
      </c>
      <c r="J4100" s="57" t="s">
        <v>71</v>
      </c>
      <c r="K4100" s="57" t="s">
        <v>591</v>
      </c>
      <c r="L4100" s="11" t="s">
        <v>914</v>
      </c>
      <c r="M4100" s="22">
        <v>1</v>
      </c>
      <c r="N4100" s="46">
        <v>12992</v>
      </c>
      <c r="O4100" s="49">
        <f t="shared" si="114"/>
        <v>12992</v>
      </c>
      <c r="P4100" s="4" t="s">
        <v>588</v>
      </c>
      <c r="Q4100" s="5" t="s">
        <v>766</v>
      </c>
      <c r="R4100" s="11" t="s">
        <v>3645</v>
      </c>
      <c r="S4100" s="5">
        <v>0</v>
      </c>
    </row>
    <row r="4101" spans="1:19" s="1" customFormat="1" ht="76.5">
      <c r="A4101" s="5">
        <v>4086</v>
      </c>
      <c r="B4101" s="29" t="s">
        <v>710</v>
      </c>
      <c r="C4101" s="35" t="s">
        <v>597</v>
      </c>
      <c r="D4101" s="5" t="s">
        <v>556</v>
      </c>
      <c r="E4101" s="57" t="s">
        <v>1874</v>
      </c>
      <c r="F4101" s="57" t="s">
        <v>869</v>
      </c>
      <c r="G4101" s="57" t="s">
        <v>1875</v>
      </c>
      <c r="H4101" s="57" t="s">
        <v>870</v>
      </c>
      <c r="I4101" s="57" t="s">
        <v>1873</v>
      </c>
      <c r="J4101" s="57" t="s">
        <v>72</v>
      </c>
      <c r="K4101" s="57" t="s">
        <v>591</v>
      </c>
      <c r="L4101" s="11" t="s">
        <v>914</v>
      </c>
      <c r="M4101" s="22">
        <v>1</v>
      </c>
      <c r="N4101" s="46">
        <v>190</v>
      </c>
      <c r="O4101" s="49">
        <f t="shared" si="114"/>
        <v>190</v>
      </c>
      <c r="P4101" s="4" t="s">
        <v>588</v>
      </c>
      <c r="Q4101" s="5" t="s">
        <v>766</v>
      </c>
      <c r="R4101" s="11" t="s">
        <v>3645</v>
      </c>
      <c r="S4101" s="5">
        <v>0</v>
      </c>
    </row>
    <row r="4102" spans="1:19" s="1" customFormat="1" ht="51">
      <c r="A4102" s="5">
        <v>4087</v>
      </c>
      <c r="B4102" s="29" t="s">
        <v>710</v>
      </c>
      <c r="C4102" s="35" t="s">
        <v>597</v>
      </c>
      <c r="D4102" s="5" t="s">
        <v>561</v>
      </c>
      <c r="E4102" s="57" t="s">
        <v>562</v>
      </c>
      <c r="F4102" s="57" t="s">
        <v>563</v>
      </c>
      <c r="G4102" s="57" t="s">
        <v>564</v>
      </c>
      <c r="H4102" s="57" t="s">
        <v>565</v>
      </c>
      <c r="I4102" s="57" t="s">
        <v>562</v>
      </c>
      <c r="J4102" s="57" t="s">
        <v>73</v>
      </c>
      <c r="K4102" s="57" t="s">
        <v>591</v>
      </c>
      <c r="L4102" s="11" t="s">
        <v>914</v>
      </c>
      <c r="M4102" s="22">
        <v>1</v>
      </c>
      <c r="N4102" s="46">
        <v>2950</v>
      </c>
      <c r="O4102" s="49">
        <f t="shared" si="114"/>
        <v>2950</v>
      </c>
      <c r="P4102" s="4" t="s">
        <v>588</v>
      </c>
      <c r="Q4102" s="5" t="s">
        <v>766</v>
      </c>
      <c r="R4102" s="11" t="s">
        <v>3645</v>
      </c>
      <c r="S4102" s="5">
        <v>0</v>
      </c>
    </row>
    <row r="4103" spans="1:19" s="1" customFormat="1" ht="51">
      <c r="A4103" s="5">
        <v>4088</v>
      </c>
      <c r="B4103" s="29" t="s">
        <v>710</v>
      </c>
      <c r="C4103" s="35" t="s">
        <v>597</v>
      </c>
      <c r="D4103" s="5" t="s">
        <v>548</v>
      </c>
      <c r="E4103" s="57" t="s">
        <v>549</v>
      </c>
      <c r="F4103" s="57" t="s">
        <v>550</v>
      </c>
      <c r="G4103" s="57" t="s">
        <v>549</v>
      </c>
      <c r="H4103" s="57" t="s">
        <v>550</v>
      </c>
      <c r="I4103" s="57" t="s">
        <v>1410</v>
      </c>
      <c r="J4103" s="57" t="s">
        <v>69</v>
      </c>
      <c r="K4103" s="57" t="s">
        <v>591</v>
      </c>
      <c r="L4103" s="11" t="s">
        <v>914</v>
      </c>
      <c r="M4103" s="22">
        <v>1</v>
      </c>
      <c r="N4103" s="46">
        <v>11136</v>
      </c>
      <c r="O4103" s="49">
        <f t="shared" si="114"/>
        <v>11136</v>
      </c>
      <c r="P4103" s="4" t="s">
        <v>588</v>
      </c>
      <c r="Q4103" s="5" t="s">
        <v>766</v>
      </c>
      <c r="R4103" s="11" t="s">
        <v>3646</v>
      </c>
      <c r="S4103" s="5">
        <v>0</v>
      </c>
    </row>
    <row r="4104" spans="1:19" s="1" customFormat="1" ht="51">
      <c r="A4104" s="5">
        <v>4089</v>
      </c>
      <c r="B4104" s="29" t="s">
        <v>710</v>
      </c>
      <c r="C4104" s="35" t="s">
        <v>597</v>
      </c>
      <c r="D4104" s="5" t="s">
        <v>551</v>
      </c>
      <c r="E4104" s="57" t="s">
        <v>3668</v>
      </c>
      <c r="F4104" s="57" t="s">
        <v>553</v>
      </c>
      <c r="G4104" s="57" t="s">
        <v>3668</v>
      </c>
      <c r="H4104" s="57" t="s">
        <v>553</v>
      </c>
      <c r="I4104" s="57" t="s">
        <v>3669</v>
      </c>
      <c r="J4104" s="57" t="s">
        <v>71</v>
      </c>
      <c r="K4104" s="57" t="s">
        <v>591</v>
      </c>
      <c r="L4104" s="11" t="s">
        <v>914</v>
      </c>
      <c r="M4104" s="22">
        <v>1</v>
      </c>
      <c r="N4104" s="46">
        <v>12992</v>
      </c>
      <c r="O4104" s="49">
        <f t="shared" si="114"/>
        <v>12992</v>
      </c>
      <c r="P4104" s="4" t="s">
        <v>588</v>
      </c>
      <c r="Q4104" s="5" t="s">
        <v>766</v>
      </c>
      <c r="R4104" s="11" t="s">
        <v>3646</v>
      </c>
      <c r="S4104" s="5">
        <v>0</v>
      </c>
    </row>
    <row r="4105" spans="1:19" s="1" customFormat="1" ht="76.5">
      <c r="A4105" s="5">
        <v>4090</v>
      </c>
      <c r="B4105" s="29" t="s">
        <v>710</v>
      </c>
      <c r="C4105" s="35" t="s">
        <v>597</v>
      </c>
      <c r="D4105" s="5" t="s">
        <v>556</v>
      </c>
      <c r="E4105" s="57" t="s">
        <v>1874</v>
      </c>
      <c r="F4105" s="57" t="s">
        <v>869</v>
      </c>
      <c r="G4105" s="57" t="s">
        <v>1875</v>
      </c>
      <c r="H4105" s="57" t="s">
        <v>870</v>
      </c>
      <c r="I4105" s="57" t="s">
        <v>1873</v>
      </c>
      <c r="J4105" s="57" t="s">
        <v>72</v>
      </c>
      <c r="K4105" s="57" t="s">
        <v>591</v>
      </c>
      <c r="L4105" s="11" t="s">
        <v>914</v>
      </c>
      <c r="M4105" s="22">
        <v>1</v>
      </c>
      <c r="N4105" s="46">
        <v>1309</v>
      </c>
      <c r="O4105" s="49">
        <f t="shared" si="114"/>
        <v>1309</v>
      </c>
      <c r="P4105" s="4" t="s">
        <v>588</v>
      </c>
      <c r="Q4105" s="5" t="s">
        <v>766</v>
      </c>
      <c r="R4105" s="11" t="s">
        <v>3646</v>
      </c>
      <c r="S4105" s="5">
        <v>0</v>
      </c>
    </row>
    <row r="4106" spans="1:19" s="1" customFormat="1" ht="51">
      <c r="A4106" s="5">
        <v>4091</v>
      </c>
      <c r="B4106" s="29" t="s">
        <v>710</v>
      </c>
      <c r="C4106" s="35" t="s">
        <v>597</v>
      </c>
      <c r="D4106" s="5" t="s">
        <v>548</v>
      </c>
      <c r="E4106" s="57" t="s">
        <v>549</v>
      </c>
      <c r="F4106" s="57" t="s">
        <v>550</v>
      </c>
      <c r="G4106" s="57" t="s">
        <v>549</v>
      </c>
      <c r="H4106" s="57" t="s">
        <v>550</v>
      </c>
      <c r="I4106" s="57" t="s">
        <v>1410</v>
      </c>
      <c r="J4106" s="57" t="s">
        <v>69</v>
      </c>
      <c r="K4106" s="57" t="s">
        <v>591</v>
      </c>
      <c r="L4106" s="11" t="s">
        <v>914</v>
      </c>
      <c r="M4106" s="22">
        <v>1</v>
      </c>
      <c r="N4106" s="46">
        <v>2700</v>
      </c>
      <c r="O4106" s="49">
        <f t="shared" si="114"/>
        <v>2700</v>
      </c>
      <c r="P4106" s="4" t="s">
        <v>588</v>
      </c>
      <c r="Q4106" s="5" t="s">
        <v>766</v>
      </c>
      <c r="R4106" s="11" t="s">
        <v>3647</v>
      </c>
      <c r="S4106" s="5">
        <v>0</v>
      </c>
    </row>
    <row r="4107" spans="1:19" s="1" customFormat="1" ht="51">
      <c r="A4107" s="5">
        <v>4092</v>
      </c>
      <c r="B4107" s="29" t="s">
        <v>710</v>
      </c>
      <c r="C4107" s="35" t="s">
        <v>597</v>
      </c>
      <c r="D4107" s="5" t="s">
        <v>551</v>
      </c>
      <c r="E4107" s="57" t="s">
        <v>3668</v>
      </c>
      <c r="F4107" s="57" t="s">
        <v>553</v>
      </c>
      <c r="G4107" s="57" t="s">
        <v>3668</v>
      </c>
      <c r="H4107" s="57" t="s">
        <v>553</v>
      </c>
      <c r="I4107" s="57" t="s">
        <v>3669</v>
      </c>
      <c r="J4107" s="57" t="s">
        <v>71</v>
      </c>
      <c r="K4107" s="57" t="s">
        <v>591</v>
      </c>
      <c r="L4107" s="11" t="s">
        <v>914</v>
      </c>
      <c r="M4107" s="22">
        <v>1</v>
      </c>
      <c r="N4107" s="46">
        <v>12992</v>
      </c>
      <c r="O4107" s="49">
        <f t="shared" si="114"/>
        <v>12992</v>
      </c>
      <c r="P4107" s="4" t="s">
        <v>588</v>
      </c>
      <c r="Q4107" s="5" t="s">
        <v>766</v>
      </c>
      <c r="R4107" s="11" t="s">
        <v>3647</v>
      </c>
      <c r="S4107" s="5">
        <v>0</v>
      </c>
    </row>
    <row r="4108" spans="1:19" s="1" customFormat="1" ht="51">
      <c r="A4108" s="5">
        <v>4093</v>
      </c>
      <c r="B4108" s="29" t="s">
        <v>710</v>
      </c>
      <c r="C4108" s="35" t="s">
        <v>597</v>
      </c>
      <c r="D4108" s="5" t="s">
        <v>551</v>
      </c>
      <c r="E4108" s="57" t="s">
        <v>3668</v>
      </c>
      <c r="F4108" s="57" t="s">
        <v>553</v>
      </c>
      <c r="G4108" s="57" t="s">
        <v>3668</v>
      </c>
      <c r="H4108" s="57" t="s">
        <v>553</v>
      </c>
      <c r="I4108" s="57" t="s">
        <v>3669</v>
      </c>
      <c r="J4108" s="57" t="s">
        <v>71</v>
      </c>
      <c r="K4108" s="57" t="s">
        <v>591</v>
      </c>
      <c r="L4108" s="11" t="s">
        <v>914</v>
      </c>
      <c r="M4108" s="22">
        <v>1</v>
      </c>
      <c r="N4108" s="46">
        <v>22900</v>
      </c>
      <c r="O4108" s="49">
        <f t="shared" si="114"/>
        <v>22900</v>
      </c>
      <c r="P4108" s="4" t="s">
        <v>588</v>
      </c>
      <c r="Q4108" s="5" t="s">
        <v>766</v>
      </c>
      <c r="R4108" s="11" t="s">
        <v>3648</v>
      </c>
      <c r="S4108" s="5">
        <v>0</v>
      </c>
    </row>
    <row r="4109" spans="1:19" s="1" customFormat="1" ht="51">
      <c r="A4109" s="5">
        <v>4094</v>
      </c>
      <c r="B4109" s="29" t="s">
        <v>710</v>
      </c>
      <c r="C4109" s="35" t="s">
        <v>597</v>
      </c>
      <c r="D4109" s="5" t="s">
        <v>548</v>
      </c>
      <c r="E4109" s="57" t="s">
        <v>549</v>
      </c>
      <c r="F4109" s="57" t="s">
        <v>550</v>
      </c>
      <c r="G4109" s="57" t="s">
        <v>549</v>
      </c>
      <c r="H4109" s="57" t="s">
        <v>550</v>
      </c>
      <c r="I4109" s="57" t="s">
        <v>1410</v>
      </c>
      <c r="J4109" s="57" t="s">
        <v>69</v>
      </c>
      <c r="K4109" s="57" t="s">
        <v>591</v>
      </c>
      <c r="L4109" s="11" t="s">
        <v>914</v>
      </c>
      <c r="M4109" s="22">
        <v>1</v>
      </c>
      <c r="N4109" s="46">
        <v>10090</v>
      </c>
      <c r="O4109" s="49">
        <f t="shared" si="114"/>
        <v>10090</v>
      </c>
      <c r="P4109" s="4" t="s">
        <v>588</v>
      </c>
      <c r="Q4109" s="5" t="s">
        <v>766</v>
      </c>
      <c r="R4109" s="11" t="s">
        <v>3649</v>
      </c>
      <c r="S4109" s="5">
        <v>0</v>
      </c>
    </row>
    <row r="4110" spans="1:19" s="1" customFormat="1" ht="51">
      <c r="A4110" s="5">
        <v>4095</v>
      </c>
      <c r="B4110" s="29" t="s">
        <v>710</v>
      </c>
      <c r="C4110" s="35" t="s">
        <v>597</v>
      </c>
      <c r="D4110" s="5" t="s">
        <v>551</v>
      </c>
      <c r="E4110" s="57" t="s">
        <v>3668</v>
      </c>
      <c r="F4110" s="57" t="s">
        <v>553</v>
      </c>
      <c r="G4110" s="57" t="s">
        <v>3668</v>
      </c>
      <c r="H4110" s="57" t="s">
        <v>553</v>
      </c>
      <c r="I4110" s="57" t="s">
        <v>3669</v>
      </c>
      <c r="J4110" s="57" t="s">
        <v>71</v>
      </c>
      <c r="K4110" s="57" t="s">
        <v>591</v>
      </c>
      <c r="L4110" s="11" t="s">
        <v>914</v>
      </c>
      <c r="M4110" s="22">
        <v>1</v>
      </c>
      <c r="N4110" s="46">
        <v>12992</v>
      </c>
      <c r="O4110" s="49">
        <f t="shared" si="114"/>
        <v>12992</v>
      </c>
      <c r="P4110" s="4" t="s">
        <v>588</v>
      </c>
      <c r="Q4110" s="5" t="s">
        <v>766</v>
      </c>
      <c r="R4110" s="11" t="s">
        <v>3649</v>
      </c>
      <c r="S4110" s="5">
        <v>0</v>
      </c>
    </row>
    <row r="4111" spans="1:19" s="1" customFormat="1" ht="51">
      <c r="A4111" s="5">
        <v>4096</v>
      </c>
      <c r="B4111" s="29" t="s">
        <v>710</v>
      </c>
      <c r="C4111" s="35" t="s">
        <v>597</v>
      </c>
      <c r="D4111" s="5" t="s">
        <v>551</v>
      </c>
      <c r="E4111" s="57" t="s">
        <v>3668</v>
      </c>
      <c r="F4111" s="57" t="s">
        <v>553</v>
      </c>
      <c r="G4111" s="57" t="s">
        <v>3668</v>
      </c>
      <c r="H4111" s="57" t="s">
        <v>553</v>
      </c>
      <c r="I4111" s="57" t="s">
        <v>3669</v>
      </c>
      <c r="J4111" s="57" t="s">
        <v>71</v>
      </c>
      <c r="K4111" s="57" t="s">
        <v>591</v>
      </c>
      <c r="L4111" s="11" t="s">
        <v>914</v>
      </c>
      <c r="M4111" s="22">
        <v>1</v>
      </c>
      <c r="N4111" s="46">
        <v>12992</v>
      </c>
      <c r="O4111" s="49">
        <f t="shared" si="114"/>
        <v>12992</v>
      </c>
      <c r="P4111" s="4" t="s">
        <v>588</v>
      </c>
      <c r="Q4111" s="5" t="s">
        <v>766</v>
      </c>
      <c r="R4111" s="11" t="s">
        <v>3650</v>
      </c>
      <c r="S4111" s="5">
        <v>0</v>
      </c>
    </row>
    <row r="4112" spans="1:19" s="1" customFormat="1" ht="51">
      <c r="A4112" s="5">
        <v>4097</v>
      </c>
      <c r="B4112" s="29" t="s">
        <v>710</v>
      </c>
      <c r="C4112" s="35" t="s">
        <v>597</v>
      </c>
      <c r="D4112" s="5" t="s">
        <v>548</v>
      </c>
      <c r="E4112" s="57" t="s">
        <v>549</v>
      </c>
      <c r="F4112" s="57" t="s">
        <v>550</v>
      </c>
      <c r="G4112" s="57" t="s">
        <v>549</v>
      </c>
      <c r="H4112" s="57" t="s">
        <v>550</v>
      </c>
      <c r="I4112" s="57" t="s">
        <v>1410</v>
      </c>
      <c r="J4112" s="57" t="s">
        <v>69</v>
      </c>
      <c r="K4112" s="57" t="s">
        <v>591</v>
      </c>
      <c r="L4112" s="11" t="s">
        <v>914</v>
      </c>
      <c r="M4112" s="22">
        <v>1</v>
      </c>
      <c r="N4112" s="46">
        <v>3268</v>
      </c>
      <c r="O4112" s="49">
        <f t="shared" si="114"/>
        <v>3268</v>
      </c>
      <c r="P4112" s="4" t="s">
        <v>588</v>
      </c>
      <c r="Q4112" s="5" t="s">
        <v>766</v>
      </c>
      <c r="R4112" s="11" t="s">
        <v>3650</v>
      </c>
      <c r="S4112" s="5">
        <v>0</v>
      </c>
    </row>
    <row r="4113" spans="1:19" s="1" customFormat="1" ht="76.5">
      <c r="A4113" s="5">
        <v>4098</v>
      </c>
      <c r="B4113" s="29" t="s">
        <v>710</v>
      </c>
      <c r="C4113" s="35" t="s">
        <v>597</v>
      </c>
      <c r="D4113" s="5" t="s">
        <v>556</v>
      </c>
      <c r="E4113" s="57" t="s">
        <v>1874</v>
      </c>
      <c r="F4113" s="57" t="s">
        <v>869</v>
      </c>
      <c r="G4113" s="57" t="s">
        <v>1875</v>
      </c>
      <c r="H4113" s="57" t="s">
        <v>870</v>
      </c>
      <c r="I4113" s="57" t="s">
        <v>1873</v>
      </c>
      <c r="J4113" s="57" t="s">
        <v>72</v>
      </c>
      <c r="K4113" s="57" t="s">
        <v>591</v>
      </c>
      <c r="L4113" s="11" t="s">
        <v>914</v>
      </c>
      <c r="M4113" s="22">
        <v>1</v>
      </c>
      <c r="N4113" s="46">
        <v>1766</v>
      </c>
      <c r="O4113" s="49">
        <f t="shared" si="114"/>
        <v>1766</v>
      </c>
      <c r="P4113" s="4" t="s">
        <v>588</v>
      </c>
      <c r="Q4113" s="5" t="s">
        <v>766</v>
      </c>
      <c r="R4113" s="11" t="s">
        <v>3650</v>
      </c>
      <c r="S4113" s="5">
        <v>0</v>
      </c>
    </row>
    <row r="4114" spans="1:19" s="1" customFormat="1" ht="51">
      <c r="A4114" s="5">
        <v>4099</v>
      </c>
      <c r="B4114" s="29" t="s">
        <v>710</v>
      </c>
      <c r="C4114" s="35" t="s">
        <v>597</v>
      </c>
      <c r="D4114" s="5" t="s">
        <v>561</v>
      </c>
      <c r="E4114" s="57" t="s">
        <v>562</v>
      </c>
      <c r="F4114" s="57" t="s">
        <v>563</v>
      </c>
      <c r="G4114" s="57" t="s">
        <v>564</v>
      </c>
      <c r="H4114" s="57" t="s">
        <v>565</v>
      </c>
      <c r="I4114" s="57" t="s">
        <v>562</v>
      </c>
      <c r="J4114" s="57" t="s">
        <v>73</v>
      </c>
      <c r="K4114" s="57" t="s">
        <v>591</v>
      </c>
      <c r="L4114" s="11" t="s">
        <v>914</v>
      </c>
      <c r="M4114" s="22">
        <v>1</v>
      </c>
      <c r="N4114" s="46">
        <v>1373</v>
      </c>
      <c r="O4114" s="49">
        <f t="shared" si="114"/>
        <v>1373</v>
      </c>
      <c r="P4114" s="4" t="s">
        <v>588</v>
      </c>
      <c r="Q4114" s="5" t="s">
        <v>766</v>
      </c>
      <c r="R4114" s="11" t="s">
        <v>3650</v>
      </c>
      <c r="S4114" s="5">
        <v>0</v>
      </c>
    </row>
    <row r="4115" spans="1:19" s="1" customFormat="1" ht="51">
      <c r="A4115" s="5">
        <v>4100</v>
      </c>
      <c r="B4115" s="29" t="s">
        <v>710</v>
      </c>
      <c r="C4115" s="35" t="s">
        <v>597</v>
      </c>
      <c r="D4115" s="5" t="s">
        <v>551</v>
      </c>
      <c r="E4115" s="57" t="s">
        <v>3668</v>
      </c>
      <c r="F4115" s="57" t="s">
        <v>553</v>
      </c>
      <c r="G4115" s="57" t="s">
        <v>3668</v>
      </c>
      <c r="H4115" s="57" t="s">
        <v>553</v>
      </c>
      <c r="I4115" s="57" t="s">
        <v>3669</v>
      </c>
      <c r="J4115" s="57" t="s">
        <v>71</v>
      </c>
      <c r="K4115" s="57" t="s">
        <v>591</v>
      </c>
      <c r="L4115" s="11" t="s">
        <v>914</v>
      </c>
      <c r="M4115" s="22">
        <v>1</v>
      </c>
      <c r="N4115" s="46">
        <v>4750</v>
      </c>
      <c r="O4115" s="49">
        <f t="shared" si="114"/>
        <v>4750</v>
      </c>
      <c r="P4115" s="4" t="s">
        <v>588</v>
      </c>
      <c r="Q4115" s="5" t="s">
        <v>766</v>
      </c>
      <c r="R4115" s="11" t="s">
        <v>3651</v>
      </c>
      <c r="S4115" s="5">
        <v>0</v>
      </c>
    </row>
    <row r="4116" spans="1:19" s="1" customFormat="1" ht="51">
      <c r="A4116" s="5">
        <v>4101</v>
      </c>
      <c r="B4116" s="29" t="s">
        <v>710</v>
      </c>
      <c r="C4116" s="35" t="s">
        <v>597</v>
      </c>
      <c r="D4116" s="5" t="s">
        <v>548</v>
      </c>
      <c r="E4116" s="57" t="s">
        <v>549</v>
      </c>
      <c r="F4116" s="57" t="s">
        <v>550</v>
      </c>
      <c r="G4116" s="57" t="s">
        <v>549</v>
      </c>
      <c r="H4116" s="57" t="s">
        <v>550</v>
      </c>
      <c r="I4116" s="57" t="s">
        <v>1410</v>
      </c>
      <c r="J4116" s="57" t="s">
        <v>69</v>
      </c>
      <c r="K4116" s="57" t="s">
        <v>591</v>
      </c>
      <c r="L4116" s="11" t="s">
        <v>914</v>
      </c>
      <c r="M4116" s="22">
        <v>1</v>
      </c>
      <c r="N4116" s="46">
        <v>3474</v>
      </c>
      <c r="O4116" s="49">
        <f t="shared" si="114"/>
        <v>3474</v>
      </c>
      <c r="P4116" s="4" t="s">
        <v>588</v>
      </c>
      <c r="Q4116" s="5" t="s">
        <v>766</v>
      </c>
      <c r="R4116" s="11" t="s">
        <v>3652</v>
      </c>
      <c r="S4116" s="5">
        <v>0</v>
      </c>
    </row>
    <row r="4117" spans="1:19" s="1" customFormat="1" ht="51">
      <c r="A4117" s="5">
        <v>4102</v>
      </c>
      <c r="B4117" s="29" t="s">
        <v>710</v>
      </c>
      <c r="C4117" s="35" t="s">
        <v>597</v>
      </c>
      <c r="D4117" s="5" t="s">
        <v>551</v>
      </c>
      <c r="E4117" s="57" t="s">
        <v>3668</v>
      </c>
      <c r="F4117" s="57" t="s">
        <v>553</v>
      </c>
      <c r="G4117" s="57" t="s">
        <v>3668</v>
      </c>
      <c r="H4117" s="57" t="s">
        <v>553</v>
      </c>
      <c r="I4117" s="57" t="s">
        <v>3669</v>
      </c>
      <c r="J4117" s="57" t="s">
        <v>71</v>
      </c>
      <c r="K4117" s="57" t="s">
        <v>591</v>
      </c>
      <c r="L4117" s="11" t="s">
        <v>914</v>
      </c>
      <c r="M4117" s="22">
        <v>1</v>
      </c>
      <c r="N4117" s="46">
        <v>4750</v>
      </c>
      <c r="O4117" s="49">
        <f t="shared" si="114"/>
        <v>4750</v>
      </c>
      <c r="P4117" s="4" t="s">
        <v>588</v>
      </c>
      <c r="Q4117" s="5" t="s">
        <v>766</v>
      </c>
      <c r="R4117" s="11" t="s">
        <v>3652</v>
      </c>
      <c r="S4117" s="5">
        <v>0</v>
      </c>
    </row>
    <row r="4118" spans="1:19" s="1" customFormat="1" ht="51">
      <c r="A4118" s="5">
        <v>4103</v>
      </c>
      <c r="B4118" s="29" t="s">
        <v>710</v>
      </c>
      <c r="C4118" s="35" t="s">
        <v>597</v>
      </c>
      <c r="D4118" s="5" t="s">
        <v>548</v>
      </c>
      <c r="E4118" s="57" t="s">
        <v>549</v>
      </c>
      <c r="F4118" s="57" t="s">
        <v>550</v>
      </c>
      <c r="G4118" s="57" t="s">
        <v>549</v>
      </c>
      <c r="H4118" s="57" t="s">
        <v>550</v>
      </c>
      <c r="I4118" s="57" t="s">
        <v>1410</v>
      </c>
      <c r="J4118" s="57" t="s">
        <v>69</v>
      </c>
      <c r="K4118" s="57" t="s">
        <v>591</v>
      </c>
      <c r="L4118" s="11" t="s">
        <v>914</v>
      </c>
      <c r="M4118" s="22">
        <v>1</v>
      </c>
      <c r="N4118" s="46">
        <v>1029</v>
      </c>
      <c r="O4118" s="49">
        <f t="shared" si="114"/>
        <v>1029</v>
      </c>
      <c r="P4118" s="4" t="s">
        <v>588</v>
      </c>
      <c r="Q4118" s="5" t="s">
        <v>766</v>
      </c>
      <c r="R4118" s="11" t="s">
        <v>3653</v>
      </c>
      <c r="S4118" s="5">
        <v>0</v>
      </c>
    </row>
    <row r="4119" spans="1:19" s="1" customFormat="1" ht="51">
      <c r="A4119" s="5">
        <v>4104</v>
      </c>
      <c r="B4119" s="29" t="s">
        <v>710</v>
      </c>
      <c r="C4119" s="35" t="s">
        <v>597</v>
      </c>
      <c r="D4119" s="5" t="s">
        <v>551</v>
      </c>
      <c r="E4119" s="57" t="s">
        <v>3668</v>
      </c>
      <c r="F4119" s="57" t="s">
        <v>553</v>
      </c>
      <c r="G4119" s="57" t="s">
        <v>3668</v>
      </c>
      <c r="H4119" s="57" t="s">
        <v>553</v>
      </c>
      <c r="I4119" s="57" t="s">
        <v>3669</v>
      </c>
      <c r="J4119" s="57" t="s">
        <v>71</v>
      </c>
      <c r="K4119" s="57" t="s">
        <v>591</v>
      </c>
      <c r="L4119" s="11" t="s">
        <v>914</v>
      </c>
      <c r="M4119" s="22">
        <v>1</v>
      </c>
      <c r="N4119" s="46">
        <v>4750</v>
      </c>
      <c r="O4119" s="49">
        <f t="shared" si="114"/>
        <v>4750</v>
      </c>
      <c r="P4119" s="4" t="s">
        <v>588</v>
      </c>
      <c r="Q4119" s="5" t="s">
        <v>766</v>
      </c>
      <c r="R4119" s="11" t="s">
        <v>3653</v>
      </c>
      <c r="S4119" s="5">
        <v>0</v>
      </c>
    </row>
    <row r="4120" spans="1:19" ht="51" outlineLevel="1">
      <c r="A4120" s="5">
        <v>4105</v>
      </c>
      <c r="B4120" s="15" t="s">
        <v>710</v>
      </c>
      <c r="C4120" s="5" t="s">
        <v>597</v>
      </c>
      <c r="D4120" s="117" t="s">
        <v>695</v>
      </c>
      <c r="E4120" s="57" t="s">
        <v>1781</v>
      </c>
      <c r="F4120" s="57" t="s">
        <v>696</v>
      </c>
      <c r="G4120" s="57" t="s">
        <v>1781</v>
      </c>
      <c r="H4120" s="57" t="s">
        <v>696</v>
      </c>
      <c r="I4120" s="57" t="s">
        <v>3671</v>
      </c>
      <c r="J4120" s="57" t="s">
        <v>3670</v>
      </c>
      <c r="K4120" s="57" t="s">
        <v>591</v>
      </c>
      <c r="L4120" s="11" t="s">
        <v>914</v>
      </c>
      <c r="M4120" s="22">
        <v>1</v>
      </c>
      <c r="N4120" s="46">
        <f>O4120/M4120</f>
        <v>357142</v>
      </c>
      <c r="O4120" s="49">
        <v>357142</v>
      </c>
      <c r="P4120" s="5" t="s">
        <v>506</v>
      </c>
      <c r="Q4120" s="5" t="s">
        <v>766</v>
      </c>
      <c r="R4120" s="11" t="s">
        <v>1175</v>
      </c>
      <c r="S4120" s="22">
        <v>0</v>
      </c>
    </row>
    <row r="4121" spans="1:19" ht="38.25" outlineLevel="1">
      <c r="A4121" s="5">
        <v>4106</v>
      </c>
      <c r="B4121" s="15" t="s">
        <v>710</v>
      </c>
      <c r="C4121" s="5" t="s">
        <v>711</v>
      </c>
      <c r="D4121" s="117" t="s">
        <v>3674</v>
      </c>
      <c r="E4121" s="57" t="s">
        <v>3672</v>
      </c>
      <c r="F4121" s="57" t="s">
        <v>3672</v>
      </c>
      <c r="G4121" s="57" t="s">
        <v>3675</v>
      </c>
      <c r="H4121" s="57" t="s">
        <v>3673</v>
      </c>
      <c r="I4121" s="57" t="s">
        <v>3675</v>
      </c>
      <c r="J4121" s="57" t="s">
        <v>3673</v>
      </c>
      <c r="K4121" s="57" t="s">
        <v>591</v>
      </c>
      <c r="L4121" s="31" t="s">
        <v>644</v>
      </c>
      <c r="M4121" s="22">
        <v>5</v>
      </c>
      <c r="N4121" s="46">
        <f>O4121/M4121</f>
        <v>14620</v>
      </c>
      <c r="O4121" s="49">
        <v>73100</v>
      </c>
      <c r="P4121" s="5" t="s">
        <v>588</v>
      </c>
      <c r="Q4121" s="5" t="s">
        <v>588</v>
      </c>
      <c r="R4121" s="11" t="s">
        <v>1175</v>
      </c>
      <c r="S4121" s="22">
        <v>100</v>
      </c>
    </row>
    <row r="4122" spans="1:19" ht="51" outlineLevel="1">
      <c r="A4122" s="5">
        <v>4107</v>
      </c>
      <c r="B4122" s="15" t="s">
        <v>710</v>
      </c>
      <c r="C4122" s="5" t="s">
        <v>597</v>
      </c>
      <c r="D4122" s="40" t="s">
        <v>3118</v>
      </c>
      <c r="E4122" s="40" t="s">
        <v>3119</v>
      </c>
      <c r="F4122" s="40" t="s">
        <v>3120</v>
      </c>
      <c r="G4122" s="40" t="s">
        <v>3121</v>
      </c>
      <c r="H4122" s="40" t="s">
        <v>3122</v>
      </c>
      <c r="I4122" s="40" t="s">
        <v>3677</v>
      </c>
      <c r="J4122" s="40" t="s">
        <v>3676</v>
      </c>
      <c r="K4122" s="57" t="s">
        <v>591</v>
      </c>
      <c r="L4122" s="11" t="s">
        <v>914</v>
      </c>
      <c r="M4122" s="22">
        <v>1</v>
      </c>
      <c r="N4122" s="46">
        <f>O4122/M4122</f>
        <v>1152007.21</v>
      </c>
      <c r="O4122" s="49">
        <v>1152007.21</v>
      </c>
      <c r="P4122" s="5" t="s">
        <v>588</v>
      </c>
      <c r="Q4122" s="5" t="s">
        <v>3678</v>
      </c>
      <c r="R4122" s="11" t="s">
        <v>1175</v>
      </c>
      <c r="S4122" s="22">
        <v>100</v>
      </c>
    </row>
    <row r="4123" spans="1:19" s="7" customFormat="1" ht="76.5">
      <c r="A4123" s="5">
        <v>4108</v>
      </c>
      <c r="B4123" s="15" t="s">
        <v>710</v>
      </c>
      <c r="C4123" s="5" t="s">
        <v>597</v>
      </c>
      <c r="D4123" s="15" t="s">
        <v>2883</v>
      </c>
      <c r="E4123" s="31" t="s">
        <v>2887</v>
      </c>
      <c r="F4123" s="31" t="s">
        <v>2884</v>
      </c>
      <c r="G4123" s="31" t="s">
        <v>2888</v>
      </c>
      <c r="H4123" s="31" t="s">
        <v>2885</v>
      </c>
      <c r="I4123" s="31" t="s">
        <v>3680</v>
      </c>
      <c r="J4123" s="31" t="s">
        <v>3679</v>
      </c>
      <c r="K4123" s="5" t="s">
        <v>591</v>
      </c>
      <c r="L4123" s="31" t="s">
        <v>914</v>
      </c>
      <c r="M4123" s="6">
        <v>1</v>
      </c>
      <c r="N4123" s="71">
        <f t="shared" ref="N4123" si="115">O4123/M4123</f>
        <v>3303571</v>
      </c>
      <c r="O4123" s="71">
        <v>3303571</v>
      </c>
      <c r="P4123" s="5" t="s">
        <v>506</v>
      </c>
      <c r="Q4123" s="5" t="s">
        <v>3681</v>
      </c>
      <c r="R4123" s="11">
        <v>751110000</v>
      </c>
      <c r="S4123" s="5">
        <v>50</v>
      </c>
    </row>
    <row r="4124" spans="1:19" s="7" customFormat="1" ht="51">
      <c r="A4124" s="5">
        <v>4109</v>
      </c>
      <c r="B4124" s="15" t="s">
        <v>710</v>
      </c>
      <c r="C4124" s="5" t="s">
        <v>597</v>
      </c>
      <c r="D4124" s="15" t="s">
        <v>3682</v>
      </c>
      <c r="E4124" s="31" t="s">
        <v>3686</v>
      </c>
      <c r="F4124" s="31" t="s">
        <v>3683</v>
      </c>
      <c r="G4124" s="31" t="s">
        <v>3687</v>
      </c>
      <c r="H4124" s="31" t="s">
        <v>3684</v>
      </c>
      <c r="I4124" s="31" t="s">
        <v>3688</v>
      </c>
      <c r="J4124" s="31" t="s">
        <v>3685</v>
      </c>
      <c r="K4124" s="5" t="s">
        <v>591</v>
      </c>
      <c r="L4124" s="31" t="s">
        <v>914</v>
      </c>
      <c r="M4124" s="6">
        <v>1</v>
      </c>
      <c r="N4124" s="71">
        <f t="shared" ref="N4124" si="116">O4124/M4124</f>
        <v>3303571</v>
      </c>
      <c r="O4124" s="71">
        <v>3303571</v>
      </c>
      <c r="P4124" s="5" t="s">
        <v>506</v>
      </c>
      <c r="Q4124" s="5" t="s">
        <v>3681</v>
      </c>
      <c r="R4124" s="11" t="s">
        <v>1175</v>
      </c>
      <c r="S4124" s="5">
        <v>50</v>
      </c>
    </row>
    <row r="4125" spans="1:19" ht="127.5">
      <c r="A4125" s="5">
        <v>4110</v>
      </c>
      <c r="B4125" s="15" t="s">
        <v>710</v>
      </c>
      <c r="C4125" s="30" t="s">
        <v>711</v>
      </c>
      <c r="D4125" s="5" t="s">
        <v>387</v>
      </c>
      <c r="E4125" s="57" t="s">
        <v>388</v>
      </c>
      <c r="F4125" s="57" t="s">
        <v>388</v>
      </c>
      <c r="G4125" s="57" t="s">
        <v>3690</v>
      </c>
      <c r="H4125" s="57" t="s">
        <v>3689</v>
      </c>
      <c r="I4125" s="57" t="s">
        <v>2102</v>
      </c>
      <c r="J4125" s="57" t="s">
        <v>390</v>
      </c>
      <c r="K4125" s="57" t="s">
        <v>591</v>
      </c>
      <c r="L4125" s="31" t="s">
        <v>644</v>
      </c>
      <c r="M4125" s="22">
        <v>4</v>
      </c>
      <c r="N4125" s="46">
        <f>O4125/M4125</f>
        <v>31875</v>
      </c>
      <c r="O4125" s="49">
        <v>127500</v>
      </c>
      <c r="P4125" s="5" t="s">
        <v>506</v>
      </c>
      <c r="Q4125" s="14" t="s">
        <v>506</v>
      </c>
      <c r="R4125" s="11" t="s">
        <v>2022</v>
      </c>
      <c r="S4125" s="22">
        <v>100</v>
      </c>
    </row>
    <row r="4126" spans="1:19" ht="76.5">
      <c r="A4126" s="5">
        <v>4111</v>
      </c>
      <c r="B4126" s="29" t="s">
        <v>710</v>
      </c>
      <c r="C4126" s="5" t="s">
        <v>597</v>
      </c>
      <c r="D4126" s="11" t="s">
        <v>2983</v>
      </c>
      <c r="E4126" s="57" t="s">
        <v>2985</v>
      </c>
      <c r="F4126" s="57" t="s">
        <v>2984</v>
      </c>
      <c r="G4126" s="57" t="s">
        <v>2985</v>
      </c>
      <c r="H4126" s="57" t="s">
        <v>2984</v>
      </c>
      <c r="I4126" s="57" t="s">
        <v>3694</v>
      </c>
      <c r="J4126" s="57" t="s">
        <v>3693</v>
      </c>
      <c r="K4126" s="57" t="s">
        <v>591</v>
      </c>
      <c r="L4126" s="31" t="s">
        <v>914</v>
      </c>
      <c r="M4126" s="9">
        <v>1</v>
      </c>
      <c r="N4126" s="46">
        <f t="shared" ref="N4126:N4134" si="117">O4126/M4126</f>
        <v>1652000</v>
      </c>
      <c r="O4126" s="49">
        <v>1652000</v>
      </c>
      <c r="P4126" s="14" t="s">
        <v>506</v>
      </c>
      <c r="Q4126" s="14" t="s">
        <v>766</v>
      </c>
      <c r="R4126" s="11" t="s">
        <v>1175</v>
      </c>
      <c r="S4126" s="14">
        <v>50</v>
      </c>
    </row>
    <row r="4127" spans="1:19" ht="54.75" customHeight="1" outlineLevel="1">
      <c r="A4127" s="5">
        <v>4112</v>
      </c>
      <c r="B4127" s="29" t="s">
        <v>710</v>
      </c>
      <c r="C4127" s="30" t="s">
        <v>711</v>
      </c>
      <c r="D4127" s="11" t="s">
        <v>976</v>
      </c>
      <c r="E4127" s="57" t="s">
        <v>730</v>
      </c>
      <c r="F4127" s="57" t="s">
        <v>731</v>
      </c>
      <c r="G4127" s="57" t="s">
        <v>977</v>
      </c>
      <c r="H4127" s="57" t="s">
        <v>978</v>
      </c>
      <c r="I4127" s="57" t="s">
        <v>730</v>
      </c>
      <c r="J4127" s="57" t="s">
        <v>731</v>
      </c>
      <c r="K4127" s="57" t="s">
        <v>591</v>
      </c>
      <c r="L4127" s="31" t="s">
        <v>644</v>
      </c>
      <c r="M4127" s="22">
        <v>2</v>
      </c>
      <c r="N4127" s="46">
        <f t="shared" si="117"/>
        <v>21500</v>
      </c>
      <c r="O4127" s="49">
        <v>43000</v>
      </c>
      <c r="P4127" s="5" t="s">
        <v>506</v>
      </c>
      <c r="Q4127" s="15" t="s">
        <v>3381</v>
      </c>
      <c r="R4127" s="11" t="s">
        <v>2029</v>
      </c>
      <c r="S4127" s="5">
        <v>50</v>
      </c>
    </row>
    <row r="4128" spans="1:19" ht="54.75" customHeight="1" outlineLevel="1">
      <c r="A4128" s="5">
        <v>4113</v>
      </c>
      <c r="B4128" s="29" t="s">
        <v>710</v>
      </c>
      <c r="C4128" s="30" t="s">
        <v>711</v>
      </c>
      <c r="D4128" s="11" t="s">
        <v>729</v>
      </c>
      <c r="E4128" s="57" t="s">
        <v>730</v>
      </c>
      <c r="F4128" s="57" t="s">
        <v>731</v>
      </c>
      <c r="G4128" s="57" t="s">
        <v>732</v>
      </c>
      <c r="H4128" s="57" t="s">
        <v>733</v>
      </c>
      <c r="I4128" s="57" t="s">
        <v>730</v>
      </c>
      <c r="J4128" s="57" t="s">
        <v>731</v>
      </c>
      <c r="K4128" s="57" t="s">
        <v>591</v>
      </c>
      <c r="L4128" s="31" t="s">
        <v>644</v>
      </c>
      <c r="M4128" s="22">
        <v>2</v>
      </c>
      <c r="N4128" s="46">
        <f t="shared" si="117"/>
        <v>23600</v>
      </c>
      <c r="O4128" s="49">
        <v>47200</v>
      </c>
      <c r="P4128" s="5" t="s">
        <v>506</v>
      </c>
      <c r="Q4128" s="15" t="s">
        <v>3381</v>
      </c>
      <c r="R4128" s="11" t="s">
        <v>2029</v>
      </c>
      <c r="S4128" s="5">
        <v>50</v>
      </c>
    </row>
    <row r="4129" spans="1:19" ht="84" customHeight="1">
      <c r="A4129" s="5">
        <v>4114</v>
      </c>
      <c r="B4129" s="15" t="s">
        <v>710</v>
      </c>
      <c r="C4129" s="5" t="s">
        <v>711</v>
      </c>
      <c r="D4129" s="10" t="s">
        <v>748</v>
      </c>
      <c r="E4129" s="31" t="s">
        <v>979</v>
      </c>
      <c r="F4129" s="31" t="s">
        <v>979</v>
      </c>
      <c r="G4129" s="31" t="s">
        <v>750</v>
      </c>
      <c r="H4129" s="31" t="s">
        <v>751</v>
      </c>
      <c r="I4129" s="31" t="s">
        <v>979</v>
      </c>
      <c r="J4129" s="31" t="s">
        <v>979</v>
      </c>
      <c r="K4129" s="57" t="s">
        <v>591</v>
      </c>
      <c r="L4129" s="31" t="s">
        <v>644</v>
      </c>
      <c r="M4129" s="5">
        <v>2</v>
      </c>
      <c r="N4129" s="46">
        <f t="shared" si="117"/>
        <v>6950</v>
      </c>
      <c r="O4129" s="83">
        <v>13900</v>
      </c>
      <c r="P4129" s="5" t="s">
        <v>506</v>
      </c>
      <c r="Q4129" s="15" t="s">
        <v>3381</v>
      </c>
      <c r="R4129" s="11" t="s">
        <v>2029</v>
      </c>
      <c r="S4129" s="5">
        <v>50</v>
      </c>
    </row>
    <row r="4130" spans="1:19" ht="63.75">
      <c r="A4130" s="5">
        <v>4115</v>
      </c>
      <c r="B4130" s="15" t="s">
        <v>710</v>
      </c>
      <c r="C4130" s="5" t="s">
        <v>711</v>
      </c>
      <c r="D4130" s="15" t="s">
        <v>3383</v>
      </c>
      <c r="E4130" s="31" t="s">
        <v>1529</v>
      </c>
      <c r="F4130" s="31" t="s">
        <v>1529</v>
      </c>
      <c r="G4130" s="31" t="s">
        <v>3384</v>
      </c>
      <c r="H4130" s="31" t="s">
        <v>3385</v>
      </c>
      <c r="I4130" s="31" t="s">
        <v>1529</v>
      </c>
      <c r="J4130" s="31" t="s">
        <v>1529</v>
      </c>
      <c r="K4130" s="57" t="s">
        <v>591</v>
      </c>
      <c r="L4130" s="31" t="s">
        <v>644</v>
      </c>
      <c r="M4130" s="5">
        <v>2</v>
      </c>
      <c r="N4130" s="46">
        <f t="shared" si="117"/>
        <v>10000</v>
      </c>
      <c r="O4130" s="83">
        <v>20000</v>
      </c>
      <c r="P4130" s="5" t="s">
        <v>506</v>
      </c>
      <c r="Q4130" s="15" t="s">
        <v>3381</v>
      </c>
      <c r="R4130" s="11" t="s">
        <v>2029</v>
      </c>
      <c r="S4130" s="5">
        <v>50</v>
      </c>
    </row>
    <row r="4131" spans="1:19" s="13" customFormat="1" ht="76.5">
      <c r="A4131" s="5">
        <v>4116</v>
      </c>
      <c r="B4131" s="15" t="s">
        <v>710</v>
      </c>
      <c r="C4131" s="30" t="s">
        <v>711</v>
      </c>
      <c r="D4131" s="15" t="s">
        <v>723</v>
      </c>
      <c r="E4131" s="57" t="s">
        <v>874</v>
      </c>
      <c r="F4131" s="57" t="s">
        <v>874</v>
      </c>
      <c r="G4131" s="57" t="s">
        <v>875</v>
      </c>
      <c r="H4131" s="57" t="s">
        <v>876</v>
      </c>
      <c r="I4131" s="57" t="s">
        <v>2085</v>
      </c>
      <c r="J4131" s="57" t="s">
        <v>339</v>
      </c>
      <c r="K4131" s="57" t="s">
        <v>591</v>
      </c>
      <c r="L4131" s="31" t="s">
        <v>644</v>
      </c>
      <c r="M4131" s="22">
        <v>2</v>
      </c>
      <c r="N4131" s="46">
        <f t="shared" si="117"/>
        <v>21600</v>
      </c>
      <c r="O4131" s="49">
        <v>43200</v>
      </c>
      <c r="P4131" s="5" t="s">
        <v>506</v>
      </c>
      <c r="Q4131" s="15" t="s">
        <v>3381</v>
      </c>
      <c r="R4131" s="11" t="s">
        <v>2029</v>
      </c>
      <c r="S4131" s="22">
        <v>50</v>
      </c>
    </row>
    <row r="4132" spans="1:19" s="13" customFormat="1" ht="102">
      <c r="A4132" s="5">
        <v>4117</v>
      </c>
      <c r="B4132" s="15" t="s">
        <v>710</v>
      </c>
      <c r="C4132" s="30" t="s">
        <v>711</v>
      </c>
      <c r="D4132" s="15" t="s">
        <v>716</v>
      </c>
      <c r="E4132" s="57" t="s">
        <v>874</v>
      </c>
      <c r="F4132" s="57" t="s">
        <v>874</v>
      </c>
      <c r="G4132" s="57" t="s">
        <v>877</v>
      </c>
      <c r="H4132" s="57" t="s">
        <v>718</v>
      </c>
      <c r="I4132" s="57" t="s">
        <v>2086</v>
      </c>
      <c r="J4132" s="57" t="s">
        <v>340</v>
      </c>
      <c r="K4132" s="57" t="s">
        <v>591</v>
      </c>
      <c r="L4132" s="31" t="s">
        <v>644</v>
      </c>
      <c r="M4132" s="22">
        <v>2</v>
      </c>
      <c r="N4132" s="46">
        <f t="shared" ref="N4132" si="118">O4132/M4132</f>
        <v>20300</v>
      </c>
      <c r="O4132" s="49">
        <v>40600</v>
      </c>
      <c r="P4132" s="5" t="s">
        <v>506</v>
      </c>
      <c r="Q4132" s="15" t="s">
        <v>3381</v>
      </c>
      <c r="R4132" s="11" t="s">
        <v>2029</v>
      </c>
      <c r="S4132" s="22">
        <v>50</v>
      </c>
    </row>
    <row r="4133" spans="1:19" s="13" customFormat="1" ht="63.75">
      <c r="A4133" s="5">
        <v>4118</v>
      </c>
      <c r="B4133" s="15" t="s">
        <v>710</v>
      </c>
      <c r="C4133" s="5" t="s">
        <v>597</v>
      </c>
      <c r="D4133" s="15" t="s">
        <v>3695</v>
      </c>
      <c r="E4133" s="57" t="s">
        <v>3699</v>
      </c>
      <c r="F4133" s="57" t="s">
        <v>3698</v>
      </c>
      <c r="G4133" s="57" t="s">
        <v>3700</v>
      </c>
      <c r="H4133" s="57" t="s">
        <v>3697</v>
      </c>
      <c r="I4133" s="57" t="s">
        <v>3701</v>
      </c>
      <c r="J4133" s="57" t="s">
        <v>3696</v>
      </c>
      <c r="K4133" s="57" t="s">
        <v>591</v>
      </c>
      <c r="L4133" s="31" t="s">
        <v>914</v>
      </c>
      <c r="M4133" s="22">
        <v>1</v>
      </c>
      <c r="N4133" s="46">
        <f t="shared" si="117"/>
        <v>570000</v>
      </c>
      <c r="O4133" s="49">
        <v>570000</v>
      </c>
      <c r="P4133" s="5" t="s">
        <v>506</v>
      </c>
      <c r="Q4133" s="15" t="s">
        <v>3381</v>
      </c>
      <c r="R4133" s="11" t="s">
        <v>633</v>
      </c>
      <c r="S4133" s="22">
        <v>100</v>
      </c>
    </row>
    <row r="4134" spans="1:19" s="37" customFormat="1" ht="38.25">
      <c r="A4134" s="5">
        <v>4119</v>
      </c>
      <c r="B4134" s="15" t="s">
        <v>710</v>
      </c>
      <c r="C4134" s="5" t="s">
        <v>1464</v>
      </c>
      <c r="D4134" s="5" t="s">
        <v>3055</v>
      </c>
      <c r="E4134" s="5" t="s">
        <v>3058</v>
      </c>
      <c r="F4134" s="57" t="s">
        <v>3056</v>
      </c>
      <c r="G4134" s="5" t="s">
        <v>3059</v>
      </c>
      <c r="H4134" s="57" t="s">
        <v>3057</v>
      </c>
      <c r="I4134" s="5" t="s">
        <v>3703</v>
      </c>
      <c r="J4134" s="57" t="s">
        <v>3702</v>
      </c>
      <c r="K4134" s="57" t="s">
        <v>591</v>
      </c>
      <c r="L4134" s="11" t="s">
        <v>1464</v>
      </c>
      <c r="M4134" s="22">
        <v>1</v>
      </c>
      <c r="N4134" s="46">
        <f t="shared" si="117"/>
        <v>580357</v>
      </c>
      <c r="O4134" s="49">
        <v>580357</v>
      </c>
      <c r="P4134" s="5" t="s">
        <v>506</v>
      </c>
      <c r="Q4134" s="5" t="s">
        <v>506</v>
      </c>
      <c r="R4134" s="11" t="s">
        <v>633</v>
      </c>
      <c r="S4134" s="5">
        <v>100</v>
      </c>
    </row>
    <row r="4135" spans="1:19" s="7" customFormat="1" ht="89.25">
      <c r="A4135" s="4">
        <v>4120</v>
      </c>
      <c r="B4135" s="29" t="s">
        <v>710</v>
      </c>
      <c r="C4135" s="35" t="s">
        <v>597</v>
      </c>
      <c r="D4135" s="5" t="s">
        <v>3704</v>
      </c>
      <c r="E4135" s="5" t="s">
        <v>3707</v>
      </c>
      <c r="F4135" s="5" t="s">
        <v>3706</v>
      </c>
      <c r="G4135" s="5" t="s">
        <v>3708</v>
      </c>
      <c r="H4135" s="31" t="s">
        <v>3705</v>
      </c>
      <c r="I4135" s="5" t="s">
        <v>3707</v>
      </c>
      <c r="J4135" s="5" t="s">
        <v>3706</v>
      </c>
      <c r="K4135" s="5" t="s">
        <v>591</v>
      </c>
      <c r="L4135" s="11" t="s">
        <v>914</v>
      </c>
      <c r="M4135" s="6">
        <v>1</v>
      </c>
      <c r="N4135" s="71">
        <f t="shared" ref="N4135" si="119">O4135</f>
        <v>84000</v>
      </c>
      <c r="O4135" s="71">
        <v>84000</v>
      </c>
      <c r="P4135" s="5" t="s">
        <v>506</v>
      </c>
      <c r="Q4135" s="5" t="s">
        <v>506</v>
      </c>
      <c r="R4135" s="11" t="s">
        <v>633</v>
      </c>
      <c r="S4135" s="5">
        <v>0</v>
      </c>
    </row>
    <row r="4136" spans="1:19" s="32" customFormat="1" ht="119.25" customHeight="1">
      <c r="A4136" s="5">
        <v>4121</v>
      </c>
      <c r="B4136" s="29" t="s">
        <v>710</v>
      </c>
      <c r="C4136" s="30" t="s">
        <v>711</v>
      </c>
      <c r="D4136" s="5" t="s">
        <v>883</v>
      </c>
      <c r="E4136" s="57" t="s">
        <v>3710</v>
      </c>
      <c r="F4136" s="57" t="s">
        <v>3709</v>
      </c>
      <c r="G4136" s="57" t="s">
        <v>3716</v>
      </c>
      <c r="H4136" s="57" t="s">
        <v>3380</v>
      </c>
      <c r="I4136" s="57" t="s">
        <v>169</v>
      </c>
      <c r="J4136" s="57" t="s">
        <v>169</v>
      </c>
      <c r="K4136" s="57" t="s">
        <v>591</v>
      </c>
      <c r="L4136" s="31" t="s">
        <v>644</v>
      </c>
      <c r="M4136" s="22">
        <v>13</v>
      </c>
      <c r="N4136" s="46">
        <f>O4136/M4136</f>
        <v>57143</v>
      </c>
      <c r="O4136" s="49">
        <v>742859</v>
      </c>
      <c r="P4136" s="5" t="s">
        <v>506</v>
      </c>
      <c r="Q4136" s="5" t="s">
        <v>506</v>
      </c>
      <c r="R4136" s="11" t="s">
        <v>633</v>
      </c>
      <c r="S4136" s="22">
        <v>100</v>
      </c>
    </row>
    <row r="4137" spans="1:19" s="32" customFormat="1" ht="87" customHeight="1">
      <c r="A4137" s="5">
        <v>4122</v>
      </c>
      <c r="B4137" s="29" t="s">
        <v>710</v>
      </c>
      <c r="C4137" s="30" t="s">
        <v>711</v>
      </c>
      <c r="D4137" s="5" t="s">
        <v>3711</v>
      </c>
      <c r="E4137" s="57" t="s">
        <v>3713</v>
      </c>
      <c r="F4137" s="57" t="s">
        <v>3712</v>
      </c>
      <c r="G4137" s="57" t="s">
        <v>3715</v>
      </c>
      <c r="H4137" s="57" t="s">
        <v>3714</v>
      </c>
      <c r="I4137" s="57" t="s">
        <v>169</v>
      </c>
      <c r="J4137" s="57" t="s">
        <v>169</v>
      </c>
      <c r="K4137" s="57" t="s">
        <v>591</v>
      </c>
      <c r="L4137" s="31" t="s">
        <v>644</v>
      </c>
      <c r="M4137" s="22">
        <v>2</v>
      </c>
      <c r="N4137" s="46">
        <f>O4137/M4137</f>
        <v>61608</v>
      </c>
      <c r="O4137" s="49">
        <v>123216</v>
      </c>
      <c r="P4137" s="5" t="s">
        <v>506</v>
      </c>
      <c r="Q4137" s="5" t="s">
        <v>506</v>
      </c>
      <c r="R4137" s="11" t="s">
        <v>633</v>
      </c>
      <c r="S4137" s="22">
        <v>100</v>
      </c>
    </row>
    <row r="4138" spans="1:19" s="7" customFormat="1" ht="38.25">
      <c r="A4138" s="5">
        <v>4123</v>
      </c>
      <c r="B4138" s="29" t="s">
        <v>710</v>
      </c>
      <c r="C4138" s="30" t="s">
        <v>711</v>
      </c>
      <c r="D4138" s="10" t="s">
        <v>2508</v>
      </c>
      <c r="E4138" s="31" t="s">
        <v>2509</v>
      </c>
      <c r="F4138" s="31" t="s">
        <v>2510</v>
      </c>
      <c r="G4138" s="31" t="s">
        <v>2511</v>
      </c>
      <c r="H4138" s="31" t="s">
        <v>2512</v>
      </c>
      <c r="I4138" s="31" t="s">
        <v>3718</v>
      </c>
      <c r="J4138" s="31" t="s">
        <v>3717</v>
      </c>
      <c r="K4138" s="5" t="s">
        <v>591</v>
      </c>
      <c r="L4138" s="31" t="s">
        <v>644</v>
      </c>
      <c r="M4138" s="6">
        <v>1</v>
      </c>
      <c r="N4138" s="71">
        <f>O4138/M4138</f>
        <v>30000</v>
      </c>
      <c r="O4138" s="71">
        <v>30000</v>
      </c>
      <c r="P4138" s="5" t="s">
        <v>506</v>
      </c>
      <c r="Q4138" s="5" t="s">
        <v>586</v>
      </c>
      <c r="R4138" s="15" t="s">
        <v>789</v>
      </c>
      <c r="S4138" s="5">
        <v>100</v>
      </c>
    </row>
    <row r="4139" spans="1:19" s="90" customFormat="1" ht="63.75">
      <c r="A4139" s="4">
        <v>4124</v>
      </c>
      <c r="B4139" s="29" t="s">
        <v>710</v>
      </c>
      <c r="C4139" s="35" t="s">
        <v>597</v>
      </c>
      <c r="D4139" s="5" t="s">
        <v>3719</v>
      </c>
      <c r="E4139" s="5" t="s">
        <v>3720</v>
      </c>
      <c r="F4139" s="5" t="s">
        <v>3721</v>
      </c>
      <c r="G4139" s="5" t="s">
        <v>3720</v>
      </c>
      <c r="H4139" s="5" t="s">
        <v>3721</v>
      </c>
      <c r="I4139" s="5" t="s">
        <v>3723</v>
      </c>
      <c r="J4139" s="5" t="s">
        <v>3722</v>
      </c>
      <c r="K4139" s="5" t="s">
        <v>591</v>
      </c>
      <c r="L4139" s="11" t="s">
        <v>914</v>
      </c>
      <c r="M4139" s="5">
        <v>1</v>
      </c>
      <c r="N4139" s="85">
        <f t="shared" ref="N4139:N4160" si="120">O4139/M4139</f>
        <v>12000</v>
      </c>
      <c r="O4139" s="85">
        <v>12000</v>
      </c>
      <c r="P4139" s="5" t="s">
        <v>506</v>
      </c>
      <c r="Q4139" s="5" t="s">
        <v>586</v>
      </c>
      <c r="R4139" s="15" t="s">
        <v>789</v>
      </c>
      <c r="S4139" s="5">
        <v>100</v>
      </c>
    </row>
    <row r="4140" spans="1:19" s="13" customFormat="1" ht="76.5">
      <c r="A4140" s="5">
        <v>4125</v>
      </c>
      <c r="B4140" s="29" t="s">
        <v>710</v>
      </c>
      <c r="C4140" s="35" t="s">
        <v>597</v>
      </c>
      <c r="D4140" s="31" t="s">
        <v>589</v>
      </c>
      <c r="E4140" s="57" t="s">
        <v>2045</v>
      </c>
      <c r="F4140" s="57" t="s">
        <v>709</v>
      </c>
      <c r="G4140" s="57" t="s">
        <v>2045</v>
      </c>
      <c r="H4140" s="57" t="s">
        <v>590</v>
      </c>
      <c r="I4140" s="57" t="s">
        <v>3725</v>
      </c>
      <c r="J4140" s="57" t="s">
        <v>3724</v>
      </c>
      <c r="K4140" s="57" t="s">
        <v>591</v>
      </c>
      <c r="L4140" s="11" t="s">
        <v>914</v>
      </c>
      <c r="M4140" s="22">
        <v>1</v>
      </c>
      <c r="N4140" s="46">
        <f t="shared" si="120"/>
        <v>237000</v>
      </c>
      <c r="O4140" s="49">
        <v>237000</v>
      </c>
      <c r="P4140" s="5" t="s">
        <v>506</v>
      </c>
      <c r="Q4140" s="5" t="s">
        <v>766</v>
      </c>
      <c r="R4140" s="11" t="s">
        <v>2030</v>
      </c>
      <c r="S4140" s="22">
        <v>100</v>
      </c>
    </row>
    <row r="4141" spans="1:19" s="13" customFormat="1" ht="76.5">
      <c r="A4141" s="5">
        <v>4126</v>
      </c>
      <c r="B4141" s="15" t="s">
        <v>710</v>
      </c>
      <c r="C4141" s="31" t="s">
        <v>597</v>
      </c>
      <c r="D4141" s="31" t="s">
        <v>589</v>
      </c>
      <c r="E4141" s="57" t="s">
        <v>2045</v>
      </c>
      <c r="F4141" s="57" t="s">
        <v>709</v>
      </c>
      <c r="G4141" s="57" t="s">
        <v>2045</v>
      </c>
      <c r="H4141" s="57" t="s">
        <v>590</v>
      </c>
      <c r="I4141" s="57" t="s">
        <v>3725</v>
      </c>
      <c r="J4141" s="57" t="s">
        <v>3724</v>
      </c>
      <c r="K4141" s="57" t="s">
        <v>591</v>
      </c>
      <c r="L4141" s="11" t="s">
        <v>914</v>
      </c>
      <c r="M4141" s="22">
        <v>1</v>
      </c>
      <c r="N4141" s="46">
        <f t="shared" si="120"/>
        <v>240000</v>
      </c>
      <c r="O4141" s="49">
        <v>240000</v>
      </c>
      <c r="P4141" s="5" t="s">
        <v>506</v>
      </c>
      <c r="Q4141" s="5" t="s">
        <v>766</v>
      </c>
      <c r="R4141" s="11" t="s">
        <v>1021</v>
      </c>
      <c r="S4141" s="22">
        <v>100</v>
      </c>
    </row>
    <row r="4142" spans="1:19" s="13" customFormat="1" ht="76.5">
      <c r="A4142" s="5">
        <v>4127</v>
      </c>
      <c r="B4142" s="15" t="s">
        <v>710</v>
      </c>
      <c r="C4142" s="31" t="s">
        <v>597</v>
      </c>
      <c r="D4142" s="31" t="s">
        <v>589</v>
      </c>
      <c r="E4142" s="57" t="s">
        <v>2045</v>
      </c>
      <c r="F4142" s="57" t="s">
        <v>709</v>
      </c>
      <c r="G4142" s="57" t="s">
        <v>2045</v>
      </c>
      <c r="H4142" s="57" t="s">
        <v>590</v>
      </c>
      <c r="I4142" s="57" t="s">
        <v>3725</v>
      </c>
      <c r="J4142" s="57" t="s">
        <v>3724</v>
      </c>
      <c r="K4142" s="57" t="s">
        <v>591</v>
      </c>
      <c r="L4142" s="11" t="s">
        <v>914</v>
      </c>
      <c r="M4142" s="22">
        <v>1</v>
      </c>
      <c r="N4142" s="46">
        <f t="shared" si="120"/>
        <v>432000</v>
      </c>
      <c r="O4142" s="49">
        <v>432000</v>
      </c>
      <c r="P4142" s="5" t="s">
        <v>506</v>
      </c>
      <c r="Q4142" s="5" t="s">
        <v>766</v>
      </c>
      <c r="R4142" s="11" t="s">
        <v>2023</v>
      </c>
      <c r="S4142" s="22">
        <v>100</v>
      </c>
    </row>
    <row r="4143" spans="1:19" s="13" customFormat="1" ht="76.5">
      <c r="A4143" s="5">
        <v>4128</v>
      </c>
      <c r="B4143" s="15" t="s">
        <v>710</v>
      </c>
      <c r="C4143" s="31" t="s">
        <v>597</v>
      </c>
      <c r="D4143" s="31" t="s">
        <v>589</v>
      </c>
      <c r="E4143" s="57" t="s">
        <v>2045</v>
      </c>
      <c r="F4143" s="57" t="s">
        <v>709</v>
      </c>
      <c r="G4143" s="57" t="s">
        <v>2045</v>
      </c>
      <c r="H4143" s="57" t="s">
        <v>590</v>
      </c>
      <c r="I4143" s="57" t="s">
        <v>3725</v>
      </c>
      <c r="J4143" s="57" t="s">
        <v>3724</v>
      </c>
      <c r="K4143" s="57" t="s">
        <v>591</v>
      </c>
      <c r="L4143" s="11" t="s">
        <v>914</v>
      </c>
      <c r="M4143" s="22">
        <v>1</v>
      </c>
      <c r="N4143" s="46">
        <f t="shared" si="120"/>
        <v>300000</v>
      </c>
      <c r="O4143" s="49">
        <v>300000</v>
      </c>
      <c r="P4143" s="5" t="s">
        <v>506</v>
      </c>
      <c r="Q4143" s="5" t="s">
        <v>766</v>
      </c>
      <c r="R4143" s="11" t="s">
        <v>633</v>
      </c>
      <c r="S4143" s="22">
        <v>100</v>
      </c>
    </row>
    <row r="4144" spans="1:19" s="13" customFormat="1" ht="76.5">
      <c r="A4144" s="5">
        <v>4129</v>
      </c>
      <c r="B4144" s="15" t="s">
        <v>710</v>
      </c>
      <c r="C4144" s="31" t="s">
        <v>597</v>
      </c>
      <c r="D4144" s="31" t="s">
        <v>589</v>
      </c>
      <c r="E4144" s="57" t="s">
        <v>2045</v>
      </c>
      <c r="F4144" s="57" t="s">
        <v>709</v>
      </c>
      <c r="G4144" s="57" t="s">
        <v>2045</v>
      </c>
      <c r="H4144" s="57" t="s">
        <v>590</v>
      </c>
      <c r="I4144" s="57" t="s">
        <v>3725</v>
      </c>
      <c r="J4144" s="57" t="s">
        <v>3724</v>
      </c>
      <c r="K4144" s="57" t="s">
        <v>591</v>
      </c>
      <c r="L4144" s="11" t="s">
        <v>914</v>
      </c>
      <c r="M4144" s="22">
        <v>1</v>
      </c>
      <c r="N4144" s="46">
        <f t="shared" si="120"/>
        <v>229320</v>
      </c>
      <c r="O4144" s="49">
        <v>229320</v>
      </c>
      <c r="P4144" s="5" t="s">
        <v>506</v>
      </c>
      <c r="Q4144" s="5" t="s">
        <v>766</v>
      </c>
      <c r="R4144" s="11" t="s">
        <v>925</v>
      </c>
      <c r="S4144" s="22">
        <v>100</v>
      </c>
    </row>
    <row r="4145" spans="1:19" s="13" customFormat="1" ht="76.5">
      <c r="A4145" s="5">
        <v>4130</v>
      </c>
      <c r="B4145" s="15" t="s">
        <v>710</v>
      </c>
      <c r="C4145" s="31" t="s">
        <v>597</v>
      </c>
      <c r="D4145" s="31" t="s">
        <v>589</v>
      </c>
      <c r="E4145" s="57" t="s">
        <v>2045</v>
      </c>
      <c r="F4145" s="57" t="s">
        <v>709</v>
      </c>
      <c r="G4145" s="57" t="s">
        <v>2045</v>
      </c>
      <c r="H4145" s="57" t="s">
        <v>590</v>
      </c>
      <c r="I4145" s="57" t="s">
        <v>3725</v>
      </c>
      <c r="J4145" s="57" t="s">
        <v>3724</v>
      </c>
      <c r="K4145" s="57" t="s">
        <v>591</v>
      </c>
      <c r="L4145" s="11" t="s">
        <v>914</v>
      </c>
      <c r="M4145" s="22">
        <v>1</v>
      </c>
      <c r="N4145" s="46">
        <f t="shared" si="120"/>
        <v>225388</v>
      </c>
      <c r="O4145" s="49">
        <v>225388</v>
      </c>
      <c r="P4145" s="5" t="s">
        <v>506</v>
      </c>
      <c r="Q4145" s="5" t="s">
        <v>766</v>
      </c>
      <c r="R4145" s="11" t="s">
        <v>2507</v>
      </c>
      <c r="S4145" s="22">
        <v>100</v>
      </c>
    </row>
    <row r="4146" spans="1:19" ht="76.5">
      <c r="A4146" s="5">
        <v>4131</v>
      </c>
      <c r="B4146" s="15" t="s">
        <v>710</v>
      </c>
      <c r="C4146" s="31" t="s">
        <v>597</v>
      </c>
      <c r="D4146" s="31" t="s">
        <v>589</v>
      </c>
      <c r="E4146" s="57" t="s">
        <v>2045</v>
      </c>
      <c r="F4146" s="57" t="s">
        <v>709</v>
      </c>
      <c r="G4146" s="57" t="s">
        <v>2045</v>
      </c>
      <c r="H4146" s="57" t="s">
        <v>590</v>
      </c>
      <c r="I4146" s="57" t="s">
        <v>3725</v>
      </c>
      <c r="J4146" s="57" t="s">
        <v>3724</v>
      </c>
      <c r="K4146" s="57" t="s">
        <v>591</v>
      </c>
      <c r="L4146" s="11" t="s">
        <v>914</v>
      </c>
      <c r="M4146" s="22">
        <v>1</v>
      </c>
      <c r="N4146" s="46">
        <f t="shared" si="120"/>
        <v>315000</v>
      </c>
      <c r="O4146" s="49">
        <v>315000</v>
      </c>
      <c r="P4146" s="5" t="s">
        <v>506</v>
      </c>
      <c r="Q4146" s="5" t="s">
        <v>766</v>
      </c>
      <c r="R4146" s="11" t="s">
        <v>715</v>
      </c>
      <c r="S4146" s="22">
        <v>100</v>
      </c>
    </row>
    <row r="4147" spans="1:19" s="34" customFormat="1" ht="76.5">
      <c r="A4147" s="5">
        <v>4132</v>
      </c>
      <c r="B4147" s="15" t="s">
        <v>710</v>
      </c>
      <c r="C4147" s="31" t="s">
        <v>597</v>
      </c>
      <c r="D4147" s="31" t="s">
        <v>589</v>
      </c>
      <c r="E4147" s="57" t="s">
        <v>2045</v>
      </c>
      <c r="F4147" s="57" t="s">
        <v>709</v>
      </c>
      <c r="G4147" s="57" t="s">
        <v>2045</v>
      </c>
      <c r="H4147" s="57" t="s">
        <v>590</v>
      </c>
      <c r="I4147" s="57" t="s">
        <v>3725</v>
      </c>
      <c r="J4147" s="57" t="s">
        <v>3724</v>
      </c>
      <c r="K4147" s="57" t="s">
        <v>591</v>
      </c>
      <c r="L4147" s="11" t="s">
        <v>914</v>
      </c>
      <c r="M4147" s="22">
        <v>1</v>
      </c>
      <c r="N4147" s="46">
        <f t="shared" si="120"/>
        <v>251374</v>
      </c>
      <c r="O4147" s="49">
        <v>251374</v>
      </c>
      <c r="P4147" s="5" t="s">
        <v>506</v>
      </c>
      <c r="Q4147" s="5" t="s">
        <v>766</v>
      </c>
      <c r="R4147" s="11" t="s">
        <v>902</v>
      </c>
      <c r="S4147" s="22">
        <v>100</v>
      </c>
    </row>
    <row r="4148" spans="1:19" s="36" customFormat="1" ht="76.5">
      <c r="A4148" s="5">
        <v>4133</v>
      </c>
      <c r="B4148" s="15" t="s">
        <v>710</v>
      </c>
      <c r="C4148" s="31" t="s">
        <v>597</v>
      </c>
      <c r="D4148" s="31" t="s">
        <v>589</v>
      </c>
      <c r="E4148" s="57" t="s">
        <v>2045</v>
      </c>
      <c r="F4148" s="57" t="s">
        <v>709</v>
      </c>
      <c r="G4148" s="57" t="s">
        <v>2045</v>
      </c>
      <c r="H4148" s="57" t="s">
        <v>590</v>
      </c>
      <c r="I4148" s="57" t="s">
        <v>3725</v>
      </c>
      <c r="J4148" s="57" t="s">
        <v>3724</v>
      </c>
      <c r="K4148" s="57" t="s">
        <v>591</v>
      </c>
      <c r="L4148" s="11" t="s">
        <v>914</v>
      </c>
      <c r="M4148" s="22">
        <v>1</v>
      </c>
      <c r="N4148" s="46">
        <f t="shared" si="120"/>
        <v>229500</v>
      </c>
      <c r="O4148" s="49">
        <v>229500</v>
      </c>
      <c r="P4148" s="5" t="s">
        <v>506</v>
      </c>
      <c r="Q4148" s="5" t="s">
        <v>766</v>
      </c>
      <c r="R4148" s="11" t="s">
        <v>3339</v>
      </c>
      <c r="S4148" s="22">
        <v>100</v>
      </c>
    </row>
    <row r="4149" spans="1:19" s="13" customFormat="1" ht="51">
      <c r="A4149" s="5">
        <v>4134</v>
      </c>
      <c r="B4149" s="29" t="s">
        <v>710</v>
      </c>
      <c r="C4149" s="35" t="s">
        <v>597</v>
      </c>
      <c r="D4149" s="31" t="s">
        <v>592</v>
      </c>
      <c r="E4149" s="57" t="s">
        <v>2042</v>
      </c>
      <c r="F4149" s="57" t="s">
        <v>594</v>
      </c>
      <c r="G4149" s="57" t="s">
        <v>2043</v>
      </c>
      <c r="H4149" s="57" t="s">
        <v>2044</v>
      </c>
      <c r="I4149" s="57" t="s">
        <v>3727</v>
      </c>
      <c r="J4149" s="57" t="s">
        <v>3726</v>
      </c>
      <c r="K4149" s="57" t="s">
        <v>591</v>
      </c>
      <c r="L4149" s="11" t="s">
        <v>914</v>
      </c>
      <c r="M4149" s="22">
        <v>1</v>
      </c>
      <c r="N4149" s="46">
        <f t="shared" si="120"/>
        <v>66000</v>
      </c>
      <c r="O4149" s="49">
        <v>66000</v>
      </c>
      <c r="P4149" s="5" t="s">
        <v>506</v>
      </c>
      <c r="Q4149" s="5" t="s">
        <v>766</v>
      </c>
      <c r="R4149" s="11" t="s">
        <v>2030</v>
      </c>
      <c r="S4149" s="22">
        <v>100</v>
      </c>
    </row>
    <row r="4150" spans="1:19" s="13" customFormat="1" ht="51">
      <c r="A4150" s="5">
        <v>4135</v>
      </c>
      <c r="B4150" s="15" t="s">
        <v>710</v>
      </c>
      <c r="C4150" s="31" t="s">
        <v>597</v>
      </c>
      <c r="D4150" s="31" t="s">
        <v>592</v>
      </c>
      <c r="E4150" s="57" t="s">
        <v>2042</v>
      </c>
      <c r="F4150" s="57" t="s">
        <v>594</v>
      </c>
      <c r="G4150" s="57" t="s">
        <v>2043</v>
      </c>
      <c r="H4150" s="57" t="s">
        <v>2044</v>
      </c>
      <c r="I4150" s="57" t="s">
        <v>3727</v>
      </c>
      <c r="J4150" s="57" t="s">
        <v>3726</v>
      </c>
      <c r="K4150" s="57" t="s">
        <v>591</v>
      </c>
      <c r="L4150" s="11" t="s">
        <v>914</v>
      </c>
      <c r="M4150" s="22">
        <v>1</v>
      </c>
      <c r="N4150" s="46">
        <f t="shared" si="120"/>
        <v>61200</v>
      </c>
      <c r="O4150" s="49">
        <v>61200</v>
      </c>
      <c r="P4150" s="5" t="s">
        <v>506</v>
      </c>
      <c r="Q4150" s="5" t="s">
        <v>766</v>
      </c>
      <c r="R4150" s="11" t="s">
        <v>1021</v>
      </c>
      <c r="S4150" s="22">
        <v>100</v>
      </c>
    </row>
    <row r="4151" spans="1:19" s="13" customFormat="1" ht="51">
      <c r="A4151" s="5">
        <v>4136</v>
      </c>
      <c r="B4151" s="15" t="s">
        <v>710</v>
      </c>
      <c r="C4151" s="31" t="s">
        <v>597</v>
      </c>
      <c r="D4151" s="31" t="s">
        <v>592</v>
      </c>
      <c r="E4151" s="57" t="s">
        <v>2042</v>
      </c>
      <c r="F4151" s="57" t="s">
        <v>594</v>
      </c>
      <c r="G4151" s="57" t="s">
        <v>2043</v>
      </c>
      <c r="H4151" s="57" t="s">
        <v>2044</v>
      </c>
      <c r="I4151" s="57" t="s">
        <v>3727</v>
      </c>
      <c r="J4151" s="57" t="s">
        <v>3726</v>
      </c>
      <c r="K4151" s="57" t="s">
        <v>591</v>
      </c>
      <c r="L4151" s="11" t="s">
        <v>914</v>
      </c>
      <c r="M4151" s="22">
        <v>1</v>
      </c>
      <c r="N4151" s="46">
        <f t="shared" si="120"/>
        <v>60000</v>
      </c>
      <c r="O4151" s="49">
        <v>60000</v>
      </c>
      <c r="P4151" s="5" t="s">
        <v>506</v>
      </c>
      <c r="Q4151" s="5" t="s">
        <v>766</v>
      </c>
      <c r="R4151" s="11" t="s">
        <v>2023</v>
      </c>
      <c r="S4151" s="22">
        <v>100</v>
      </c>
    </row>
    <row r="4152" spans="1:19" s="13" customFormat="1" ht="51">
      <c r="A4152" s="5">
        <v>4137</v>
      </c>
      <c r="B4152" s="15" t="s">
        <v>710</v>
      </c>
      <c r="C4152" s="31" t="s">
        <v>597</v>
      </c>
      <c r="D4152" s="31" t="s">
        <v>592</v>
      </c>
      <c r="E4152" s="57" t="s">
        <v>2042</v>
      </c>
      <c r="F4152" s="57" t="s">
        <v>594</v>
      </c>
      <c r="G4152" s="57" t="s">
        <v>2043</v>
      </c>
      <c r="H4152" s="57" t="s">
        <v>2044</v>
      </c>
      <c r="I4152" s="57" t="s">
        <v>3727</v>
      </c>
      <c r="J4152" s="57" t="s">
        <v>3726</v>
      </c>
      <c r="K4152" s="57" t="s">
        <v>591</v>
      </c>
      <c r="L4152" s="11" t="s">
        <v>914</v>
      </c>
      <c r="M4152" s="22">
        <v>1</v>
      </c>
      <c r="N4152" s="46">
        <f t="shared" si="120"/>
        <v>65000</v>
      </c>
      <c r="O4152" s="49">
        <v>65000</v>
      </c>
      <c r="P4152" s="5" t="s">
        <v>506</v>
      </c>
      <c r="Q4152" s="5" t="s">
        <v>766</v>
      </c>
      <c r="R4152" s="11" t="s">
        <v>633</v>
      </c>
      <c r="S4152" s="22">
        <v>100</v>
      </c>
    </row>
    <row r="4153" spans="1:19" s="13" customFormat="1" ht="51">
      <c r="A4153" s="5">
        <v>4138</v>
      </c>
      <c r="B4153" s="15" t="s">
        <v>710</v>
      </c>
      <c r="C4153" s="31" t="s">
        <v>597</v>
      </c>
      <c r="D4153" s="31" t="s">
        <v>592</v>
      </c>
      <c r="E4153" s="57" t="s">
        <v>2042</v>
      </c>
      <c r="F4153" s="57" t="s">
        <v>594</v>
      </c>
      <c r="G4153" s="57" t="s">
        <v>2043</v>
      </c>
      <c r="H4153" s="57" t="s">
        <v>2044</v>
      </c>
      <c r="I4153" s="57" t="s">
        <v>3727</v>
      </c>
      <c r="J4153" s="57" t="s">
        <v>3726</v>
      </c>
      <c r="K4153" s="57" t="s">
        <v>591</v>
      </c>
      <c r="L4153" s="11" t="s">
        <v>914</v>
      </c>
      <c r="M4153" s="22">
        <v>1</v>
      </c>
      <c r="N4153" s="46">
        <f t="shared" si="120"/>
        <v>53575</v>
      </c>
      <c r="O4153" s="49">
        <v>53575</v>
      </c>
      <c r="P4153" s="5" t="s">
        <v>506</v>
      </c>
      <c r="Q4153" s="5" t="s">
        <v>766</v>
      </c>
      <c r="R4153" s="11" t="s">
        <v>925</v>
      </c>
      <c r="S4153" s="22">
        <v>100</v>
      </c>
    </row>
    <row r="4154" spans="1:19" s="13" customFormat="1" ht="51">
      <c r="A4154" s="5">
        <v>4139</v>
      </c>
      <c r="B4154" s="15" t="s">
        <v>710</v>
      </c>
      <c r="C4154" s="31" t="s">
        <v>597</v>
      </c>
      <c r="D4154" s="31" t="s">
        <v>592</v>
      </c>
      <c r="E4154" s="57" t="s">
        <v>2042</v>
      </c>
      <c r="F4154" s="57" t="s">
        <v>594</v>
      </c>
      <c r="G4154" s="57" t="s">
        <v>2043</v>
      </c>
      <c r="H4154" s="57" t="s">
        <v>2044</v>
      </c>
      <c r="I4154" s="57" t="s">
        <v>3727</v>
      </c>
      <c r="J4154" s="57" t="s">
        <v>3726</v>
      </c>
      <c r="K4154" s="57" t="s">
        <v>591</v>
      </c>
      <c r="L4154" s="11" t="s">
        <v>914</v>
      </c>
      <c r="M4154" s="22">
        <v>1</v>
      </c>
      <c r="N4154" s="46">
        <f t="shared" si="120"/>
        <v>80585</v>
      </c>
      <c r="O4154" s="49">
        <v>80585</v>
      </c>
      <c r="P4154" s="5" t="s">
        <v>506</v>
      </c>
      <c r="Q4154" s="5" t="s">
        <v>766</v>
      </c>
      <c r="R4154" s="11" t="s">
        <v>2507</v>
      </c>
      <c r="S4154" s="22">
        <v>100</v>
      </c>
    </row>
    <row r="4155" spans="1:19" ht="51">
      <c r="A4155" s="5">
        <v>4140</v>
      </c>
      <c r="B4155" s="15" t="s">
        <v>710</v>
      </c>
      <c r="C4155" s="31" t="s">
        <v>597</v>
      </c>
      <c r="D4155" s="31" t="s">
        <v>592</v>
      </c>
      <c r="E4155" s="57" t="s">
        <v>2042</v>
      </c>
      <c r="F4155" s="57" t="s">
        <v>594</v>
      </c>
      <c r="G4155" s="57" t="s">
        <v>2043</v>
      </c>
      <c r="H4155" s="57" t="s">
        <v>2044</v>
      </c>
      <c r="I4155" s="57" t="s">
        <v>3727</v>
      </c>
      <c r="J4155" s="57" t="s">
        <v>3726</v>
      </c>
      <c r="K4155" s="57" t="s">
        <v>591</v>
      </c>
      <c r="L4155" s="11" t="s">
        <v>914</v>
      </c>
      <c r="M4155" s="22">
        <v>1</v>
      </c>
      <c r="N4155" s="46">
        <f t="shared" si="120"/>
        <v>60000</v>
      </c>
      <c r="O4155" s="49">
        <v>60000</v>
      </c>
      <c r="P4155" s="5" t="s">
        <v>506</v>
      </c>
      <c r="Q4155" s="5" t="s">
        <v>766</v>
      </c>
      <c r="R4155" s="11" t="s">
        <v>715</v>
      </c>
      <c r="S4155" s="22">
        <v>100</v>
      </c>
    </row>
    <row r="4156" spans="1:19" s="34" customFormat="1" ht="51">
      <c r="A4156" s="5">
        <v>4141</v>
      </c>
      <c r="B4156" s="15" t="s">
        <v>710</v>
      </c>
      <c r="C4156" s="31" t="s">
        <v>597</v>
      </c>
      <c r="D4156" s="31" t="s">
        <v>592</v>
      </c>
      <c r="E4156" s="57" t="s">
        <v>2042</v>
      </c>
      <c r="F4156" s="57" t="s">
        <v>594</v>
      </c>
      <c r="G4156" s="57" t="s">
        <v>2043</v>
      </c>
      <c r="H4156" s="57" t="s">
        <v>2044</v>
      </c>
      <c r="I4156" s="57" t="s">
        <v>3727</v>
      </c>
      <c r="J4156" s="57" t="s">
        <v>3726</v>
      </c>
      <c r="K4156" s="57" t="s">
        <v>591</v>
      </c>
      <c r="L4156" s="11" t="s">
        <v>914</v>
      </c>
      <c r="M4156" s="22">
        <v>1</v>
      </c>
      <c r="N4156" s="46">
        <f t="shared" si="120"/>
        <v>65900</v>
      </c>
      <c r="O4156" s="49">
        <v>65900</v>
      </c>
      <c r="P4156" s="5" t="s">
        <v>506</v>
      </c>
      <c r="Q4156" s="5" t="s">
        <v>766</v>
      </c>
      <c r="R4156" s="11" t="s">
        <v>902</v>
      </c>
      <c r="S4156" s="22">
        <v>100</v>
      </c>
    </row>
    <row r="4157" spans="1:19" s="36" customFormat="1" ht="51">
      <c r="A4157" s="5">
        <v>4142</v>
      </c>
      <c r="B4157" s="15" t="s">
        <v>710</v>
      </c>
      <c r="C4157" s="31" t="s">
        <v>597</v>
      </c>
      <c r="D4157" s="31" t="s">
        <v>592</v>
      </c>
      <c r="E4157" s="57" t="s">
        <v>2042</v>
      </c>
      <c r="F4157" s="57" t="s">
        <v>594</v>
      </c>
      <c r="G4157" s="57" t="s">
        <v>2043</v>
      </c>
      <c r="H4157" s="57" t="s">
        <v>2044</v>
      </c>
      <c r="I4157" s="57" t="s">
        <v>3727</v>
      </c>
      <c r="J4157" s="57" t="s">
        <v>3726</v>
      </c>
      <c r="K4157" s="57" t="s">
        <v>591</v>
      </c>
      <c r="L4157" s="11" t="s">
        <v>914</v>
      </c>
      <c r="M4157" s="22">
        <v>1</v>
      </c>
      <c r="N4157" s="46">
        <f t="shared" si="120"/>
        <v>58800</v>
      </c>
      <c r="O4157" s="49">
        <v>58800</v>
      </c>
      <c r="P4157" s="5" t="s">
        <v>506</v>
      </c>
      <c r="Q4157" s="5" t="s">
        <v>766</v>
      </c>
      <c r="R4157" s="11" t="s">
        <v>3339</v>
      </c>
      <c r="S4157" s="22">
        <v>100</v>
      </c>
    </row>
    <row r="4158" spans="1:19" ht="37.5" customHeight="1">
      <c r="A4158" s="4">
        <v>4143</v>
      </c>
      <c r="B4158" s="29" t="s">
        <v>710</v>
      </c>
      <c r="C4158" s="30" t="s">
        <v>711</v>
      </c>
      <c r="D4158" s="5" t="s">
        <v>1416</v>
      </c>
      <c r="E4158" s="57" t="s">
        <v>1417</v>
      </c>
      <c r="F4158" s="57" t="s">
        <v>1418</v>
      </c>
      <c r="G4158" s="57" t="s">
        <v>1419</v>
      </c>
      <c r="H4158" s="57" t="s">
        <v>1420</v>
      </c>
      <c r="I4158" s="57" t="s">
        <v>3750</v>
      </c>
      <c r="J4158" s="57" t="s">
        <v>3751</v>
      </c>
      <c r="K4158" s="57" t="s">
        <v>1485</v>
      </c>
      <c r="L4158" s="11" t="s">
        <v>629</v>
      </c>
      <c r="M4158" s="22">
        <v>2300</v>
      </c>
      <c r="N4158" s="46">
        <f>O4158/M4158</f>
        <v>104813.10565217391</v>
      </c>
      <c r="O4158" s="49">
        <v>241070143</v>
      </c>
      <c r="P4158" s="5" t="s">
        <v>506</v>
      </c>
      <c r="Q4158" s="5" t="s">
        <v>3729</v>
      </c>
      <c r="R4158" s="11" t="s">
        <v>3339</v>
      </c>
      <c r="S4158" s="22">
        <v>0</v>
      </c>
    </row>
    <row r="4159" spans="1:19" s="7" customFormat="1" ht="63.75">
      <c r="A4159" s="5">
        <v>4144</v>
      </c>
      <c r="B4159" s="15" t="s">
        <v>710</v>
      </c>
      <c r="C4159" s="5" t="s">
        <v>597</v>
      </c>
      <c r="D4159" s="15" t="s">
        <v>3730</v>
      </c>
      <c r="E4159" s="31" t="s">
        <v>3733</v>
      </c>
      <c r="F4159" s="31" t="s">
        <v>3731</v>
      </c>
      <c r="G4159" s="31" t="s">
        <v>3734</v>
      </c>
      <c r="H4159" s="31" t="s">
        <v>3732</v>
      </c>
      <c r="I4159" s="31" t="s">
        <v>3688</v>
      </c>
      <c r="J4159" s="31" t="s">
        <v>3735</v>
      </c>
      <c r="K4159" s="5" t="s">
        <v>591</v>
      </c>
      <c r="L4159" s="31" t="s">
        <v>914</v>
      </c>
      <c r="M4159" s="6">
        <v>1</v>
      </c>
      <c r="N4159" s="71">
        <f t="shared" si="120"/>
        <v>100000</v>
      </c>
      <c r="O4159" s="71">
        <v>100000</v>
      </c>
      <c r="P4159" s="5" t="s">
        <v>506</v>
      </c>
      <c r="Q4159" s="5" t="s">
        <v>766</v>
      </c>
      <c r="R4159" s="11" t="s">
        <v>1175</v>
      </c>
      <c r="S4159" s="5">
        <v>30</v>
      </c>
    </row>
    <row r="4160" spans="1:19" s="26" customFormat="1" ht="76.5">
      <c r="A4160" s="5">
        <v>4145</v>
      </c>
      <c r="B4160" s="5" t="s">
        <v>710</v>
      </c>
      <c r="C4160" s="42" t="s">
        <v>597</v>
      </c>
      <c r="D4160" s="77" t="s">
        <v>3737</v>
      </c>
      <c r="E4160" s="57" t="s">
        <v>3739</v>
      </c>
      <c r="F4160" s="57" t="s">
        <v>3736</v>
      </c>
      <c r="G4160" s="5" t="s">
        <v>3740</v>
      </c>
      <c r="H4160" s="57" t="s">
        <v>3738</v>
      </c>
      <c r="I4160" s="5" t="s">
        <v>3742</v>
      </c>
      <c r="J4160" s="5" t="s">
        <v>3741</v>
      </c>
      <c r="K4160" s="57" t="s">
        <v>591</v>
      </c>
      <c r="L4160" s="5" t="s">
        <v>914</v>
      </c>
      <c r="M4160" s="5">
        <v>1</v>
      </c>
      <c r="N4160" s="46">
        <f t="shared" si="120"/>
        <v>1020000</v>
      </c>
      <c r="O4160" s="46">
        <v>1020000</v>
      </c>
      <c r="P4160" s="5" t="s">
        <v>506</v>
      </c>
      <c r="Q4160" s="5" t="s">
        <v>766</v>
      </c>
      <c r="R4160" s="110">
        <v>751110000</v>
      </c>
      <c r="S4160" s="5">
        <v>50</v>
      </c>
    </row>
    <row r="4161" spans="1:19" s="92" customFormat="1" ht="102">
      <c r="A4161" s="5">
        <v>4146</v>
      </c>
      <c r="B4161" s="15" t="s">
        <v>710</v>
      </c>
      <c r="C4161" s="40" t="s">
        <v>597</v>
      </c>
      <c r="D4161" s="40" t="s">
        <v>3743</v>
      </c>
      <c r="E4161" s="40" t="s">
        <v>3747</v>
      </c>
      <c r="F4161" s="40" t="s">
        <v>3744</v>
      </c>
      <c r="G4161" s="40" t="s">
        <v>3748</v>
      </c>
      <c r="H4161" s="40" t="s">
        <v>3745</v>
      </c>
      <c r="I4161" s="40" t="s">
        <v>3749</v>
      </c>
      <c r="J4161" s="40" t="s">
        <v>3746</v>
      </c>
      <c r="K4161" s="40" t="s">
        <v>591</v>
      </c>
      <c r="L4161" s="11" t="s">
        <v>914</v>
      </c>
      <c r="M4161" s="93">
        <v>1</v>
      </c>
      <c r="N4161" s="94">
        <f>O4161/M4161</f>
        <v>1157286</v>
      </c>
      <c r="O4161" s="94">
        <v>1157286</v>
      </c>
      <c r="P4161" s="5" t="s">
        <v>586</v>
      </c>
      <c r="Q4161" s="40" t="s">
        <v>766</v>
      </c>
      <c r="R4161" s="111" t="s">
        <v>1175</v>
      </c>
      <c r="S4161" s="40">
        <v>50</v>
      </c>
    </row>
    <row r="4162" spans="1:19" s="7" customFormat="1" ht="89.25">
      <c r="A4162" s="5">
        <v>4147</v>
      </c>
      <c r="B4162" s="15" t="s">
        <v>710</v>
      </c>
      <c r="C4162" s="5" t="s">
        <v>597</v>
      </c>
      <c r="D4162" s="15" t="s">
        <v>2907</v>
      </c>
      <c r="E4162" s="31" t="s">
        <v>2924</v>
      </c>
      <c r="F4162" s="31" t="s">
        <v>2908</v>
      </c>
      <c r="G4162" s="31" t="s">
        <v>2925</v>
      </c>
      <c r="H4162" s="31" t="s">
        <v>2909</v>
      </c>
      <c r="I4162" s="31" t="s">
        <v>3753</v>
      </c>
      <c r="J4162" s="31" t="s">
        <v>3752</v>
      </c>
      <c r="K4162" s="57" t="s">
        <v>591</v>
      </c>
      <c r="L4162" s="31" t="s">
        <v>914</v>
      </c>
      <c r="M4162" s="6">
        <v>1</v>
      </c>
      <c r="N4162" s="71">
        <f t="shared" ref="N4162" si="121">O4162/M4162</f>
        <v>324800</v>
      </c>
      <c r="O4162" s="71">
        <v>324800</v>
      </c>
      <c r="P4162" s="5" t="s">
        <v>586</v>
      </c>
      <c r="Q4162" s="40" t="s">
        <v>3556</v>
      </c>
      <c r="R4162" s="11">
        <v>751110000</v>
      </c>
      <c r="S4162" s="5">
        <v>0</v>
      </c>
    </row>
    <row r="4163" spans="1:19">
      <c r="A4163" s="5"/>
      <c r="B4163" s="5"/>
      <c r="C4163" s="5"/>
      <c r="D4163" s="5"/>
      <c r="E4163" s="5"/>
      <c r="F4163" s="5"/>
      <c r="G4163" s="5"/>
      <c r="H4163" s="5"/>
      <c r="I4163" s="5"/>
      <c r="J4163" s="5"/>
      <c r="K4163" s="5"/>
      <c r="L4163" s="5"/>
      <c r="M4163" s="5"/>
      <c r="N4163" s="5"/>
      <c r="O4163" s="72">
        <f>SUM(O16:O4162)</f>
        <v>3445403579.3599997</v>
      </c>
      <c r="P4163" s="22"/>
      <c r="Q4163" s="15"/>
      <c r="R4163" s="5"/>
      <c r="S4163" s="22"/>
    </row>
    <row r="4164" spans="1:19">
      <c r="B4164" s="16"/>
      <c r="C4164" s="16"/>
      <c r="D4164" s="16"/>
      <c r="E4164" s="16"/>
      <c r="F4164" s="16"/>
      <c r="G4164" s="16"/>
      <c r="H4164" s="16"/>
      <c r="I4164" s="16"/>
      <c r="J4164" s="16"/>
      <c r="K4164" s="16"/>
      <c r="L4164" s="16"/>
      <c r="M4164" s="16"/>
      <c r="N4164" s="16"/>
      <c r="O4164" s="155"/>
      <c r="P4164" s="156"/>
      <c r="Q4164" s="112"/>
      <c r="R4164" s="16"/>
      <c r="S4164" s="156"/>
    </row>
    <row r="4165" spans="1:19">
      <c r="B4165" s="1" t="s">
        <v>3728</v>
      </c>
      <c r="O4165" s="104"/>
    </row>
    <row r="4167" spans="1:19">
      <c r="O4167" s="24"/>
    </row>
    <row r="4192" spans="7:7">
      <c r="G4192" s="124"/>
    </row>
  </sheetData>
  <autoFilter ref="P1:R4192">
    <filterColumn colId="0"/>
    <filterColumn colId="1"/>
    <filterColumn colId="2"/>
  </autoFilter>
  <mergeCells count="6">
    <mergeCell ref="A6:C6"/>
    <mergeCell ref="D6:E6"/>
    <mergeCell ref="A7:C7"/>
    <mergeCell ref="D7:E7"/>
    <mergeCell ref="A8:C8"/>
    <mergeCell ref="D8:E8"/>
  </mergeCells>
  <dataValidations count="1">
    <dataValidation allowBlank="1" showInputMessage="1" showErrorMessage="1" prompt="Введите краткую хар-ку на рус.языке" sqref="WVA1421 E2082 E1937 H1403:H1432 G1089:G1104 F1056:F1059 E1088:F1104 F1061:F1071 F1993:F1995 E2057:J2057 IO1405 SK1405 ACG1405 AMC1405 AVY1405 BFU1405 BPQ1405 BZM1405 CJI1405 CTE1405 DDA1405 DMW1405 DWS1405 EGO1405 EQK1405 FAG1405 FKC1405 FTY1405 GDU1405 GNQ1405 GXM1405 HHI1405 HRE1405 IBA1405 IKW1405 IUS1405 JEO1405 JOK1405 JYG1405 KIC1405 KRY1405 LBU1405 LLQ1405 LVM1405 MFI1405 MPE1405 MZA1405 NIW1405 NSS1405 OCO1405 OMK1405 OWG1405 PGC1405 PPY1405 PZU1405 QJQ1405 QTM1405 RDI1405 RNE1405 RXA1405 SGW1405 SQS1405 TAO1405 TKK1405 TUG1405 UEC1405 UNY1405 UXU1405 VHQ1405 VRM1405 WBI1405 WLE1405 WVA1405 IO1421 SK1421 ACG1421 AMC1421 AVY1421 BFU1421 BPQ1421 BZM1421 CJI1421 CTE1421 DDA1421 DMW1421 DWS1421 EGO1421 EQK1421 FAG1421 FKC1421 FTY1421 GDU1421 GNQ1421 GXM1421 HHI1421 HRE1421 IBA1421 IKW1421 IUS1421 JEO1421 JOK1421 JYG1421 KIC1421 KRY1421 LBU1421 LLQ1421 LVM1421 MFI1421 MPE1421 MZA1421 NIW1421 NSS1421 OCO1421 OMK1421 OWG1421 PGC1421 PPY1421 PZU1421 QJQ1421 QTM1421 RDI1421 RNE1421 RXA1421 SGW1421 SQS1421 TAO1421 TKK1421 TUG1421 UEC1421 UNY1421 UXU1421 VHQ1421 VRM1421 WBI1421 WLE1421 NIU1098 MYY1098 MPC1098 MFG1098 LVK1098 LLO1098 LBS1098 KRW1098 KIA1098 JYE1098 JOI1098 JEM1098 IUQ1098 IKU1098 IAY1098 HRC1098 HHG1098 GXK1098 GNO1098 GDS1098 FTW1098 FKA1098 FAE1098 EQI1098 EGM1098 DWQ1098 DMU1098 DCY1098 CTC1098 CJG1098 BZK1098 BPO1098 BFS1098 AVW1098 AMA1098 ACE1098 SI1098 IM1098 WUX1080:WUY1080 WLB1080:WLC1080 WBF1080:WBG1080 VRJ1080:VRK1080 VHN1080:VHO1080 UXR1080:UXS1080 UNV1080:UNW1080 UDZ1080:UEA1080 TUD1080:TUE1080 TKH1080:TKI1080 TAL1080:TAM1080 SQP1080:SQQ1080 SGT1080:SGU1080 RWX1080:RWY1080 RNB1080:RNC1080 RDF1080:RDG1080 QTJ1080:QTK1080 QJN1080:QJO1080 PZR1080:PZS1080 PPV1080:PPW1080 PFZ1080:PGA1080 OWD1080:OWE1080 OMH1080:OMI1080 OCL1080:OCM1080 NSP1080:NSQ1080 NIT1080:NIU1080 MYX1080:MYY1080 MPB1080:MPC1080 MFF1080:MFG1080 LVJ1080:LVK1080 LLN1080:LLO1080 LBR1080:LBS1080 KRV1080:KRW1080 KHZ1080:KIA1080 JYD1080:JYE1080 JOH1080:JOI1080 JEL1080:JEM1080 IUP1080:IUQ1080 IKT1080:IKU1080 IAX1080:IAY1080 HRB1080:HRC1080 HHF1080:HHG1080 GXJ1080:GXK1080 GNN1080:GNO1080 GDR1080:GDS1080 FTV1080:FTW1080 FJZ1080:FKA1080 FAD1080:FAE1080 EQH1080:EQI1080 EGL1080:EGM1080 DWP1080:DWQ1080 DMT1080:DMU1080 DCX1080:DCY1080 CTB1080:CTC1080 CJF1080:CJG1080 BZJ1080:BZK1080 BPN1080:BPO1080 BFR1080:BFS1080 AVV1080:AVW1080 ALZ1080:AMA1080 ACD1080:ACE1080 SH1080:SI1080 IL1080:IM1080 WLB1065 WBF1065 VRJ1065 VHN1065 UXR1065 UNV1065 UDZ1065 TUD1065 TKH1065 TAL1065 SQP1065 SGT1065 RWX1065 RNB1065 RDF1065 QTJ1065 QJN1065 PZR1065 PPV1065 PFZ1065 OWD1065 OMH1065 OCL1065 NSP1065 NIT1065 MYX1065 MPB1065 MFF1065 LVJ1065 LLN1065 LBR1065 KRV1065 KHZ1065 JYD1065 JOH1065 JEL1065 IUP1065 IKT1065 IAX1065 HRB1065 HHF1065 GXJ1065 GNN1065 GDR1065 FTV1065 FJZ1065 FAD1065 EQH1065 EGL1065 DWP1065 DMT1065 DCX1065 CTB1065 CJF1065 BZJ1065 BPN1065 BFR1065 AVV1065 ALZ1065 ACD1065 SH1065 IL1065 SGU1098 RDG1098 UNW1098 QTK1098 QJO1098 WUY1098 PZS1098 WUX1065 PPW1098 RWY1098 UEA1098 UXS1098 TUE1098 WLC1098 PGA1098 TKI1098 TAM1098 OWE1098 OMI1098 OCM1098 SQQ1098 WBG1098 WUX1062:WUY1062 WLB1077:WLC1077 WBF1077:WBG1077 VRJ1077:VRK1077 VHN1077:VHO1077 UXR1077:UXS1077 UNV1077:UNW1077 UDZ1077:UEA1077 TUD1077:TUE1077 TKH1077:TKI1077 TAL1077:TAM1077 SQP1077:SQQ1077 SGT1077:SGU1077 RWX1077:RWY1077 RNB1077:RNC1077 RDF1077:RDG1077 QTJ1077:QTK1077 QJN1077:QJO1077 PZR1077:PZS1077 PPV1077:PPW1077 PFZ1077:PGA1077 OWD1077:OWE1077 OMH1077:OMI1077 OCL1077:OCM1077 NSP1077:NSQ1077 NIT1077:NIU1077 MYX1077:MYY1077 MPB1077:MPC1077 MFF1077:MFG1077 LVJ1077:LVK1077 LLN1077:LLO1077 LBR1077:LBS1077 KRV1077:KRW1077 KHZ1077:KIA1077 JYD1077:JYE1077 JOH1077:JOI1077 JEL1077:JEM1077 IUP1077:IUQ1077 IKT1077:IKU1077 IAX1077:IAY1077 HRB1077:HRC1077 HHF1077:HHG1077 GXJ1077:GXK1077 GNN1077:GNO1077 GDR1077:GDS1077 FTV1077:FTW1077 FJZ1077:FKA1077 FAD1077:FAE1077 EQH1077:EQI1077 EGL1077:EGM1077 DWP1077:DWQ1077 DMT1077:DMU1077 DCX1077:DCY1077 CTB1077:CTC1077 CJF1077:CJG1077 BZJ1077:BZK1077 BPN1077:BPO1077 BFR1077:BFS1077 AVV1077:AVW1077 ALZ1077:AMA1077 ACD1077:ACE1077 SH1077:SI1077 IL1077:IM1077 WUX1077:WUY1077 WLB1062:WLC1062 WBF1062:WBG1062 VRJ1062:VRK1062 VHN1062:VHO1062 UXR1062:UXS1062 UNV1062:UNW1062 UDZ1062:UEA1062 TUD1062:TUE1062 TKH1062:TKI1062 TAL1062:TAM1062 SQP1062:SQQ1062 SGT1062:SGU1062 RWX1062:RWY1062 RNB1062:RNC1062 RDF1062:RDG1062 QTJ1062:QTK1062 QJN1062:QJO1062 PZR1062:PZS1062 PPV1062:PPW1062 PFZ1062:PGA1062 OWD1062:OWE1062 OMH1062:OMI1062 OCL1062:OCM1062 NSP1062:NSQ1062 NIT1062:NIU1062 MYX1062:MYY1062 MPB1062:MPC1062 MFF1062:MFG1062 LVJ1062:LVK1062 LLN1062:LLO1062 LBR1062:LBS1062 KRV1062:KRW1062 KHZ1062:KIA1062 JYD1062:JYE1062 JOH1062:JOI1062 JEL1062:JEM1062 IUP1062:IUQ1062 IKT1062:IKU1062 IAX1062:IAY1062 HRB1062:HRC1062 HHF1062:HHG1062 GXJ1062:GXK1062 GNN1062:GNO1062 GDR1062:GDS1062 FTV1062:FTW1062 FJZ1062:FKA1062 FAD1062:FAE1062 EQH1062:EQI1062 EGL1062:EGM1062 DWP1062:DWQ1062 DMT1062:DMU1062 DCX1062:DCY1062 CTB1062:CTC1062 CJF1062:CJG1062 BZJ1062:BZK1062 BPN1062:BPO1062 BFR1062:BFS1062 AVV1062:AVW1062 ALZ1062:AMA1062 ACD1062:ACE1062 SH1062:SI1062 IL1062:IM1062 VRK1098 RNC1098 VHO1098 NSQ1098"/>
  </dataValidation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worksheet>
</file>

<file path=xl/worksheets/sheet2.xml><?xml version="1.0" encoding="utf-8"?>
<worksheet xmlns="http://schemas.openxmlformats.org/spreadsheetml/2006/main" xmlns:r="http://schemas.openxmlformats.org/officeDocument/2006/relationships">
  <dimension ref="A1:S62"/>
  <sheetViews>
    <sheetView zoomScale="60" zoomScaleNormal="60" zoomScaleSheetLayoutView="70" zoomScalePageLayoutView="70" workbookViewId="0">
      <selection activeCell="H19" sqref="H19"/>
    </sheetView>
  </sheetViews>
  <sheetFormatPr defaultColWidth="31.85546875" defaultRowHeight="12.75" outlineLevelRow="1" outlineLevelCol="1"/>
  <cols>
    <col min="1" max="1" width="6.42578125" style="28" customWidth="1" outlineLevel="1"/>
    <col min="2" max="2" width="8.42578125" style="48" customWidth="1" outlineLevel="1"/>
    <col min="3" max="3" width="8.28515625" style="48" customWidth="1" outlineLevel="1"/>
    <col min="4" max="4" width="13.5703125" style="48" customWidth="1"/>
    <col min="5" max="5" width="23.85546875" style="48" customWidth="1" outlineLevel="1"/>
    <col min="6" max="6" width="21.85546875" style="48" customWidth="1" outlineLevel="1"/>
    <col min="7" max="7" width="25" style="48" customWidth="1" outlineLevel="1"/>
    <col min="8" max="9" width="24.7109375" style="48" customWidth="1" outlineLevel="1"/>
    <col min="10" max="10" width="21.7109375" style="48" customWidth="1"/>
    <col min="11" max="11" width="12.85546875" style="48" customWidth="1" outlineLevel="1"/>
    <col min="12" max="12" width="10.85546875" style="48" customWidth="1"/>
    <col min="13" max="13" width="9" style="48" customWidth="1" outlineLevel="1"/>
    <col min="14" max="14" width="14.85546875" style="48" customWidth="1" outlineLevel="1"/>
    <col min="15" max="15" width="16" style="48" customWidth="1" outlineLevel="1"/>
    <col min="16" max="16" width="11.28515625" style="48" customWidth="1" outlineLevel="1"/>
    <col min="17" max="17" width="15.5703125" style="23" customWidth="1" outlineLevel="1"/>
    <col min="18" max="18" width="11.85546875" style="48" customWidth="1"/>
    <col min="19" max="19" width="9.140625" style="24" customWidth="1"/>
    <col min="20" max="16384" width="31.85546875" style="48"/>
  </cols>
  <sheetData>
    <row r="1" spans="1:19">
      <c r="A1" s="16"/>
    </row>
    <row r="2" spans="1:19" s="1" customFormat="1">
      <c r="A2" s="58" t="s">
        <v>2343</v>
      </c>
      <c r="F2" s="59"/>
      <c r="G2" s="59"/>
      <c r="H2" s="2"/>
      <c r="I2" s="2"/>
      <c r="J2" s="2"/>
      <c r="K2" s="3"/>
      <c r="L2" s="3"/>
      <c r="M2" s="60"/>
      <c r="N2" s="60"/>
      <c r="O2" s="60"/>
      <c r="P2" s="3"/>
      <c r="Q2" s="3"/>
      <c r="R2" s="3"/>
      <c r="S2" s="41"/>
    </row>
    <row r="3" spans="1:19" s="1" customFormat="1" ht="9" customHeight="1">
      <c r="A3" s="3"/>
      <c r="F3" s="59"/>
      <c r="G3" s="59"/>
      <c r="H3" s="2"/>
      <c r="I3" s="2"/>
      <c r="J3" s="2"/>
      <c r="K3" s="3"/>
      <c r="L3" s="3"/>
      <c r="M3" s="60"/>
      <c r="N3" s="60"/>
      <c r="O3" s="60"/>
      <c r="P3" s="3"/>
      <c r="Q3" s="3"/>
      <c r="R3" s="3"/>
      <c r="S3" s="41"/>
    </row>
    <row r="4" spans="1:19" s="1" customFormat="1">
      <c r="A4" s="41" t="s">
        <v>2344</v>
      </c>
      <c r="F4" s="59"/>
      <c r="G4" s="59"/>
      <c r="H4" s="2"/>
      <c r="I4" s="2"/>
      <c r="J4" s="2"/>
      <c r="K4" s="3"/>
      <c r="L4" s="3"/>
      <c r="M4" s="60"/>
      <c r="N4" s="60"/>
      <c r="O4" s="60"/>
      <c r="P4" s="3"/>
      <c r="Q4" s="3"/>
      <c r="R4" s="3"/>
      <c r="S4" s="41"/>
    </row>
    <row r="5" spans="1:19" s="1" customFormat="1" ht="13.5" thickBot="1">
      <c r="A5" s="3"/>
      <c r="F5" s="59"/>
      <c r="G5" s="59"/>
      <c r="H5" s="2"/>
      <c r="I5" s="2"/>
      <c r="J5" s="2"/>
      <c r="K5" s="3"/>
      <c r="L5" s="3"/>
      <c r="M5" s="60"/>
      <c r="N5" s="60"/>
      <c r="O5" s="60"/>
      <c r="P5" s="3"/>
      <c r="Q5" s="3"/>
      <c r="R5" s="3"/>
      <c r="S5" s="41"/>
    </row>
    <row r="6" spans="1:19" s="1" customFormat="1" ht="42" customHeight="1" thickBot="1">
      <c r="A6" s="166" t="s">
        <v>2345</v>
      </c>
      <c r="B6" s="167"/>
      <c r="C6" s="168"/>
      <c r="D6" s="166" t="s">
        <v>2346</v>
      </c>
      <c r="E6" s="167"/>
      <c r="F6" s="61" t="s">
        <v>2347</v>
      </c>
      <c r="G6" s="61" t="s">
        <v>2348</v>
      </c>
      <c r="H6" s="61" t="s">
        <v>2349</v>
      </c>
      <c r="I6" s="3"/>
      <c r="J6" s="60"/>
      <c r="K6" s="3"/>
      <c r="L6" s="62"/>
      <c r="M6" s="3"/>
      <c r="N6" s="3"/>
      <c r="O6" s="3"/>
      <c r="P6" s="41"/>
      <c r="Q6" s="3"/>
      <c r="R6" s="3"/>
    </row>
    <row r="7" spans="1:19" s="1" customFormat="1" ht="13.5" thickBot="1">
      <c r="A7" s="169">
        <v>1</v>
      </c>
      <c r="B7" s="170"/>
      <c r="C7" s="171"/>
      <c r="D7" s="169">
        <v>2</v>
      </c>
      <c r="E7" s="170"/>
      <c r="F7" s="63">
        <v>3</v>
      </c>
      <c r="G7" s="63">
        <v>4</v>
      </c>
      <c r="H7" s="63">
        <v>5</v>
      </c>
      <c r="I7" s="3"/>
      <c r="J7" s="60"/>
      <c r="K7" s="3"/>
      <c r="L7" s="62"/>
      <c r="M7" s="3"/>
      <c r="N7" s="3"/>
      <c r="O7" s="3"/>
      <c r="P7" s="41"/>
      <c r="Q7" s="3"/>
      <c r="R7" s="3"/>
    </row>
    <row r="8" spans="1:19" s="1" customFormat="1" ht="42" customHeight="1" thickBot="1">
      <c r="A8" s="172">
        <v>970840000277</v>
      </c>
      <c r="B8" s="173"/>
      <c r="C8" s="174"/>
      <c r="D8" s="172">
        <v>600500050605</v>
      </c>
      <c r="E8" s="173"/>
      <c r="F8" s="64" t="s">
        <v>2350</v>
      </c>
      <c r="G8" s="65" t="s">
        <v>2351</v>
      </c>
      <c r="H8" s="65">
        <v>2014</v>
      </c>
      <c r="I8" s="3"/>
      <c r="J8" s="60"/>
      <c r="K8" s="3"/>
      <c r="L8" s="62"/>
      <c r="M8" s="3"/>
      <c r="N8" s="3"/>
      <c r="O8" s="3"/>
      <c r="P8" s="41"/>
      <c r="Q8" s="3"/>
      <c r="R8" s="3"/>
    </row>
    <row r="9" spans="1:19" s="1" customFormat="1">
      <c r="A9" s="3"/>
      <c r="F9" s="59"/>
      <c r="G9" s="59"/>
      <c r="H9" s="2"/>
      <c r="I9" s="2"/>
      <c r="J9" s="2"/>
      <c r="K9" s="3"/>
      <c r="L9" s="3"/>
      <c r="M9" s="60"/>
      <c r="N9" s="60"/>
      <c r="O9" s="60"/>
      <c r="P9" s="3"/>
      <c r="Q9" s="3"/>
      <c r="R9" s="3"/>
      <c r="S9" s="41"/>
    </row>
    <row r="10" spans="1:19" s="1" customFormat="1">
      <c r="A10" s="3"/>
      <c r="D10" s="41"/>
      <c r="E10" s="41"/>
      <c r="F10" s="66"/>
      <c r="G10" s="66"/>
      <c r="H10" s="44"/>
      <c r="I10" s="44"/>
      <c r="J10" s="44"/>
      <c r="K10" s="41"/>
      <c r="L10" s="44"/>
      <c r="M10" s="67"/>
      <c r="N10" s="67"/>
      <c r="O10" s="67"/>
      <c r="P10" s="3"/>
      <c r="Q10" s="41"/>
      <c r="R10" s="41"/>
      <c r="S10" s="41"/>
    </row>
    <row r="11" spans="1:19" s="1" customFormat="1" ht="15.75">
      <c r="A11" s="58" t="s">
        <v>2352</v>
      </c>
      <c r="B11" s="58"/>
      <c r="C11" s="58"/>
      <c r="D11" s="58"/>
      <c r="E11" s="58"/>
      <c r="F11" s="66"/>
      <c r="G11" s="66"/>
      <c r="H11" s="66"/>
      <c r="I11" s="66"/>
      <c r="J11" s="66"/>
      <c r="K11" s="58"/>
      <c r="L11" s="68"/>
      <c r="M11" s="69"/>
      <c r="N11" s="69"/>
      <c r="O11" s="125" t="s">
        <v>3754</v>
      </c>
      <c r="P11" s="3"/>
      <c r="Q11" s="58"/>
      <c r="R11" s="58"/>
      <c r="S11" s="41"/>
    </row>
    <row r="12" spans="1:19">
      <c r="A12" s="16"/>
      <c r="P12" s="16"/>
      <c r="Q12" s="112"/>
      <c r="R12" s="16"/>
    </row>
    <row r="13" spans="1:19" ht="13.5" thickBot="1">
      <c r="A13" s="16"/>
      <c r="D13" s="16"/>
      <c r="E13" s="16"/>
      <c r="F13" s="16"/>
      <c r="G13" s="16"/>
      <c r="H13" s="16"/>
      <c r="I13" s="16"/>
      <c r="J13" s="16"/>
      <c r="K13" s="16"/>
      <c r="L13" s="16"/>
      <c r="M13" s="16"/>
      <c r="N13" s="16"/>
      <c r="O13" s="25"/>
      <c r="P13" s="25"/>
      <c r="Q13" s="112"/>
      <c r="R13" s="16"/>
    </row>
    <row r="14" spans="1:19" ht="79.5" customHeight="1" thickBot="1">
      <c r="A14" s="17" t="s">
        <v>346</v>
      </c>
      <c r="B14" s="17" t="s">
        <v>347</v>
      </c>
      <c r="C14" s="17" t="s">
        <v>348</v>
      </c>
      <c r="D14" s="17" t="s">
        <v>349</v>
      </c>
      <c r="E14" s="17" t="s">
        <v>350</v>
      </c>
      <c r="F14" s="17" t="s">
        <v>351</v>
      </c>
      <c r="G14" s="17" t="s">
        <v>352</v>
      </c>
      <c r="H14" s="17" t="s">
        <v>353</v>
      </c>
      <c r="I14" s="17" t="s">
        <v>354</v>
      </c>
      <c r="J14" s="17" t="s">
        <v>355</v>
      </c>
      <c r="K14" s="17" t="s">
        <v>0</v>
      </c>
      <c r="L14" s="17" t="s">
        <v>356</v>
      </c>
      <c r="M14" s="18" t="s">
        <v>357</v>
      </c>
      <c r="N14" s="17" t="s">
        <v>358</v>
      </c>
      <c r="O14" s="18" t="s">
        <v>359</v>
      </c>
      <c r="P14" s="17" t="s">
        <v>360</v>
      </c>
      <c r="Q14" s="17" t="s">
        <v>361</v>
      </c>
      <c r="R14" s="17" t="s">
        <v>362</v>
      </c>
      <c r="S14" s="17" t="s">
        <v>363</v>
      </c>
    </row>
    <row r="15" spans="1:19" s="26" customFormat="1" ht="13.5" thickBot="1">
      <c r="A15" s="19">
        <v>1</v>
      </c>
      <c r="B15" s="20">
        <v>2</v>
      </c>
      <c r="C15" s="20">
        <v>3</v>
      </c>
      <c r="D15" s="20">
        <v>4</v>
      </c>
      <c r="E15" s="20">
        <v>5</v>
      </c>
      <c r="F15" s="20">
        <v>6</v>
      </c>
      <c r="G15" s="20">
        <v>7</v>
      </c>
      <c r="H15" s="20">
        <v>8</v>
      </c>
      <c r="I15" s="20">
        <v>9</v>
      </c>
      <c r="J15" s="20">
        <v>10</v>
      </c>
      <c r="K15" s="20">
        <v>11</v>
      </c>
      <c r="L15" s="20">
        <v>12</v>
      </c>
      <c r="M15" s="20">
        <v>13</v>
      </c>
      <c r="N15" s="20">
        <v>14</v>
      </c>
      <c r="O15" s="20">
        <v>15</v>
      </c>
      <c r="P15" s="20">
        <v>16</v>
      </c>
      <c r="Q15" s="20">
        <v>17</v>
      </c>
      <c r="R15" s="20">
        <v>18</v>
      </c>
      <c r="S15" s="21">
        <v>19</v>
      </c>
    </row>
    <row r="16" spans="1:19" s="139" customFormat="1" ht="37.5" customHeight="1">
      <c r="A16" s="127">
        <v>17</v>
      </c>
      <c r="B16" s="140" t="s">
        <v>710</v>
      </c>
      <c r="C16" s="143" t="s">
        <v>711</v>
      </c>
      <c r="D16" s="127" t="s">
        <v>1416</v>
      </c>
      <c r="E16" s="134" t="s">
        <v>1417</v>
      </c>
      <c r="F16" s="134" t="s">
        <v>1418</v>
      </c>
      <c r="G16" s="134" t="s">
        <v>1419</v>
      </c>
      <c r="H16" s="134" t="s">
        <v>1420</v>
      </c>
      <c r="I16" s="134" t="s">
        <v>1417</v>
      </c>
      <c r="J16" s="134" t="s">
        <v>143</v>
      </c>
      <c r="K16" s="134" t="s">
        <v>1485</v>
      </c>
      <c r="L16" s="132" t="s">
        <v>629</v>
      </c>
      <c r="M16" s="135">
        <v>3000</v>
      </c>
      <c r="N16" s="136">
        <f t="shared" ref="N16:N25" si="0">O16/M16</f>
        <v>0</v>
      </c>
      <c r="O16" s="137">
        <f>535713000-370461000-165252000</f>
        <v>0</v>
      </c>
      <c r="P16" s="127" t="s">
        <v>698</v>
      </c>
      <c r="Q16" s="127" t="s">
        <v>394</v>
      </c>
      <c r="R16" s="132" t="s">
        <v>1175</v>
      </c>
      <c r="S16" s="135">
        <v>0</v>
      </c>
    </row>
    <row r="17" spans="1:19" s="139" customFormat="1" ht="63.75">
      <c r="A17" s="127">
        <v>398</v>
      </c>
      <c r="B17" s="140" t="s">
        <v>710</v>
      </c>
      <c r="C17" s="143" t="s">
        <v>711</v>
      </c>
      <c r="D17" s="132" t="s">
        <v>419</v>
      </c>
      <c r="E17" s="134" t="s">
        <v>420</v>
      </c>
      <c r="F17" s="134" t="s">
        <v>420</v>
      </c>
      <c r="G17" s="134" t="s">
        <v>2301</v>
      </c>
      <c r="H17" s="134" t="s">
        <v>421</v>
      </c>
      <c r="I17" s="134" t="s">
        <v>16</v>
      </c>
      <c r="J17" s="134" t="s">
        <v>16</v>
      </c>
      <c r="K17" s="134" t="s">
        <v>591</v>
      </c>
      <c r="L17" s="127" t="s">
        <v>1480</v>
      </c>
      <c r="M17" s="158">
        <f>7550+1800</f>
        <v>9350</v>
      </c>
      <c r="N17" s="136">
        <f t="shared" si="0"/>
        <v>108.55540106951872</v>
      </c>
      <c r="O17" s="137">
        <f>807850+207143</f>
        <v>1014993</v>
      </c>
      <c r="P17" s="127" t="s">
        <v>506</v>
      </c>
      <c r="Q17" s="127" t="s">
        <v>766</v>
      </c>
      <c r="R17" s="132" t="s">
        <v>715</v>
      </c>
      <c r="S17" s="135">
        <v>100</v>
      </c>
    </row>
    <row r="18" spans="1:19" s="139" customFormat="1" ht="153" outlineLevel="1">
      <c r="A18" s="127">
        <v>885</v>
      </c>
      <c r="B18" s="128" t="s">
        <v>710</v>
      </c>
      <c r="C18" s="127" t="s">
        <v>597</v>
      </c>
      <c r="D18" s="132" t="s">
        <v>1248</v>
      </c>
      <c r="E18" s="134" t="s">
        <v>1758</v>
      </c>
      <c r="F18" s="134" t="s">
        <v>1249</v>
      </c>
      <c r="G18" s="134" t="s">
        <v>1759</v>
      </c>
      <c r="H18" s="134" t="s">
        <v>1250</v>
      </c>
      <c r="I18" s="134" t="s">
        <v>1762</v>
      </c>
      <c r="J18" s="134" t="s">
        <v>249</v>
      </c>
      <c r="K18" s="134" t="s">
        <v>591</v>
      </c>
      <c r="L18" s="132" t="s">
        <v>914</v>
      </c>
      <c r="M18" s="145">
        <v>1</v>
      </c>
      <c r="N18" s="136">
        <f t="shared" si="0"/>
        <v>0</v>
      </c>
      <c r="O18" s="137">
        <f>170725-170725</f>
        <v>0</v>
      </c>
      <c r="P18" s="144" t="s">
        <v>698</v>
      </c>
      <c r="Q18" s="128" t="s">
        <v>1471</v>
      </c>
      <c r="R18" s="132" t="s">
        <v>1175</v>
      </c>
      <c r="S18" s="144">
        <v>100</v>
      </c>
    </row>
    <row r="19" spans="1:19" s="139" customFormat="1" ht="51" outlineLevel="1">
      <c r="A19" s="127">
        <v>894</v>
      </c>
      <c r="B19" s="128" t="s">
        <v>710</v>
      </c>
      <c r="C19" s="127" t="s">
        <v>597</v>
      </c>
      <c r="D19" s="151" t="s">
        <v>1128</v>
      </c>
      <c r="E19" s="134" t="s">
        <v>2383</v>
      </c>
      <c r="F19" s="134" t="s">
        <v>1129</v>
      </c>
      <c r="G19" s="134" t="s">
        <v>2384</v>
      </c>
      <c r="H19" s="134" t="s">
        <v>1130</v>
      </c>
      <c r="I19" s="134" t="s">
        <v>1780</v>
      </c>
      <c r="J19" s="134" t="s">
        <v>33</v>
      </c>
      <c r="K19" s="134" t="s">
        <v>591</v>
      </c>
      <c r="L19" s="132" t="s">
        <v>914</v>
      </c>
      <c r="M19" s="135">
        <v>1</v>
      </c>
      <c r="N19" s="136">
        <f t="shared" si="0"/>
        <v>0</v>
      </c>
      <c r="O19" s="137">
        <f>142857-142857</f>
        <v>0</v>
      </c>
      <c r="P19" s="127" t="s">
        <v>506</v>
      </c>
      <c r="Q19" s="127" t="s">
        <v>766</v>
      </c>
      <c r="R19" s="132" t="s">
        <v>1175</v>
      </c>
      <c r="S19" s="135">
        <v>0</v>
      </c>
    </row>
    <row r="20" spans="1:19" s="139" customFormat="1" ht="76.5" outlineLevel="1">
      <c r="A20" s="127">
        <v>971</v>
      </c>
      <c r="B20" s="128" t="s">
        <v>710</v>
      </c>
      <c r="C20" s="127" t="s">
        <v>597</v>
      </c>
      <c r="D20" s="127" t="s">
        <v>485</v>
      </c>
      <c r="E20" s="134" t="s">
        <v>486</v>
      </c>
      <c r="F20" s="134" t="s">
        <v>487</v>
      </c>
      <c r="G20" s="134" t="s">
        <v>2061</v>
      </c>
      <c r="H20" s="134" t="s">
        <v>488</v>
      </c>
      <c r="I20" s="134" t="s">
        <v>2062</v>
      </c>
      <c r="J20" s="134" t="s">
        <v>40</v>
      </c>
      <c r="K20" s="134" t="s">
        <v>591</v>
      </c>
      <c r="L20" s="132" t="s">
        <v>914</v>
      </c>
      <c r="M20" s="135">
        <v>1</v>
      </c>
      <c r="N20" s="136">
        <f t="shared" si="0"/>
        <v>376714</v>
      </c>
      <c r="O20" s="137">
        <f>625000-248286</f>
        <v>376714</v>
      </c>
      <c r="P20" s="127" t="s">
        <v>393</v>
      </c>
      <c r="Q20" s="127" t="s">
        <v>766</v>
      </c>
      <c r="R20" s="132">
        <v>431000000</v>
      </c>
      <c r="S20" s="135">
        <v>0</v>
      </c>
    </row>
    <row r="21" spans="1:19" s="139" customFormat="1" ht="51">
      <c r="A21" s="127">
        <v>1131</v>
      </c>
      <c r="B21" s="140" t="s">
        <v>710</v>
      </c>
      <c r="C21" s="141" t="s">
        <v>597</v>
      </c>
      <c r="D21" s="127" t="s">
        <v>702</v>
      </c>
      <c r="E21" s="134" t="s">
        <v>777</v>
      </c>
      <c r="F21" s="134" t="s">
        <v>703</v>
      </c>
      <c r="G21" s="134" t="s">
        <v>777</v>
      </c>
      <c r="H21" s="134" t="s">
        <v>703</v>
      </c>
      <c r="I21" s="134" t="s">
        <v>2372</v>
      </c>
      <c r="J21" s="134" t="s">
        <v>2373</v>
      </c>
      <c r="K21" s="134" t="s">
        <v>591</v>
      </c>
      <c r="L21" s="132" t="s">
        <v>914</v>
      </c>
      <c r="M21" s="135">
        <v>1</v>
      </c>
      <c r="N21" s="136">
        <f t="shared" si="0"/>
        <v>19289160</v>
      </c>
      <c r="O21" s="137">
        <f>16781250+2507910</f>
        <v>19289160</v>
      </c>
      <c r="P21" s="127" t="s">
        <v>393</v>
      </c>
      <c r="Q21" s="127" t="s">
        <v>766</v>
      </c>
      <c r="R21" s="132">
        <v>591000000</v>
      </c>
      <c r="S21" s="127">
        <v>0</v>
      </c>
    </row>
    <row r="22" spans="1:19" s="153" customFormat="1" ht="76.5">
      <c r="A22" s="127">
        <v>1180</v>
      </c>
      <c r="B22" s="128" t="s">
        <v>710</v>
      </c>
      <c r="C22" s="127" t="s">
        <v>597</v>
      </c>
      <c r="D22" s="154" t="s">
        <v>532</v>
      </c>
      <c r="E22" s="134" t="s">
        <v>533</v>
      </c>
      <c r="F22" s="134" t="s">
        <v>534</v>
      </c>
      <c r="G22" s="134" t="s">
        <v>533</v>
      </c>
      <c r="H22" s="134" t="s">
        <v>534</v>
      </c>
      <c r="I22" s="134" t="s">
        <v>2299</v>
      </c>
      <c r="J22" s="134" t="s">
        <v>102</v>
      </c>
      <c r="K22" s="134" t="s">
        <v>591</v>
      </c>
      <c r="L22" s="132" t="s">
        <v>914</v>
      </c>
      <c r="M22" s="135">
        <v>1</v>
      </c>
      <c r="N22" s="136">
        <f t="shared" si="0"/>
        <v>0</v>
      </c>
      <c r="O22" s="137">
        <f>178571-178571</f>
        <v>0</v>
      </c>
      <c r="P22" s="127" t="s">
        <v>393</v>
      </c>
      <c r="Q22" s="127" t="s">
        <v>394</v>
      </c>
      <c r="R22" s="132">
        <v>431000000</v>
      </c>
      <c r="S22" s="135">
        <v>0</v>
      </c>
    </row>
    <row r="23" spans="1:19" s="139" customFormat="1" ht="89.25" outlineLevel="1">
      <c r="A23" s="127">
        <v>1329</v>
      </c>
      <c r="B23" s="128" t="s">
        <v>710</v>
      </c>
      <c r="C23" s="127" t="s">
        <v>597</v>
      </c>
      <c r="D23" s="132" t="s">
        <v>1350</v>
      </c>
      <c r="E23" s="134" t="s">
        <v>1887</v>
      </c>
      <c r="F23" s="134" t="s">
        <v>1351</v>
      </c>
      <c r="G23" s="134" t="s">
        <v>1888</v>
      </c>
      <c r="H23" s="134" t="s">
        <v>1886</v>
      </c>
      <c r="I23" s="134" t="s">
        <v>3436</v>
      </c>
      <c r="J23" s="134" t="s">
        <v>3435</v>
      </c>
      <c r="K23" s="134" t="s">
        <v>591</v>
      </c>
      <c r="L23" s="132" t="s">
        <v>914</v>
      </c>
      <c r="M23" s="135">
        <v>1</v>
      </c>
      <c r="N23" s="136">
        <f t="shared" si="0"/>
        <v>0</v>
      </c>
      <c r="O23" s="137">
        <f>1339286-1339286</f>
        <v>0</v>
      </c>
      <c r="P23" s="127" t="s">
        <v>506</v>
      </c>
      <c r="Q23" s="127" t="s">
        <v>394</v>
      </c>
      <c r="R23" s="132" t="s">
        <v>1175</v>
      </c>
      <c r="S23" s="127">
        <v>30</v>
      </c>
    </row>
    <row r="24" spans="1:19" s="142" customFormat="1" ht="89.25" outlineLevel="1">
      <c r="A24" s="127">
        <v>1346</v>
      </c>
      <c r="B24" s="140" t="s">
        <v>710</v>
      </c>
      <c r="C24" s="141" t="s">
        <v>597</v>
      </c>
      <c r="D24" s="132" t="s">
        <v>566</v>
      </c>
      <c r="E24" s="134" t="s">
        <v>2053</v>
      </c>
      <c r="F24" s="134" t="s">
        <v>568</v>
      </c>
      <c r="G24" s="134" t="s">
        <v>2054</v>
      </c>
      <c r="H24" s="134" t="s">
        <v>705</v>
      </c>
      <c r="I24" s="134" t="s">
        <v>2055</v>
      </c>
      <c r="J24" s="134" t="s">
        <v>103</v>
      </c>
      <c r="K24" s="134" t="s">
        <v>591</v>
      </c>
      <c r="L24" s="132" t="s">
        <v>914</v>
      </c>
      <c r="M24" s="135">
        <v>1</v>
      </c>
      <c r="N24" s="136">
        <f t="shared" si="0"/>
        <v>0</v>
      </c>
      <c r="O24" s="137">
        <f>64286-64286</f>
        <v>0</v>
      </c>
      <c r="P24" s="127" t="s">
        <v>506</v>
      </c>
      <c r="Q24" s="127" t="s">
        <v>766</v>
      </c>
      <c r="R24" s="132" t="s">
        <v>715</v>
      </c>
      <c r="S24" s="135">
        <v>0</v>
      </c>
    </row>
    <row r="25" spans="1:19" s="138" customFormat="1" ht="51">
      <c r="A25" s="127">
        <v>1850</v>
      </c>
      <c r="B25" s="152" t="s">
        <v>710</v>
      </c>
      <c r="C25" s="146" t="s">
        <v>597</v>
      </c>
      <c r="D25" s="129" t="s">
        <v>609</v>
      </c>
      <c r="E25" s="134" t="s">
        <v>610</v>
      </c>
      <c r="F25" s="134" t="s">
        <v>611</v>
      </c>
      <c r="G25" s="134" t="s">
        <v>610</v>
      </c>
      <c r="H25" s="134" t="s">
        <v>611</v>
      </c>
      <c r="I25" s="134" t="s">
        <v>610</v>
      </c>
      <c r="J25" s="134" t="s">
        <v>611</v>
      </c>
      <c r="K25" s="134" t="s">
        <v>591</v>
      </c>
      <c r="L25" s="132" t="s">
        <v>914</v>
      </c>
      <c r="M25" s="135">
        <v>1</v>
      </c>
      <c r="N25" s="136">
        <f t="shared" si="0"/>
        <v>1080000</v>
      </c>
      <c r="O25" s="137">
        <f>653143+426857</f>
        <v>1080000</v>
      </c>
      <c r="P25" s="127" t="s">
        <v>506</v>
      </c>
      <c r="Q25" s="128" t="s">
        <v>766</v>
      </c>
      <c r="R25" s="132">
        <v>431000000</v>
      </c>
      <c r="S25" s="135">
        <v>0</v>
      </c>
    </row>
    <row r="26" spans="1:19" s="165" customFormat="1" ht="153">
      <c r="A26" s="146">
        <v>1879</v>
      </c>
      <c r="B26" s="140" t="s">
        <v>710</v>
      </c>
      <c r="C26" s="143" t="s">
        <v>711</v>
      </c>
      <c r="D26" s="127" t="s">
        <v>2439</v>
      </c>
      <c r="E26" s="127" t="s">
        <v>2440</v>
      </c>
      <c r="F26" s="127" t="s">
        <v>2441</v>
      </c>
      <c r="G26" s="127" t="s">
        <v>2442</v>
      </c>
      <c r="H26" s="127" t="s">
        <v>2443</v>
      </c>
      <c r="I26" s="127" t="s">
        <v>2463</v>
      </c>
      <c r="J26" s="127" t="s">
        <v>2449</v>
      </c>
      <c r="K26" s="127" t="s">
        <v>591</v>
      </c>
      <c r="L26" s="127" t="s">
        <v>1479</v>
      </c>
      <c r="M26" s="127">
        <f>100+150+49</f>
        <v>299</v>
      </c>
      <c r="N26" s="164">
        <f t="shared" ref="N26" si="1">O26/M26</f>
        <v>6814.0468227424753</v>
      </c>
      <c r="O26" s="164">
        <f>714200+1025000-149400+150000+297600</f>
        <v>2037400</v>
      </c>
      <c r="P26" s="127" t="s">
        <v>506</v>
      </c>
      <c r="Q26" s="127" t="s">
        <v>2444</v>
      </c>
      <c r="R26" s="132" t="s">
        <v>1175</v>
      </c>
      <c r="S26" s="145">
        <v>50</v>
      </c>
    </row>
    <row r="27" spans="1:19" s="139" customFormat="1" ht="51" outlineLevel="1">
      <c r="A27" s="146">
        <v>4053</v>
      </c>
      <c r="B27" s="128" t="s">
        <v>710</v>
      </c>
      <c r="C27" s="127" t="s">
        <v>597</v>
      </c>
      <c r="D27" s="127" t="s">
        <v>3557</v>
      </c>
      <c r="E27" s="134" t="s">
        <v>3561</v>
      </c>
      <c r="F27" s="134" t="s">
        <v>3558</v>
      </c>
      <c r="G27" s="134" t="s">
        <v>3562</v>
      </c>
      <c r="H27" s="134" t="s">
        <v>3559</v>
      </c>
      <c r="I27" s="134" t="s">
        <v>3563</v>
      </c>
      <c r="J27" s="134" t="s">
        <v>3560</v>
      </c>
      <c r="K27" s="134" t="s">
        <v>591</v>
      </c>
      <c r="L27" s="132" t="s">
        <v>914</v>
      </c>
      <c r="M27" s="135">
        <v>1</v>
      </c>
      <c r="N27" s="136">
        <f>O27/M27</f>
        <v>1330924</v>
      </c>
      <c r="O27" s="137">
        <f>2204418-873494</f>
        <v>1330924</v>
      </c>
      <c r="P27" s="127" t="s">
        <v>506</v>
      </c>
      <c r="Q27" s="127" t="s">
        <v>3556</v>
      </c>
      <c r="R27" s="132" t="s">
        <v>1175</v>
      </c>
      <c r="S27" s="135">
        <v>0</v>
      </c>
    </row>
    <row r="28" spans="1:19" s="139" customFormat="1" ht="37.5" customHeight="1">
      <c r="A28" s="146">
        <v>4070</v>
      </c>
      <c r="B28" s="140" t="s">
        <v>710</v>
      </c>
      <c r="C28" s="143" t="s">
        <v>711</v>
      </c>
      <c r="D28" s="127" t="s">
        <v>1416</v>
      </c>
      <c r="E28" s="134" t="s">
        <v>1417</v>
      </c>
      <c r="F28" s="134" t="s">
        <v>1418</v>
      </c>
      <c r="G28" s="134" t="s">
        <v>1419</v>
      </c>
      <c r="H28" s="134" t="s">
        <v>1420</v>
      </c>
      <c r="I28" s="134" t="s">
        <v>3626</v>
      </c>
      <c r="J28" s="134" t="s">
        <v>3627</v>
      </c>
      <c r="K28" s="134" t="s">
        <v>1485</v>
      </c>
      <c r="L28" s="132" t="s">
        <v>629</v>
      </c>
      <c r="M28" s="135">
        <v>2300</v>
      </c>
      <c r="N28" s="136">
        <f>O28/M28</f>
        <v>128105.59</v>
      </c>
      <c r="O28" s="137">
        <f>370461000-75818143</f>
        <v>294642857</v>
      </c>
      <c r="P28" s="127" t="s">
        <v>506</v>
      </c>
      <c r="Q28" s="127" t="s">
        <v>3729</v>
      </c>
      <c r="R28" s="132" t="s">
        <v>2024</v>
      </c>
      <c r="S28" s="135">
        <v>0</v>
      </c>
    </row>
    <row r="29" spans="1:19" s="139" customFormat="1" ht="37.5" customHeight="1">
      <c r="A29" s="146">
        <v>4143</v>
      </c>
      <c r="B29" s="140" t="s">
        <v>710</v>
      </c>
      <c r="C29" s="143" t="s">
        <v>711</v>
      </c>
      <c r="D29" s="127" t="s">
        <v>1416</v>
      </c>
      <c r="E29" s="134" t="s">
        <v>1417</v>
      </c>
      <c r="F29" s="134" t="s">
        <v>1418</v>
      </c>
      <c r="G29" s="134" t="s">
        <v>1419</v>
      </c>
      <c r="H29" s="134" t="s">
        <v>1420</v>
      </c>
      <c r="I29" s="134" t="s">
        <v>3750</v>
      </c>
      <c r="J29" s="134" t="s">
        <v>3751</v>
      </c>
      <c r="K29" s="134" t="s">
        <v>1485</v>
      </c>
      <c r="L29" s="132" t="s">
        <v>629</v>
      </c>
      <c r="M29" s="135">
        <v>2300</v>
      </c>
      <c r="N29" s="136">
        <f>O29/M29</f>
        <v>104813.10565217391</v>
      </c>
      <c r="O29" s="137">
        <v>241070143</v>
      </c>
      <c r="P29" s="127" t="s">
        <v>506</v>
      </c>
      <c r="Q29" s="127" t="s">
        <v>3729</v>
      </c>
      <c r="R29" s="132" t="s">
        <v>3339</v>
      </c>
      <c r="S29" s="135">
        <v>0</v>
      </c>
    </row>
    <row r="30" spans="1:19" s="133" customFormat="1" ht="63.75">
      <c r="A30" s="127">
        <v>4144</v>
      </c>
      <c r="B30" s="128" t="s">
        <v>710</v>
      </c>
      <c r="C30" s="127" t="s">
        <v>597</v>
      </c>
      <c r="D30" s="128" t="s">
        <v>3730</v>
      </c>
      <c r="E30" s="129" t="s">
        <v>3733</v>
      </c>
      <c r="F30" s="129" t="s">
        <v>3731</v>
      </c>
      <c r="G30" s="129" t="s">
        <v>3734</v>
      </c>
      <c r="H30" s="129" t="s">
        <v>3732</v>
      </c>
      <c r="I30" s="129" t="s">
        <v>3688</v>
      </c>
      <c r="J30" s="129" t="s">
        <v>3735</v>
      </c>
      <c r="K30" s="127" t="s">
        <v>591</v>
      </c>
      <c r="L30" s="129" t="s">
        <v>914</v>
      </c>
      <c r="M30" s="130">
        <v>1</v>
      </c>
      <c r="N30" s="131">
        <f t="shared" ref="N30:N31" si="2">O30/M30</f>
        <v>100000</v>
      </c>
      <c r="O30" s="131">
        <v>100000</v>
      </c>
      <c r="P30" s="127" t="s">
        <v>506</v>
      </c>
      <c r="Q30" s="127" t="s">
        <v>766</v>
      </c>
      <c r="R30" s="132" t="s">
        <v>1175</v>
      </c>
      <c r="S30" s="127">
        <v>30</v>
      </c>
    </row>
    <row r="31" spans="1:19" s="150" customFormat="1" ht="63.75">
      <c r="A31" s="127">
        <v>4145</v>
      </c>
      <c r="B31" s="127" t="s">
        <v>710</v>
      </c>
      <c r="C31" s="147" t="s">
        <v>597</v>
      </c>
      <c r="D31" s="148" t="s">
        <v>3737</v>
      </c>
      <c r="E31" s="134" t="s">
        <v>3739</v>
      </c>
      <c r="F31" s="134" t="s">
        <v>3736</v>
      </c>
      <c r="G31" s="127" t="s">
        <v>3740</v>
      </c>
      <c r="H31" s="134" t="s">
        <v>3738</v>
      </c>
      <c r="I31" s="127" t="s">
        <v>3742</v>
      </c>
      <c r="J31" s="127" t="s">
        <v>3741</v>
      </c>
      <c r="K31" s="134" t="s">
        <v>591</v>
      </c>
      <c r="L31" s="127" t="s">
        <v>914</v>
      </c>
      <c r="M31" s="127">
        <v>1</v>
      </c>
      <c r="N31" s="136">
        <f t="shared" si="2"/>
        <v>1020000</v>
      </c>
      <c r="O31" s="136">
        <v>1020000</v>
      </c>
      <c r="P31" s="127" t="s">
        <v>506</v>
      </c>
      <c r="Q31" s="127" t="s">
        <v>766</v>
      </c>
      <c r="R31" s="149">
        <v>751110000</v>
      </c>
      <c r="S31" s="127">
        <v>50</v>
      </c>
    </row>
    <row r="32" spans="1:19" s="163" customFormat="1" ht="89.25">
      <c r="A32" s="127">
        <v>4146</v>
      </c>
      <c r="B32" s="128" t="s">
        <v>710</v>
      </c>
      <c r="C32" s="159" t="s">
        <v>597</v>
      </c>
      <c r="D32" s="159" t="s">
        <v>3743</v>
      </c>
      <c r="E32" s="159" t="s">
        <v>3747</v>
      </c>
      <c r="F32" s="159" t="s">
        <v>3744</v>
      </c>
      <c r="G32" s="159" t="s">
        <v>3748</v>
      </c>
      <c r="H32" s="159" t="s">
        <v>3745</v>
      </c>
      <c r="I32" s="159" t="s">
        <v>3749</v>
      </c>
      <c r="J32" s="159" t="s">
        <v>3746</v>
      </c>
      <c r="K32" s="159" t="s">
        <v>591</v>
      </c>
      <c r="L32" s="132" t="s">
        <v>914</v>
      </c>
      <c r="M32" s="160">
        <v>1</v>
      </c>
      <c r="N32" s="161">
        <f>O32/M32</f>
        <v>1157286</v>
      </c>
      <c r="O32" s="161">
        <v>1157286</v>
      </c>
      <c r="P32" s="127" t="s">
        <v>586</v>
      </c>
      <c r="Q32" s="159" t="s">
        <v>766</v>
      </c>
      <c r="R32" s="162" t="s">
        <v>1175</v>
      </c>
      <c r="S32" s="159">
        <v>50</v>
      </c>
    </row>
    <row r="33" spans="1:19" s="133" customFormat="1" ht="76.5">
      <c r="A33" s="127">
        <v>4147</v>
      </c>
      <c r="B33" s="128" t="s">
        <v>710</v>
      </c>
      <c r="C33" s="127" t="s">
        <v>597</v>
      </c>
      <c r="D33" s="128" t="s">
        <v>2907</v>
      </c>
      <c r="E33" s="129" t="s">
        <v>2924</v>
      </c>
      <c r="F33" s="129" t="s">
        <v>2908</v>
      </c>
      <c r="G33" s="129" t="s">
        <v>2925</v>
      </c>
      <c r="H33" s="129" t="s">
        <v>2909</v>
      </c>
      <c r="I33" s="129" t="s">
        <v>3753</v>
      </c>
      <c r="J33" s="129" t="s">
        <v>3752</v>
      </c>
      <c r="K33" s="134" t="s">
        <v>591</v>
      </c>
      <c r="L33" s="129" t="s">
        <v>914</v>
      </c>
      <c r="M33" s="130">
        <v>1</v>
      </c>
      <c r="N33" s="131">
        <f t="shared" ref="N33" si="3">O33/M33</f>
        <v>324800</v>
      </c>
      <c r="O33" s="131">
        <v>324800</v>
      </c>
      <c r="P33" s="127" t="s">
        <v>586</v>
      </c>
      <c r="Q33" s="159" t="s">
        <v>3556</v>
      </c>
      <c r="R33" s="132">
        <v>751110000</v>
      </c>
      <c r="S33" s="127">
        <v>0</v>
      </c>
    </row>
    <row r="34" spans="1:19">
      <c r="B34" s="16"/>
      <c r="C34" s="16"/>
      <c r="D34" s="16"/>
      <c r="E34" s="16"/>
      <c r="F34" s="16"/>
      <c r="G34" s="16"/>
      <c r="H34" s="16"/>
      <c r="I34" s="16"/>
      <c r="J34" s="16"/>
      <c r="K34" s="16"/>
      <c r="L34" s="16"/>
      <c r="M34" s="16"/>
      <c r="N34" s="16"/>
      <c r="O34" s="155"/>
      <c r="P34" s="156"/>
      <c r="Q34" s="112"/>
      <c r="R34" s="16"/>
      <c r="S34" s="156"/>
    </row>
    <row r="35" spans="1:19">
      <c r="B35" s="1" t="s">
        <v>3728</v>
      </c>
      <c r="O35" s="104"/>
    </row>
    <row r="37" spans="1:19">
      <c r="O37" s="24"/>
    </row>
    <row r="62" spans="7:7">
      <c r="G62" s="124"/>
    </row>
  </sheetData>
  <autoFilter ref="P1:R62">
    <filterColumn colId="0"/>
    <filterColumn colId="1"/>
    <filterColumn colId="2"/>
  </autoFilter>
  <mergeCells count="6">
    <mergeCell ref="A6:C6"/>
    <mergeCell ref="D6:E6"/>
    <mergeCell ref="A7:C7"/>
    <mergeCell ref="D7:E7"/>
    <mergeCell ref="A8:C8"/>
    <mergeCell ref="D8:E8"/>
  </mergeCell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worksheet>
</file>

<file path=xl/worksheets/sheet3.xml><?xml version="1.0" encoding="utf-8"?>
<worksheet xmlns="http://schemas.openxmlformats.org/spreadsheetml/2006/main" xmlns:r="http://schemas.openxmlformats.org/officeDocument/2006/relationships">
  <dimension ref="A3:S7"/>
  <sheetViews>
    <sheetView zoomScale="80" zoomScaleNormal="80" workbookViewId="0">
      <selection activeCell="C6" sqref="C6"/>
    </sheetView>
  </sheetViews>
  <sheetFormatPr defaultRowHeight="12.75"/>
  <cols>
    <col min="1" max="1" width="5.140625" customWidth="1"/>
    <col min="2" max="2" width="6.140625" customWidth="1"/>
    <col min="3" max="3" width="7.42578125" customWidth="1"/>
    <col min="4" max="4" width="9.5703125" customWidth="1"/>
    <col min="5" max="5" width="11.28515625" customWidth="1"/>
    <col min="6" max="6" width="11.140625" customWidth="1"/>
    <col min="7" max="7" width="15.42578125" customWidth="1"/>
    <col min="8" max="8" width="15.140625" customWidth="1"/>
    <col min="9" max="9" width="14.140625" customWidth="1"/>
    <col min="10" max="10" width="13.85546875" customWidth="1"/>
    <col min="11" max="11" width="7.7109375" customWidth="1"/>
    <col min="12" max="12" width="8.28515625" customWidth="1"/>
    <col min="13" max="13" width="6.7109375" customWidth="1"/>
    <col min="14" max="14" width="13.28515625" customWidth="1"/>
    <col min="15" max="15" width="14.85546875" customWidth="1"/>
    <col min="16" max="16" width="8.7109375" customWidth="1"/>
    <col min="17" max="17" width="17.140625" customWidth="1"/>
    <col min="19" max="19" width="8.7109375" customWidth="1"/>
  </cols>
  <sheetData>
    <row r="3" spans="1:19" ht="13.5" thickBot="1"/>
    <row r="4" spans="1:19" ht="65.25" customHeight="1" thickBot="1">
      <c r="A4" s="17" t="s">
        <v>346</v>
      </c>
      <c r="B4" s="17" t="s">
        <v>347</v>
      </c>
      <c r="C4" s="17" t="s">
        <v>348</v>
      </c>
      <c r="D4" s="17" t="s">
        <v>349</v>
      </c>
      <c r="E4" s="17" t="s">
        <v>350</v>
      </c>
      <c r="F4" s="17" t="s">
        <v>351</v>
      </c>
      <c r="G4" s="17" t="s">
        <v>352</v>
      </c>
      <c r="H4" s="17" t="s">
        <v>353</v>
      </c>
      <c r="I4" s="17" t="s">
        <v>354</v>
      </c>
      <c r="J4" s="17" t="s">
        <v>355</v>
      </c>
      <c r="K4" s="17" t="s">
        <v>0</v>
      </c>
      <c r="L4" s="17" t="s">
        <v>356</v>
      </c>
      <c r="M4" s="18" t="s">
        <v>357</v>
      </c>
      <c r="N4" s="17" t="s">
        <v>358</v>
      </c>
      <c r="O4" s="18" t="s">
        <v>359</v>
      </c>
      <c r="P4" s="17" t="s">
        <v>360</v>
      </c>
      <c r="Q4" s="17" t="s">
        <v>361</v>
      </c>
      <c r="R4" s="17" t="s">
        <v>362</v>
      </c>
      <c r="S4" s="17" t="s">
        <v>363</v>
      </c>
    </row>
    <row r="5" spans="1:19" ht="13.5" thickBot="1">
      <c r="A5" s="19">
        <v>1</v>
      </c>
      <c r="B5" s="20">
        <v>2</v>
      </c>
      <c r="C5" s="20">
        <v>3</v>
      </c>
      <c r="D5" s="20">
        <v>4</v>
      </c>
      <c r="E5" s="20">
        <v>5</v>
      </c>
      <c r="F5" s="20">
        <v>6</v>
      </c>
      <c r="G5" s="20">
        <v>7</v>
      </c>
      <c r="H5" s="20">
        <v>8</v>
      </c>
      <c r="I5" s="20">
        <v>9</v>
      </c>
      <c r="J5" s="20">
        <v>10</v>
      </c>
      <c r="K5" s="20">
        <v>11</v>
      </c>
      <c r="L5" s="20">
        <v>12</v>
      </c>
      <c r="M5" s="20">
        <v>13</v>
      </c>
      <c r="N5" s="20">
        <v>14</v>
      </c>
      <c r="O5" s="20">
        <v>15</v>
      </c>
      <c r="P5" s="20">
        <v>16</v>
      </c>
      <c r="Q5" s="20">
        <v>17</v>
      </c>
      <c r="R5" s="20">
        <v>18</v>
      </c>
      <c r="S5" s="21">
        <v>19</v>
      </c>
    </row>
    <row r="6" spans="1:19" s="48" customFormat="1" ht="78" customHeight="1">
      <c r="A6" s="4">
        <v>4070</v>
      </c>
      <c r="B6" s="29" t="s">
        <v>710</v>
      </c>
      <c r="C6" s="30" t="s">
        <v>711</v>
      </c>
      <c r="D6" s="5" t="s">
        <v>1416</v>
      </c>
      <c r="E6" s="57" t="s">
        <v>1417</v>
      </c>
      <c r="F6" s="57" t="s">
        <v>1418</v>
      </c>
      <c r="G6" s="57" t="s">
        <v>1419</v>
      </c>
      <c r="H6" s="57" t="s">
        <v>1420</v>
      </c>
      <c r="I6" s="57" t="s">
        <v>3626</v>
      </c>
      <c r="J6" s="57" t="s">
        <v>3627</v>
      </c>
      <c r="K6" s="57" t="s">
        <v>1485</v>
      </c>
      <c r="L6" s="11" t="s">
        <v>629</v>
      </c>
      <c r="M6" s="22">
        <v>2300</v>
      </c>
      <c r="N6" s="46">
        <f>O6/M6</f>
        <v>128105.59</v>
      </c>
      <c r="O6" s="49">
        <f>370461000-75818143</f>
        <v>294642857</v>
      </c>
      <c r="P6" s="5" t="s">
        <v>506</v>
      </c>
      <c r="Q6" s="5" t="s">
        <v>3729</v>
      </c>
      <c r="R6" s="11" t="s">
        <v>2024</v>
      </c>
      <c r="S6" s="22">
        <v>0</v>
      </c>
    </row>
    <row r="7" spans="1:19" s="48" customFormat="1" ht="59.25" customHeight="1">
      <c r="A7" s="4">
        <v>4143</v>
      </c>
      <c r="B7" s="29" t="s">
        <v>710</v>
      </c>
      <c r="C7" s="30" t="s">
        <v>711</v>
      </c>
      <c r="D7" s="5" t="s">
        <v>1416</v>
      </c>
      <c r="E7" s="57" t="s">
        <v>1417</v>
      </c>
      <c r="F7" s="57" t="s">
        <v>1418</v>
      </c>
      <c r="G7" s="57" t="s">
        <v>1419</v>
      </c>
      <c r="H7" s="57" t="s">
        <v>1420</v>
      </c>
      <c r="I7" s="57" t="s">
        <v>3750</v>
      </c>
      <c r="J7" s="57" t="s">
        <v>3751</v>
      </c>
      <c r="K7" s="57" t="s">
        <v>1485</v>
      </c>
      <c r="L7" s="11" t="s">
        <v>629</v>
      </c>
      <c r="M7" s="22">
        <v>2300</v>
      </c>
      <c r="N7" s="46">
        <f>O7/M7</f>
        <v>104813.10565217391</v>
      </c>
      <c r="O7" s="49">
        <v>241070143</v>
      </c>
      <c r="P7" s="5" t="s">
        <v>506</v>
      </c>
      <c r="Q7" s="5" t="s">
        <v>3729</v>
      </c>
      <c r="R7" s="11" t="s">
        <v>3339</v>
      </c>
      <c r="S7" s="22">
        <v>0</v>
      </c>
    </row>
  </sheetData>
  <pageMargins left="0.44" right="0.26" top="0.75" bottom="0.75" header="0.3" footer="0.3"/>
  <pageSetup paperSize="9" scale="7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ГПЗ 2014 общий </vt:lpstr>
      <vt:lpstr>Приложение № 1</vt:lpstr>
      <vt:lpstr>Лист1</vt:lpstr>
      <vt:lpstr>'ГПЗ 2014 общий '!Область_печати</vt:lpstr>
      <vt:lpstr>'Приложение № 1'!Область_печати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2014-10-22T06:23:45Z</cp:lastPrinted>
  <dcterms:created xsi:type="dcterms:W3CDTF">2012-11-20T12:21:33Z</dcterms:created>
  <dcterms:modified xsi:type="dcterms:W3CDTF">2014-10-22T11:27:39Z</dcterms:modified>
</cp:coreProperties>
</file>