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state="hidden" r:id="rId6"/>
    <sheet name="Продукция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6">'[7]Свод'!#REF!</definedName>
    <definedName name="RUR" localSheetId="5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'Продукция'!$A:$A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'1-Ф3'!$A$1:$AI$34</definedName>
    <definedName name="_xlnm.Print_Area" localSheetId="1">'2-ф2'!$A$1:$AI$26</definedName>
    <definedName name="_xlnm.Print_Area" localSheetId="2">'3-Баланс'!$A$1:$AI$26</definedName>
    <definedName name="_xlnm.Print_Area" localSheetId="10">'Инв'!$A$1:$Q$31</definedName>
    <definedName name="_xlnm.Print_Area" localSheetId="3">'Исх'!$A$1:$J$46</definedName>
    <definedName name="_xlnm.Print_Area" localSheetId="9">'кр'!$A$1:$DB$13</definedName>
    <definedName name="_xlnm.Print_Area" localSheetId="12">'Осн.пок-ли'!$A$1:$J$65</definedName>
    <definedName name="_xlnm.Print_Area" localSheetId="6">'Продукция'!$A$1:$AI$15</definedName>
    <definedName name="_xlnm.Print_Area" localSheetId="7">'ФОТ'!$A$1:$K$27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6">'Продукция'!#REF!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6">'Продукция'!#REF!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6">'[9]Дох'!#REF!</definedName>
    <definedName name="Цена_бобов" localSheetId="5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3.xml><?xml version="1.0" encoding="utf-8"?>
<comments xmlns="http://schemas.openxmlformats.org/spreadsheetml/2006/main">
  <authors>
    <author>МСБ консалтинг</author>
  </authors>
  <commentList>
    <comment ref="C28" authorId="0">
      <text>
        <r>
          <rPr>
            <b/>
            <sz val="9"/>
            <rFont val="Tahoma"/>
            <family val="0"/>
          </rPr>
          <t>МСБ консалтинг:</t>
        </r>
        <r>
          <rPr>
            <sz val="9"/>
            <rFont val="Tahoma"/>
            <family val="0"/>
          </rPr>
          <t xml:space="preserve">
увеличение по сравнению с последующими годами за счет того, что кредит в 2014 году оплачивается с мая</t>
        </r>
      </text>
    </comment>
  </commentList>
</comments>
</file>

<file path=xl/sharedStrings.xml><?xml version="1.0" encoding="utf-8"?>
<sst xmlns="http://schemas.openxmlformats.org/spreadsheetml/2006/main" count="452" uniqueCount="310">
  <si>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</si>
  <si>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</si>
  <si>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</si>
  <si>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</si>
  <si>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</si>
  <si>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</si>
  <si>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</si>
  <si>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</si>
  <si>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</si>
  <si>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</si>
  <si>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</si>
  <si>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</si>
  <si>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</si>
  <si>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</si>
  <si>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</si>
  <si>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</si>
  <si>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</si>
  <si>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</si>
  <si>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</si>
  <si>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</si>
  <si>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</si>
  <si>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</si>
  <si>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</si>
  <si>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</si>
  <si>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</si>
  <si>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</si>
  <si>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</si>
  <si>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</si>
  <si>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</si>
  <si>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</si>
  <si>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</si>
  <si>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</si>
  <si>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</si>
  <si>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</si>
  <si>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</si>
  <si>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</si>
  <si>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</si>
  <si>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</si>
  <si>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</si>
  <si>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</si>
  <si>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</si>
  <si>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</si>
  <si>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</si>
  <si>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</si>
  <si>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</si>
  <si>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</si>
  <si>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</si>
  <si>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</si>
  <si>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</si>
  <si>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</si>
  <si>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</si>
  <si>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</si>
  <si>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</si>
  <si>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</si>
  <si>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</si>
  <si>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</si>
  <si>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</si>
  <si>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</si>
  <si>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</si>
  <si>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</si>
  <si>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</si>
  <si>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</si>
  <si>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</si>
  <si>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</si>
  <si>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</si>
  <si>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</si>
  <si>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</si>
  <si>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</si>
  <si>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</si>
  <si>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</si>
  <si>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</si>
  <si>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</si>
  <si>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</si>
  <si>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</si>
  <si>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</si>
  <si>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</si>
  <si>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</si>
  <si>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</si>
  <si>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</si>
  <si>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</si>
  <si>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</si>
  <si>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</si>
  <si>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</si>
  <si>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</si>
  <si>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</si>
  <si>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</si>
  <si>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</si>
  <si>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</si>
  <si>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</si>
  <si>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</si>
  <si>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</si>
  <si>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</si>
  <si>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</si>
  <si>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</si>
  <si>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</si>
  <si>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</si>
  <si>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</si>
  <si>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</si>
  <si>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</si>
  <si>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</si>
  <si>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</si>
  <si>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</si>
  <si>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</si>
  <si>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</si>
  <si>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</si>
  <si>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</si>
  <si>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</si>
  <si>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</si>
  <si>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</si>
  <si>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</si>
  <si>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</si>
  <si>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</si>
  <si>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</si>
  <si>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</si>
  <si>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</si>
  <si>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</si>
  <si>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</si>
  <si>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</si>
  <si>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</si>
  <si>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</si>
  <si>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</si>
  <si>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</si>
  <si>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</si>
  <si>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</si>
  <si>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</si>
  <si>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</si>
  <si>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</si>
  <si>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</si>
  <si>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</si>
  <si>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</si>
  <si>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</si>
  <si>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</si>
  <si>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</si>
  <si>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</si>
  <si>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</si>
  <si>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</si>
  <si>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</si>
  <si>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</si>
  <si>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</si>
  <si>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</si>
  <si>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</si>
  <si>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</si>
  <si>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</si>
  <si>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</si>
  <si>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</si>
  <si>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</si>
  <si>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</si>
  <si>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</si>
  <si>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</si>
  <si>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</si>
  <si>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</si>
  <si>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</si>
  <si>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</si>
  <si>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</si>
  <si>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</si>
  <si>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</si>
  <si>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</si>
  <si>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</si>
  <si>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</si>
  <si>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</si>
  <si>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</si>
  <si>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</si>
  <si>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</si>
  <si>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</si>
  <si>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</si>
  <si>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</si>
  <si>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</si>
  <si>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</si>
  <si>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</si>
  <si>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</si>
  <si>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</si>
  <si>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</si>
  <si>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</si>
  <si>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</si>
  <si>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</si>
  <si>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</si>
  <si>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</si>
  <si>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</si>
  <si>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</si>
  <si>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</si>
  <si>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</si>
  <si>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</si>
  <si>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</si>
  <si>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</si>
  <si>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</si>
  <si>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</si>
  <si>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 на прибыль</t>
  </si>
  <si>
    <t>Налоги и обязательные платежи от ФОТ</t>
  </si>
  <si>
    <t>Вид налога</t>
  </si>
  <si>
    <t>Сумма, тыс.тг.</t>
  </si>
  <si>
    <t>Техника</t>
  </si>
  <si>
    <t>май</t>
  </si>
  <si>
    <t>Продукция</t>
  </si>
  <si>
    <t>Производство</t>
  </si>
  <si>
    <t>ед.изм.</t>
  </si>
  <si>
    <t>Срок погашения, лет</t>
  </si>
  <si>
    <t>Продажи</t>
  </si>
  <si>
    <t>Остаток</t>
  </si>
  <si>
    <t>Расходы, тыс.тг.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</si>
  <si>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</si>
  <si>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</si>
  <si>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</si>
  <si>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</si>
  <si>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</si>
  <si>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согласно налог.режиму КХ</t>
  </si>
  <si>
    <t>ИПН</t>
  </si>
  <si>
    <t>Земельный налог</t>
  </si>
  <si>
    <t>га</t>
  </si>
  <si>
    <t>Площадь з/у</t>
  </si>
  <si>
    <t>Оценочная стоимость з/у</t>
  </si>
  <si>
    <t>в год</t>
  </si>
  <si>
    <t>2013 год</t>
  </si>
  <si>
    <t>2014 год</t>
  </si>
  <si>
    <t>2020 год</t>
  </si>
  <si>
    <t>Цены</t>
  </si>
  <si>
    <t>тенге/кг</t>
  </si>
  <si>
    <t>Прочие налоги и сборы</t>
  </si>
  <si>
    <t>Производство и реализация продукции</t>
  </si>
  <si>
    <t>Адм.расходы</t>
  </si>
  <si>
    <t>ГСМ (помимо производства)</t>
  </si>
  <si>
    <t>Доход до налогов</t>
  </si>
  <si>
    <t>Расчет земельного налога</t>
  </si>
  <si>
    <t>база, тыс.тг.</t>
  </si>
  <si>
    <t>ставка, %</t>
  </si>
  <si>
    <t>сумма, тыс.тг. (в год)</t>
  </si>
  <si>
    <t>общая сумма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</si>
  <si>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</si>
  <si>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</si>
  <si>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</si>
  <si>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</si>
  <si>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</si>
  <si>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</si>
  <si>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</si>
  <si>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</si>
  <si>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</si>
  <si>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</si>
  <si>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Поиск и найм персонала</t>
  </si>
  <si>
    <t>Обслуживание и ремонт с/техники</t>
  </si>
  <si>
    <t>Глава</t>
  </si>
  <si>
    <t>Площади</t>
  </si>
  <si>
    <t>Участок</t>
  </si>
  <si>
    <t>до 500 га</t>
  </si>
  <si>
    <t>Первоначальные инвестиции</t>
  </si>
  <si>
    <t>Прочие краткосрочные активы (незавершенное производство)</t>
  </si>
  <si>
    <t>окт.13</t>
  </si>
  <si>
    <t>Показатели эффективности проекта (7 год)</t>
  </si>
  <si>
    <t>Индекс окупаемости инвестций (PI)</t>
  </si>
  <si>
    <t>Величина налоговых поступлений за 7 лет, тыс.тг.</t>
  </si>
  <si>
    <t>Начало продаж</t>
  </si>
  <si>
    <t>сен</t>
  </si>
  <si>
    <t>окт</t>
  </si>
  <si>
    <t>ноя</t>
  </si>
  <si>
    <t>дек</t>
  </si>
  <si>
    <t>янв</t>
  </si>
  <si>
    <t>фев</t>
  </si>
  <si>
    <t>мар</t>
  </si>
  <si>
    <t>апр</t>
  </si>
  <si>
    <t>Постоянные расходы в год</t>
  </si>
  <si>
    <t>Прочие ОС</t>
  </si>
  <si>
    <t>Выход продукции (в год от одной семьи)</t>
  </si>
  <si>
    <t>Мед</t>
  </si>
  <si>
    <t>Пчелиный воск</t>
  </si>
  <si>
    <t>кг</t>
  </si>
  <si>
    <t>Кол-во пчелиных семей</t>
  </si>
  <si>
    <t>ед</t>
  </si>
  <si>
    <t>сбор - с мая по август (4 мес.)</t>
  </si>
  <si>
    <t>http://kostanay-obl.all.biz/med-vseh-sortov-bgc150?city=44</t>
  </si>
  <si>
    <t>http://petropavlovsk.sko.slando.kz/obyavlenie/prodam-pchelinyy-vosk-ID4km35.html</t>
  </si>
  <si>
    <t>Пчелиная семья</t>
  </si>
  <si>
    <t>http://lipetskaya.all.biz/pchely-g573107</t>
  </si>
  <si>
    <t>Расчет доходов</t>
  </si>
  <si>
    <t>Ед.изм.</t>
  </si>
  <si>
    <t>Цена, тг.</t>
  </si>
  <si>
    <t>Расчет переменных расходов</t>
  </si>
  <si>
    <t>Статья расходов</t>
  </si>
  <si>
    <t>Пасечник</t>
  </si>
  <si>
    <t>Разнорабочий</t>
  </si>
  <si>
    <t>Расходные материалы</t>
  </si>
  <si>
    <t>Примечание</t>
  </si>
  <si>
    <t>расшифровка на листе ФОТ</t>
  </si>
  <si>
    <t>снятие наличных, переводы</t>
  </si>
  <si>
    <t>Аренда транспорта</t>
  </si>
  <si>
    <t>для перевозки ульев</t>
  </si>
  <si>
    <t>Обслуживание и ремонт ульев</t>
  </si>
  <si>
    <t>Рефрактометр</t>
  </si>
  <si>
    <t>http://www.elm.kz/index.php?option=com_content&amp;view=article&amp;id=132&amp;Itemid=171</t>
  </si>
  <si>
    <t>Дымарь</t>
  </si>
  <si>
    <t>Каток</t>
  </si>
  <si>
    <t>Медогонка</t>
  </si>
  <si>
    <t>Ножи для обрезки</t>
  </si>
  <si>
    <t>Вилка для распечатывания сот</t>
  </si>
  <si>
    <t>Стамеска</t>
  </si>
  <si>
    <t>Ульи</t>
  </si>
  <si>
    <t>Захват для рамок</t>
  </si>
  <si>
    <t>Валик для распечатывания сот</t>
  </si>
  <si>
    <t>Воскотопка паровая</t>
  </si>
  <si>
    <t>Костюм пчеловода</t>
  </si>
  <si>
    <t>Прочий инвентарь</t>
  </si>
  <si>
    <t>Пчеловодство и производство меда и пчелиного воска</t>
  </si>
  <si>
    <t>ноя.13.-апр.14</t>
  </si>
  <si>
    <t>Выход продукции (в год от одной семьи), кг</t>
  </si>
  <si>
    <t>Подготовка земельного участка</t>
  </si>
  <si>
    <t>Приобретение оборудования и пчел</t>
  </si>
  <si>
    <t>Валовый сбор, кг в год</t>
  </si>
  <si>
    <t>Доход от реализации продукции</t>
  </si>
  <si>
    <t>Себестоимость реализ. продукции</t>
  </si>
  <si>
    <t>Планируемая программа производства</t>
  </si>
  <si>
    <t>Доход от реализации</t>
  </si>
  <si>
    <t>Полная себестоимость</t>
  </si>
  <si>
    <t>Тип погашения основного долга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</si>
</sst>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6" fillId="0" borderId="0" xfId="70" applyNumberFormat="1" applyFont="1" applyFill="1" applyBorder="1" applyAlignment="1">
      <alignment horizontal="left"/>
      <protection/>
    </xf>
    <xf numFmtId="9" fontId="66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7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7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7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8" fillId="0" borderId="0" xfId="66" applyFont="1" applyAlignment="1">
      <alignment vertical="center"/>
      <protection/>
    </xf>
    <xf numFmtId="0" fontId="68" fillId="0" borderId="0" xfId="66" applyFont="1" applyAlignment="1">
      <alignment horizontal="right" vertical="center"/>
      <protection/>
    </xf>
    <xf numFmtId="0" fontId="68" fillId="0" borderId="0" xfId="66" applyFont="1">
      <alignment/>
      <protection/>
    </xf>
    <xf numFmtId="0" fontId="69" fillId="2" borderId="11" xfId="67" applyFont="1" applyFill="1" applyBorder="1" applyAlignment="1">
      <alignment vertical="center"/>
      <protection/>
    </xf>
    <xf numFmtId="3" fontId="69" fillId="2" borderId="10" xfId="67" applyNumberFormat="1" applyFont="1" applyFill="1" applyBorder="1" applyAlignment="1">
      <alignment horizontal="center" vertical="center"/>
      <protection/>
    </xf>
    <xf numFmtId="0" fontId="68" fillId="0" borderId="10" xfId="66" applyFont="1" applyBorder="1" applyAlignment="1">
      <alignment vertical="center"/>
      <protection/>
    </xf>
    <xf numFmtId="3" fontId="68" fillId="0" borderId="10" xfId="66" applyNumberFormat="1" applyFont="1" applyFill="1" applyBorder="1" applyAlignment="1">
      <alignment horizontal="right" vertical="center"/>
      <protection/>
    </xf>
    <xf numFmtId="0" fontId="69" fillId="0" borderId="10" xfId="66" applyFont="1" applyBorder="1" applyAlignment="1">
      <alignment vertical="center"/>
      <protection/>
    </xf>
    <xf numFmtId="3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vertical="center"/>
      <protection/>
    </xf>
    <xf numFmtId="3" fontId="68" fillId="0" borderId="0" xfId="66" applyNumberFormat="1" applyFont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/>
      <protection/>
    </xf>
    <xf numFmtId="9" fontId="68" fillId="0" borderId="10" xfId="66" applyNumberFormat="1" applyFont="1" applyFill="1" applyBorder="1" applyAlignment="1">
      <alignment horizontal="right" vertical="center"/>
      <protection/>
    </xf>
    <xf numFmtId="9" fontId="69" fillId="0" borderId="10" xfId="66" applyNumberFormat="1" applyFont="1" applyFill="1" applyBorder="1" applyAlignment="1">
      <alignment horizontal="right" vertical="center"/>
      <protection/>
    </xf>
    <xf numFmtId="0" fontId="68" fillId="0" borderId="0" xfId="66" applyFont="1" applyBorder="1" applyAlignment="1">
      <alignment horizontal="left" vertical="center"/>
      <protection/>
    </xf>
    <xf numFmtId="0" fontId="68" fillId="0" borderId="0" xfId="66" applyFont="1" applyBorder="1" applyAlignment="1">
      <alignment horizontal="right" vertical="center"/>
      <protection/>
    </xf>
    <xf numFmtId="177" fontId="68" fillId="0" borderId="10" xfId="66" applyNumberFormat="1" applyFont="1" applyFill="1" applyBorder="1" applyAlignment="1">
      <alignment horizontal="right" vertical="center"/>
      <protection/>
    </xf>
    <xf numFmtId="0" fontId="69" fillId="0" borderId="0" xfId="66" applyFont="1" applyAlignment="1">
      <alignment vertical="center"/>
      <protection/>
    </xf>
    <xf numFmtId="0" fontId="68" fillId="0" borderId="10" xfId="66" applyFont="1" applyBorder="1" applyAlignment="1">
      <alignment vertical="center" wrapText="1"/>
      <protection/>
    </xf>
    <xf numFmtId="3" fontId="68" fillId="2" borderId="10" xfId="66" applyNumberFormat="1" applyFont="1" applyFill="1" applyBorder="1" applyAlignment="1">
      <alignment horizontal="right" vertical="center"/>
      <protection/>
    </xf>
    <xf numFmtId="0" fontId="69" fillId="2" borderId="10" xfId="66" applyFont="1" applyFill="1" applyBorder="1" applyAlignment="1">
      <alignment vertical="center"/>
      <protection/>
    </xf>
    <xf numFmtId="3" fontId="69" fillId="2" borderId="10" xfId="66" applyNumberFormat="1" applyFont="1" applyFill="1" applyBorder="1" applyAlignment="1">
      <alignment horizontal="right" vertical="center"/>
      <protection/>
    </xf>
    <xf numFmtId="49" fontId="68" fillId="0" borderId="10" xfId="66" applyNumberFormat="1" applyFont="1" applyFill="1" applyBorder="1" applyAlignment="1">
      <alignment horizontal="right" vertical="center" wrapText="1"/>
      <protection/>
    </xf>
    <xf numFmtId="0" fontId="68" fillId="0" borderId="0" xfId="66" applyFont="1" applyFill="1">
      <alignment/>
      <protection/>
    </xf>
    <xf numFmtId="3" fontId="24" fillId="0" borderId="0" xfId="0" applyNumberFormat="1" applyFont="1" applyAlignment="1">
      <alignment/>
    </xf>
    <xf numFmtId="17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Border="1" applyAlignment="1">
      <alignment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8" fillId="0" borderId="14" xfId="66" applyFont="1" applyBorder="1" applyAlignment="1">
      <alignment vertical="center"/>
      <protection/>
    </xf>
    <xf numFmtId="3" fontId="68" fillId="0" borderId="14" xfId="66" applyNumberFormat="1" applyFont="1" applyFill="1" applyBorder="1" applyAlignment="1">
      <alignment horizontal="right" vertical="center"/>
      <protection/>
    </xf>
    <xf numFmtId="0" fontId="69" fillId="0" borderId="11" xfId="66" applyFont="1" applyBorder="1" applyAlignment="1">
      <alignment vertical="center"/>
      <protection/>
    </xf>
    <xf numFmtId="3" fontId="68" fillId="0" borderId="16" xfId="66" applyNumberFormat="1" applyFont="1" applyFill="1" applyBorder="1" applyAlignment="1">
      <alignment horizontal="right" vertical="center"/>
      <protection/>
    </xf>
    <xf numFmtId="3" fontId="5" fillId="35" borderId="10" xfId="0" applyNumberFormat="1" applyFont="1" applyFill="1" applyBorder="1" applyAlignment="1">
      <alignment vertical="center"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/>
    </xf>
    <xf numFmtId="9" fontId="69" fillId="2" borderId="10" xfId="66" applyNumberFormat="1" applyFont="1" applyFill="1" applyBorder="1" applyAlignment="1">
      <alignment horizontal="center" vertical="center"/>
      <protection/>
    </xf>
    <xf numFmtId="0" fontId="69" fillId="2" borderId="10" xfId="67" applyFont="1" applyFill="1" applyBorder="1" applyAlignment="1">
      <alignment vertical="center"/>
      <protection/>
    </xf>
    <xf numFmtId="177" fontId="68" fillId="0" borderId="10" xfId="66" applyNumberFormat="1" applyFont="1" applyFill="1" applyBorder="1" applyAlignment="1">
      <alignment vertical="center"/>
      <protection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/>
      <protection locked="0"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9" fillId="2" borderId="13" xfId="67" applyFont="1" applyFill="1" applyBorder="1" applyAlignment="1">
      <alignment horizontal="left" vertical="center"/>
      <protection/>
    </xf>
    <xf numFmtId="0" fontId="69" fillId="2" borderId="14" xfId="67" applyFont="1" applyFill="1" applyBorder="1" applyAlignment="1">
      <alignment horizontal="left" vertical="center"/>
      <protection/>
    </xf>
    <xf numFmtId="3" fontId="69" fillId="2" borderId="11" xfId="67" applyNumberFormat="1" applyFont="1" applyFill="1" applyBorder="1" applyAlignment="1">
      <alignment horizontal="center" vertical="center"/>
      <protection/>
    </xf>
    <xf numFmtId="3" fontId="69" fillId="2" borderId="16" xfId="67" applyNumberFormat="1" applyFont="1" applyFill="1" applyBorder="1" applyAlignment="1">
      <alignment horizontal="center" vertical="center"/>
      <protection/>
    </xf>
    <xf numFmtId="3" fontId="69" fillId="2" borderId="12" xfId="67" applyNumberFormat="1" applyFont="1" applyFill="1" applyBorder="1" applyAlignment="1">
      <alignment horizontal="center" vertical="center"/>
      <protection/>
    </xf>
    <xf numFmtId="3" fontId="69" fillId="2" borderId="10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lipetskaya.all.biz/pchely-g573107" TargetMode="External" /><Relationship Id="rId2" Type="http://schemas.openxmlformats.org/officeDocument/2006/relationships/hyperlink" Target="http://www.elm.kz/index.php?option=com_content&amp;view=article&amp;id=132&amp;Itemid=171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ostanay-obl.all.biz/med-vseh-sortov-bgc150?city=44" TargetMode="External" /><Relationship Id="rId2" Type="http://schemas.openxmlformats.org/officeDocument/2006/relationships/hyperlink" Target="http://petropavlovsk.sko.slando.kz/obyavlenie/prodam-pchelinyy-vosk-ID4km35.html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141"/>
  <sheetViews>
    <sheetView showGridLines="0" showZeros="0" zoomScalePageLayoutView="0" workbookViewId="0" topLeftCell="A1">
      <pane xSplit="3" ySplit="6" topLeftCell="M29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M15" sqref="M15"/>
    </sheetView>
  </sheetViews>
  <sheetFormatPr defaultColWidth="8.625" defaultRowHeight="12.75" outlineLevelRow="1" outlineLevelCol="1"/>
  <cols>
    <col min="1" max="1" width="37.25390625" style="58" customWidth="1"/>
    <col min="2" max="2" width="10.125" style="59" customWidth="1"/>
    <col min="3" max="3" width="1.875" style="59" customWidth="1"/>
    <col min="4" max="6" width="7.75390625" style="6" hidden="1" customWidth="1" outlineLevel="1"/>
    <col min="7" max="7" width="8.125" style="55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5" width="7.875" style="8" bestFit="1" customWidth="1"/>
    <col min="36" max="42" width="8.75390625" style="8" bestFit="1" customWidth="1"/>
    <col min="43" max="16384" width="8.625" style="8" customWidth="1"/>
  </cols>
  <sheetData>
    <row r="1" spans="1:27" ht="12.75">
      <c r="A1" s="60" t="s">
        <v>160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MAX(K34:AF34)</f>
        <v>2333.751958661003</v>
      </c>
      <c r="B2" s="10">
        <f>MIN(I34:AH34)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283" t="s">
        <v>2</v>
      </c>
      <c r="B5" s="285" t="s">
        <v>85</v>
      </c>
      <c r="C5" s="15"/>
      <c r="D5" s="285">
        <v>2013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>
        <v>2014</v>
      </c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15">
        <f>Q5+1</f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  <c r="AI5" s="15">
        <f>AH5+1</f>
        <v>2020</v>
      </c>
    </row>
    <row r="6" spans="1:35" ht="12.75">
      <c r="A6" s="284"/>
      <c r="B6" s="285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110</v>
      </c>
      <c r="AE6" s="15" t="s">
        <v>110</v>
      </c>
      <c r="AF6" s="15" t="s">
        <v>110</v>
      </c>
      <c r="AG6" s="15" t="s">
        <v>110</v>
      </c>
      <c r="AH6" s="15" t="s">
        <v>110</v>
      </c>
      <c r="AI6" s="15" t="s">
        <v>110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C34</f>
        <v>0</v>
      </c>
      <c r="E7" s="20">
        <f aca="true" t="shared" si="2" ref="E7:K7">D34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0</v>
      </c>
      <c r="P7" s="20">
        <f>D7</f>
        <v>0</v>
      </c>
      <c r="Q7" s="20">
        <f>P34</f>
        <v>0</v>
      </c>
      <c r="R7" s="20">
        <f aca="true" t="shared" si="3" ref="R7:AA7">Q34</f>
        <v>0</v>
      </c>
      <c r="S7" s="20">
        <f t="shared" si="3"/>
        <v>0</v>
      </c>
      <c r="T7" s="20">
        <f t="shared" si="3"/>
        <v>0</v>
      </c>
      <c r="U7" s="20">
        <f t="shared" si="3"/>
        <v>0</v>
      </c>
      <c r="V7" s="20">
        <f t="shared" si="3"/>
        <v>119.13785091784185</v>
      </c>
      <c r="W7" s="20">
        <f t="shared" si="3"/>
        <v>238.41701950827985</v>
      </c>
      <c r="X7" s="20">
        <f t="shared" si="3"/>
        <v>357.83750577131406</v>
      </c>
      <c r="Y7" s="20">
        <f t="shared" si="3"/>
        <v>477.3993097069444</v>
      </c>
      <c r="Z7" s="20">
        <f t="shared" si="3"/>
        <v>597.1024313151709</v>
      </c>
      <c r="AA7" s="20">
        <f t="shared" si="3"/>
        <v>716.9468705959935</v>
      </c>
      <c r="AB7" s="20">
        <f>AA34</f>
        <v>836.9326275494121</v>
      </c>
      <c r="AC7" s="20">
        <f>Q7</f>
        <v>0</v>
      </c>
      <c r="AD7" s="20">
        <f aca="true" t="shared" si="4" ref="AD7:AI7">AC34</f>
        <v>957.059702175427</v>
      </c>
      <c r="AE7" s="20">
        <f t="shared" si="4"/>
        <v>1395.6073761501061</v>
      </c>
      <c r="AF7" s="20">
        <f t="shared" si="4"/>
        <v>1854.5047949786313</v>
      </c>
      <c r="AG7" s="20">
        <f t="shared" si="4"/>
        <v>2333.751958661003</v>
      </c>
      <c r="AH7" s="20">
        <f t="shared" si="4"/>
        <v>2833.3488671972204</v>
      </c>
      <c r="AI7" s="20">
        <f t="shared" si="4"/>
        <v>3353.295520587284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20956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338</v>
      </c>
      <c r="V9" s="27">
        <f t="shared" si="5"/>
        <v>338</v>
      </c>
      <c r="W9" s="27">
        <f t="shared" si="5"/>
        <v>338</v>
      </c>
      <c r="X9" s="27">
        <f t="shared" si="5"/>
        <v>338</v>
      </c>
      <c r="Y9" s="27">
        <f t="shared" si="5"/>
        <v>338</v>
      </c>
      <c r="Z9" s="27">
        <f t="shared" si="5"/>
        <v>338</v>
      </c>
      <c r="AA9" s="27">
        <f t="shared" si="5"/>
        <v>338</v>
      </c>
      <c r="AB9" s="27">
        <f t="shared" si="5"/>
        <v>338</v>
      </c>
      <c r="AC9" s="27">
        <f t="shared" si="5"/>
        <v>2704</v>
      </c>
      <c r="AD9" s="27">
        <f t="shared" si="5"/>
        <v>3042</v>
      </c>
      <c r="AE9" s="27">
        <f t="shared" si="5"/>
        <v>3042</v>
      </c>
      <c r="AF9" s="27">
        <f t="shared" si="5"/>
        <v>3042</v>
      </c>
      <c r="AG9" s="27">
        <f t="shared" si="5"/>
        <v>3042</v>
      </c>
      <c r="AH9" s="27">
        <f t="shared" si="5"/>
        <v>3042</v>
      </c>
      <c r="AI9" s="27">
        <f t="shared" si="5"/>
        <v>3042</v>
      </c>
    </row>
    <row r="10" spans="1:35" ht="12.75">
      <c r="A10" s="28" t="str">
        <f>'2-ф2'!A6</f>
        <v>Мед</v>
      </c>
      <c r="B10" s="27">
        <f aca="true" t="shared" si="6" ref="B10:B16">P10+AC10+AD10+AE10+AF10+AG10+AH10+AI10</f>
        <v>17856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0</v>
      </c>
      <c r="O10" s="29">
        <f>'2-ф2'!O6*Исх!$C$20</f>
        <v>0</v>
      </c>
      <c r="P10" s="27">
        <f>SUM(D10:O10)</f>
        <v>0</v>
      </c>
      <c r="Q10" s="29">
        <f>'2-ф2'!Q6*Исх!$C$20</f>
        <v>0</v>
      </c>
      <c r="R10" s="29">
        <f>'2-ф2'!R6*Исх!$C$20</f>
        <v>0</v>
      </c>
      <c r="S10" s="29">
        <f>'2-ф2'!S6*Исх!$C$20</f>
        <v>0</v>
      </c>
      <c r="T10" s="29">
        <f>'2-ф2'!T6*Исх!$C$20</f>
        <v>0</v>
      </c>
      <c r="U10" s="29">
        <f>'2-ф2'!U6*Исх!$C$20</f>
        <v>288</v>
      </c>
      <c r="V10" s="29">
        <f>'2-ф2'!V6*Исх!$C$20</f>
        <v>288</v>
      </c>
      <c r="W10" s="29">
        <f>'2-ф2'!W6*Исх!$C$20</f>
        <v>288</v>
      </c>
      <c r="X10" s="29">
        <f>'2-ф2'!X6*Исх!$C$20</f>
        <v>288</v>
      </c>
      <c r="Y10" s="29">
        <f>'2-ф2'!Y6*Исх!$C$20</f>
        <v>288</v>
      </c>
      <c r="Z10" s="29">
        <f>'2-ф2'!Z6*Исх!$C$20</f>
        <v>288</v>
      </c>
      <c r="AA10" s="29">
        <f>'2-ф2'!AA6*Исх!$C$20</f>
        <v>288</v>
      </c>
      <c r="AB10" s="29">
        <f>'2-ф2'!AB6*Исх!$C$20</f>
        <v>288</v>
      </c>
      <c r="AC10" s="27">
        <f>SUM(Q10:AB10)</f>
        <v>2304</v>
      </c>
      <c r="AD10" s="29">
        <f>'2-ф2'!AD6*Исх!$C$20</f>
        <v>2592</v>
      </c>
      <c r="AE10" s="29">
        <f>'2-ф2'!AE6*Исх!$C$20</f>
        <v>2592</v>
      </c>
      <c r="AF10" s="29">
        <f>'2-ф2'!AF6*Исх!$C$20</f>
        <v>2592</v>
      </c>
      <c r="AG10" s="29">
        <f>'2-ф2'!AG6*Исх!$C$20</f>
        <v>2592</v>
      </c>
      <c r="AH10" s="29">
        <f>'2-ф2'!AH6*Исх!$C$20</f>
        <v>2592</v>
      </c>
      <c r="AI10" s="29">
        <f>'2-ф2'!AI6*Исх!$C$20</f>
        <v>2592</v>
      </c>
    </row>
    <row r="11" spans="1:35" ht="12.75">
      <c r="A11" s="28" t="str">
        <f>'2-ф2'!A7</f>
        <v>Пчелиный воск</v>
      </c>
      <c r="B11" s="27">
        <f t="shared" si="6"/>
        <v>3100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0</v>
      </c>
      <c r="O11" s="29">
        <f>'2-ф2'!O7*Исх!$C$20</f>
        <v>0</v>
      </c>
      <c r="P11" s="27">
        <f>SUM(D11:O11)</f>
        <v>0</v>
      </c>
      <c r="Q11" s="29">
        <f>'2-ф2'!Q7*Исх!$C$20</f>
        <v>0</v>
      </c>
      <c r="R11" s="29">
        <f>'2-ф2'!R7*Исх!$C$20</f>
        <v>0</v>
      </c>
      <c r="S11" s="29">
        <f>'2-ф2'!S7*Исх!$C$20</f>
        <v>0</v>
      </c>
      <c r="T11" s="29">
        <f>'2-ф2'!T7*Исх!$C$20</f>
        <v>0</v>
      </c>
      <c r="U11" s="29">
        <f>'2-ф2'!U7*Исх!$C$20</f>
        <v>50</v>
      </c>
      <c r="V11" s="29">
        <f>'2-ф2'!V7*Исх!$C$20</f>
        <v>50</v>
      </c>
      <c r="W11" s="29">
        <f>'2-ф2'!W7*Исх!$C$20</f>
        <v>50</v>
      </c>
      <c r="X11" s="29">
        <f>'2-ф2'!X7*Исх!$C$20</f>
        <v>50</v>
      </c>
      <c r="Y11" s="29">
        <f>'2-ф2'!Y7*Исх!$C$20</f>
        <v>50</v>
      </c>
      <c r="Z11" s="29">
        <f>'2-ф2'!Z7*Исх!$C$20</f>
        <v>50</v>
      </c>
      <c r="AA11" s="29">
        <f>'2-ф2'!AA7*Исх!$C$20</f>
        <v>50</v>
      </c>
      <c r="AB11" s="29">
        <f>'2-ф2'!AB7*Исх!$C$20</f>
        <v>50</v>
      </c>
      <c r="AC11" s="27">
        <f>SUM(Q11:AB11)</f>
        <v>400</v>
      </c>
      <c r="AD11" s="29">
        <f>'2-ф2'!AD7*Исх!$C$20</f>
        <v>450</v>
      </c>
      <c r="AE11" s="29">
        <f>'2-ф2'!AE7*Исх!$C$20</f>
        <v>450</v>
      </c>
      <c r="AF11" s="29">
        <f>'2-ф2'!AF7*Исх!$C$20</f>
        <v>450</v>
      </c>
      <c r="AG11" s="29">
        <f>'2-ф2'!AG7*Исх!$C$20</f>
        <v>450</v>
      </c>
      <c r="AH11" s="29">
        <f>'2-ф2'!AH7*Исх!$C$20</f>
        <v>450</v>
      </c>
      <c r="AI11" s="29">
        <f>'2-ф2'!AI7*Исх!$C$20</f>
        <v>450</v>
      </c>
    </row>
    <row r="12" spans="1:35" s="21" customFormat="1" ht="12.75">
      <c r="A12" s="30" t="s">
        <v>4</v>
      </c>
      <c r="B12" s="27">
        <f>SUM(B13:B16)</f>
        <v>16226.159363713195</v>
      </c>
      <c r="C12" s="27"/>
      <c r="D12" s="31">
        <f aca="true" t="shared" si="7" ref="D12:AI12">SUM(D13:D16)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183.6134838888889</v>
      </c>
      <c r="O12" s="31">
        <f t="shared" si="7"/>
        <v>183.6134838888889</v>
      </c>
      <c r="P12" s="31">
        <f t="shared" si="7"/>
        <v>367.2269677777778</v>
      </c>
      <c r="Q12" s="31">
        <f t="shared" si="7"/>
        <v>183.6134838888889</v>
      </c>
      <c r="R12" s="31">
        <f t="shared" si="7"/>
        <v>183.6134838888889</v>
      </c>
      <c r="S12" s="31">
        <f t="shared" si="7"/>
        <v>183.6134838888889</v>
      </c>
      <c r="T12" s="31">
        <f t="shared" si="7"/>
        <v>183.6134838888889</v>
      </c>
      <c r="U12" s="31">
        <f t="shared" si="7"/>
        <v>194.63626235138892</v>
      </c>
      <c r="V12" s="31">
        <f t="shared" si="7"/>
        <v>194.49494467879276</v>
      </c>
      <c r="W12" s="31">
        <f t="shared" si="7"/>
        <v>194.3536270061966</v>
      </c>
      <c r="X12" s="31">
        <f t="shared" si="7"/>
        <v>194.21230933360044</v>
      </c>
      <c r="Y12" s="31">
        <f t="shared" si="7"/>
        <v>194.07099166100429</v>
      </c>
      <c r="Z12" s="31">
        <f t="shared" si="7"/>
        <v>193.92967398840815</v>
      </c>
      <c r="AA12" s="31">
        <f t="shared" si="7"/>
        <v>193.788356315812</v>
      </c>
      <c r="AB12" s="31">
        <f t="shared" si="7"/>
        <v>193.64703864321584</v>
      </c>
      <c r="AC12" s="31">
        <f t="shared" si="7"/>
        <v>2287.587139533975</v>
      </c>
      <c r="AD12" s="31">
        <f t="shared" si="7"/>
        <v>2312.74168525609</v>
      </c>
      <c r="AE12" s="31">
        <f t="shared" si="7"/>
        <v>2292.391940402244</v>
      </c>
      <c r="AF12" s="31">
        <f t="shared" si="7"/>
        <v>2272.0421955483976</v>
      </c>
      <c r="AG12" s="31">
        <f t="shared" si="7"/>
        <v>2251.6924506945516</v>
      </c>
      <c r="AH12" s="31">
        <f t="shared" si="7"/>
        <v>2231.3427058407055</v>
      </c>
      <c r="AI12" s="31">
        <f t="shared" si="7"/>
        <v>2211.1342786594555</v>
      </c>
    </row>
    <row r="13" spans="1:35" ht="12.75">
      <c r="A13" s="28" t="s">
        <v>144</v>
      </c>
      <c r="B13" s="27">
        <f t="shared" si="6"/>
        <v>15787.52267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f>(Пост!$C$13-Пост!$C$6)*Исх!$C$20+Пост!$C$6+Пост!$C$15+Пост!$C$18</f>
        <v>183.57584500000002</v>
      </c>
      <c r="O13" s="29">
        <f>(Пост!$C$13-Пост!$C$6)*Исх!$C$20+Пост!$C$6+Пост!$C$15+Пост!$C$18</f>
        <v>183.57584500000002</v>
      </c>
      <c r="P13" s="27">
        <f>SUM(D13:O13)</f>
        <v>367.15169000000003</v>
      </c>
      <c r="Q13" s="29">
        <f>(Пост!$D$13-Пост!$D$6)*Исх!$C$20+Пост!$D$6+Пост!$D$15+Пост!$D$18</f>
        <v>183.57584500000002</v>
      </c>
      <c r="R13" s="29">
        <f>(Пост!$D$13-Пост!$D$6)*Исх!$C$20+Пост!$D$6+Пост!$D$15+Пост!$D$18</f>
        <v>183.57584500000002</v>
      </c>
      <c r="S13" s="29">
        <f>(Пост!$D$13-Пост!$D$6)*Исх!$C$20+Пост!$D$6+Пост!$D$15+Пост!$D$18</f>
        <v>183.57584500000002</v>
      </c>
      <c r="T13" s="29">
        <f>(Пост!$D$13-Пост!$D$6)*Исх!$C$20+Пост!$D$6+Пост!$D$15+Пост!$D$18</f>
        <v>183.57584500000002</v>
      </c>
      <c r="U13" s="29">
        <f>(Пост!$D$13-Пост!$D$6)*Исх!$C$20+Пост!$D$6+Пост!$D$15+Пост!$D$18</f>
        <v>183.57584500000002</v>
      </c>
      <c r="V13" s="29">
        <f>(Пост!$D$13-Пост!$D$6)*Исх!$C$20+Пост!$D$6+Пост!$D$15+Пост!$D$18</f>
        <v>183.57584500000002</v>
      </c>
      <c r="W13" s="29">
        <f>(Пост!$D$13-Пост!$D$6)*Исх!$C$20+Пост!$D$6+Пост!$D$15+Пост!$D$18</f>
        <v>183.57584500000002</v>
      </c>
      <c r="X13" s="29">
        <f>(Пост!$D$13-Пост!$D$6)*Исх!$C$20+Пост!$D$6+Пост!$D$15+Пост!$D$18</f>
        <v>183.57584500000002</v>
      </c>
      <c r="Y13" s="29">
        <f>(Пост!$D$13-Пост!$D$6)*Исх!$C$20+Пост!$D$6+Пост!$D$15+Пост!$D$18</f>
        <v>183.57584500000002</v>
      </c>
      <c r="Z13" s="29">
        <f>(Пост!$D$13-Пост!$D$6)*Исх!$C$20+Пост!$D$6+Пост!$D$15+Пост!$D$18</f>
        <v>183.57584500000002</v>
      </c>
      <c r="AA13" s="29">
        <f>(Пост!$D$13-Пост!$D$6)*Исх!$C$20+Пост!$D$6+Пост!$D$15+Пост!$D$18</f>
        <v>183.57584500000002</v>
      </c>
      <c r="AB13" s="29">
        <f>(Пост!$D$13-Пост!$D$6)*Исх!$C$20+Пост!$D$6+Пост!$D$15+Пост!$D$18</f>
        <v>183.57584500000002</v>
      </c>
      <c r="AC13" s="27">
        <f>SUM(Q13:AB13)</f>
        <v>2202.9101400000004</v>
      </c>
      <c r="AD13" s="29">
        <f>((Пост!E13-Пост!E6)*Исх!$C$20+Пост!E6+Пост!E15+Пост!E18)*12</f>
        <v>2202.91014</v>
      </c>
      <c r="AE13" s="29">
        <f>((Пост!F13-Пост!F6)*Исх!$C$20+Пост!F6+Пост!F15+Пост!F18)*12</f>
        <v>2202.91014</v>
      </c>
      <c r="AF13" s="29">
        <f>((Пост!G13-Пост!G6)*Исх!$C$20+Пост!G6+Пост!G15+Пост!G18)*12</f>
        <v>2202.91014</v>
      </c>
      <c r="AG13" s="29">
        <f>((Пост!H13-Пост!H6)*Исх!$C$20+Пост!H6+Пост!H15+Пост!H18)*12</f>
        <v>2202.91014</v>
      </c>
      <c r="AH13" s="29">
        <f>((Пост!I13-Пост!I6)*Исх!$C$20+Пост!I6+Пост!I15+Пост!I18)*12</f>
        <v>2202.91014</v>
      </c>
      <c r="AI13" s="29">
        <f>((Пост!J13-Пост!J6)*Исх!$C$20+Пост!J6+Пост!J15+Пост!J18)*12</f>
        <v>2202.91014</v>
      </c>
    </row>
    <row r="14" spans="1:35" ht="12.75">
      <c r="A14" s="28" t="s">
        <v>51</v>
      </c>
      <c r="B14" s="27">
        <f t="shared" si="6"/>
        <v>435.3997492687509</v>
      </c>
      <c r="C14" s="27"/>
      <c r="D14" s="29">
        <f>кр!C11</f>
        <v>0</v>
      </c>
      <c r="E14" s="29">
        <f>кр!D11</f>
        <v>0</v>
      </c>
      <c r="F14" s="29">
        <f>кр!E11</f>
        <v>0</v>
      </c>
      <c r="G14" s="29">
        <f>кр!F11</f>
        <v>0</v>
      </c>
      <c r="H14" s="29">
        <f>кр!G11</f>
        <v>0</v>
      </c>
      <c r="I14" s="29">
        <f>кр!H11</f>
        <v>0</v>
      </c>
      <c r="J14" s="29">
        <f>кр!I11</f>
        <v>0</v>
      </c>
      <c r="K14" s="29">
        <f>кр!J11</f>
        <v>0</v>
      </c>
      <c r="L14" s="29">
        <f>кр!K11</f>
        <v>0</v>
      </c>
      <c r="M14" s="29">
        <f>кр!L11</f>
        <v>0</v>
      </c>
      <c r="N14" s="29">
        <f>кр!M11</f>
        <v>0</v>
      </c>
      <c r="O14" s="29">
        <f>кр!N11</f>
        <v>0</v>
      </c>
      <c r="P14" s="27">
        <f>SUM(D14:O14)</f>
        <v>0</v>
      </c>
      <c r="Q14" s="29">
        <f>кр!P11</f>
        <v>0</v>
      </c>
      <c r="R14" s="29">
        <f>кр!Q11</f>
        <v>0</v>
      </c>
      <c r="S14" s="29">
        <f>кр!R11</f>
        <v>0</v>
      </c>
      <c r="T14" s="29">
        <f>кр!S11</f>
        <v>0</v>
      </c>
      <c r="U14" s="29">
        <f>кр!T11</f>
        <v>11.022778462500002</v>
      </c>
      <c r="V14" s="29">
        <f>кр!U11</f>
        <v>10.881460789903848</v>
      </c>
      <c r="W14" s="29">
        <f>кр!V11</f>
        <v>10.740143117307694</v>
      </c>
      <c r="X14" s="29">
        <f>кр!W11</f>
        <v>10.598825444711542</v>
      </c>
      <c r="Y14" s="29">
        <f>кр!X11</f>
        <v>10.457507772115388</v>
      </c>
      <c r="Z14" s="29">
        <f>кр!Y11</f>
        <v>10.316190099519234</v>
      </c>
      <c r="AA14" s="29">
        <f>кр!Z11</f>
        <v>10.17487242692308</v>
      </c>
      <c r="AB14" s="29">
        <f>кр!AA11</f>
        <v>10.033554754326927</v>
      </c>
      <c r="AC14" s="27">
        <f>SUM(Q14:AB14)</f>
        <v>84.22533286730771</v>
      </c>
      <c r="AD14" s="32">
        <f>кр!AO11</f>
        <v>109.37987858942317</v>
      </c>
      <c r="AE14" s="32">
        <f>кр!BB11</f>
        <v>89.03013373557707</v>
      </c>
      <c r="AF14" s="32">
        <f>кр!BO11</f>
        <v>68.68038888173093</v>
      </c>
      <c r="AG14" s="32">
        <f>кр!CB11</f>
        <v>48.330644027884745</v>
      </c>
      <c r="AH14" s="32">
        <f>кр!CO11</f>
        <v>27.980899174038573</v>
      </c>
      <c r="AI14" s="32">
        <f>кр!DB11</f>
        <v>7.772471992788583</v>
      </c>
    </row>
    <row r="15" spans="1:35" ht="12.75">
      <c r="A15" s="28" t="s">
        <v>206</v>
      </c>
      <c r="B15" s="27">
        <f t="shared" si="6"/>
        <v>3.2369444444444446</v>
      </c>
      <c r="C15" s="27"/>
      <c r="D15" s="29">
        <f>'2-ф2'!D14</f>
        <v>0</v>
      </c>
      <c r="E15" s="29">
        <f>'2-ф2'!E14</f>
        <v>0</v>
      </c>
      <c r="F15" s="29">
        <f>'2-ф2'!F14</f>
        <v>0</v>
      </c>
      <c r="G15" s="29">
        <f>'2-ф2'!G14</f>
        <v>0</v>
      </c>
      <c r="H15" s="29">
        <f>'2-ф2'!H14</f>
        <v>0</v>
      </c>
      <c r="I15" s="29">
        <f>'2-ф2'!I14</f>
        <v>0</v>
      </c>
      <c r="J15" s="29">
        <f>'2-ф2'!J14</f>
        <v>0</v>
      </c>
      <c r="K15" s="29">
        <f>'2-ф2'!K14</f>
        <v>0</v>
      </c>
      <c r="L15" s="29">
        <f>'2-ф2'!L14</f>
        <v>0</v>
      </c>
      <c r="M15" s="29"/>
      <c r="N15" s="29">
        <f>'2-ф2'!N14</f>
        <v>0.037638888888888895</v>
      </c>
      <c r="O15" s="29">
        <f>'2-ф2'!O14</f>
        <v>0.037638888888888895</v>
      </c>
      <c r="P15" s="27">
        <f>SUM(D15:O15)</f>
        <v>0.07527777777777779</v>
      </c>
      <c r="Q15" s="29">
        <f>'2-ф2'!Q14</f>
        <v>0.037638888888888895</v>
      </c>
      <c r="R15" s="29">
        <f>'2-ф2'!R14</f>
        <v>0.037638888888888895</v>
      </c>
      <c r="S15" s="29">
        <f>'2-ф2'!S14</f>
        <v>0.037638888888888895</v>
      </c>
      <c r="T15" s="29">
        <f>'2-ф2'!T14</f>
        <v>0.037638888888888895</v>
      </c>
      <c r="U15" s="29">
        <f>'2-ф2'!U14</f>
        <v>0.037638888888888895</v>
      </c>
      <c r="V15" s="29">
        <f>'2-ф2'!V14</f>
        <v>0.037638888888888895</v>
      </c>
      <c r="W15" s="29">
        <f>'2-ф2'!W14</f>
        <v>0.037638888888888895</v>
      </c>
      <c r="X15" s="29">
        <f>'2-ф2'!X14</f>
        <v>0.037638888888888895</v>
      </c>
      <c r="Y15" s="29">
        <f>'2-ф2'!Y14</f>
        <v>0.037638888888888895</v>
      </c>
      <c r="Z15" s="29">
        <f>'2-ф2'!Z14</f>
        <v>0.037638888888888895</v>
      </c>
      <c r="AA15" s="29">
        <f>'2-ф2'!AA14</f>
        <v>0.037638888888888895</v>
      </c>
      <c r="AB15" s="29">
        <f>'2-ф2'!AB14</f>
        <v>0.037638888888888895</v>
      </c>
      <c r="AC15" s="27">
        <f>SUM(Q15:AB15)</f>
        <v>0.4516666666666667</v>
      </c>
      <c r="AD15" s="29">
        <f>'2-ф2'!AD14</f>
        <v>0.4516666666666667</v>
      </c>
      <c r="AE15" s="29">
        <f>'2-ф2'!AE14</f>
        <v>0.4516666666666667</v>
      </c>
      <c r="AF15" s="29">
        <f>'2-ф2'!AF14</f>
        <v>0.4516666666666667</v>
      </c>
      <c r="AG15" s="29">
        <f>'2-ф2'!AG14</f>
        <v>0.4516666666666667</v>
      </c>
      <c r="AH15" s="29">
        <f>'2-ф2'!AH14</f>
        <v>0.4516666666666667</v>
      </c>
      <c r="AI15" s="29">
        <f>'2-ф2'!AI14</f>
        <v>0.4516666666666667</v>
      </c>
    </row>
    <row r="16" spans="1:35" ht="12.75">
      <c r="A16" s="28" t="s">
        <v>31</v>
      </c>
      <c r="B16" s="27">
        <f t="shared" si="6"/>
        <v>0</v>
      </c>
      <c r="C16" s="27"/>
      <c r="D16" s="29">
        <f>'2-ф2'!D29</f>
        <v>0</v>
      </c>
      <c r="E16" s="29">
        <f>'2-ф2'!E29</f>
        <v>0</v>
      </c>
      <c r="F16" s="29">
        <f>'2-ф2'!F29</f>
        <v>0</v>
      </c>
      <c r="G16" s="29">
        <f>'2-ф2'!G29</f>
        <v>0</v>
      </c>
      <c r="H16" s="29">
        <f>'2-ф2'!H29</f>
        <v>0</v>
      </c>
      <c r="I16" s="29">
        <f>'2-ф2'!I29</f>
        <v>0</v>
      </c>
      <c r="J16" s="29">
        <f>'2-ф2'!J29</f>
        <v>0</v>
      </c>
      <c r="K16" s="29">
        <f>'2-ф2'!K29</f>
        <v>0</v>
      </c>
      <c r="L16" s="29">
        <f>'2-ф2'!L29</f>
        <v>0</v>
      </c>
      <c r="M16" s="29">
        <f>'2-ф2'!M29</f>
        <v>0</v>
      </c>
      <c r="N16" s="29">
        <f>'2-ф2'!N29</f>
        <v>0</v>
      </c>
      <c r="O16" s="29">
        <f>'2-ф2'!O29</f>
        <v>0</v>
      </c>
      <c r="P16" s="27">
        <f>SUM(D16:O16)</f>
        <v>0</v>
      </c>
      <c r="Q16" s="29">
        <f>'2-ф2'!Q29</f>
        <v>0</v>
      </c>
      <c r="R16" s="29">
        <f>'2-ф2'!R29</f>
        <v>0</v>
      </c>
      <c r="S16" s="29">
        <f>'2-ф2'!S29</f>
        <v>0</v>
      </c>
      <c r="T16" s="29">
        <f>'2-ф2'!T29</f>
        <v>0</v>
      </c>
      <c r="U16" s="29">
        <f>'2-ф2'!U29</f>
        <v>0</v>
      </c>
      <c r="V16" s="29">
        <f>'2-ф2'!V29</f>
        <v>0</v>
      </c>
      <c r="W16" s="29">
        <f>'2-ф2'!W29</f>
        <v>0</v>
      </c>
      <c r="X16" s="29">
        <f>'2-ф2'!X29</f>
        <v>0</v>
      </c>
      <c r="Y16" s="29">
        <f>'2-ф2'!Y29</f>
        <v>0</v>
      </c>
      <c r="Z16" s="29">
        <f>'2-ф2'!Z29</f>
        <v>0</v>
      </c>
      <c r="AA16" s="29">
        <f>'2-ф2'!AA29</f>
        <v>0</v>
      </c>
      <c r="AB16" s="29">
        <f>'2-ф2'!AB29</f>
        <v>0</v>
      </c>
      <c r="AC16" s="27">
        <f>SUM(Q16:AB16)</f>
        <v>0</v>
      </c>
      <c r="AD16" s="29">
        <f>'2-ф2'!AD29</f>
        <v>0</v>
      </c>
      <c r="AE16" s="29">
        <f>'2-ф2'!AE29</f>
        <v>0</v>
      </c>
      <c r="AF16" s="29">
        <f>'2-ф2'!AF29</f>
        <v>0</v>
      </c>
      <c r="AG16" s="29">
        <f>'2-ф2'!AG29</f>
        <v>0</v>
      </c>
      <c r="AH16" s="29">
        <f>'2-ф2'!AH29</f>
        <v>0</v>
      </c>
      <c r="AI16" s="29">
        <f>'2-ф2'!AI29</f>
        <v>0</v>
      </c>
    </row>
    <row r="17" spans="1:35" s="21" customFormat="1" ht="25.5">
      <c r="A17" s="33" t="s">
        <v>17</v>
      </c>
      <c r="B17" s="18">
        <f>B9-B12</f>
        <v>4729.8406362868045</v>
      </c>
      <c r="C17" s="18"/>
      <c r="D17" s="18">
        <f aca="true" t="shared" si="8" ref="D17:AI17">D9-D12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-183.6134838888889</v>
      </c>
      <c r="O17" s="18">
        <f t="shared" si="8"/>
        <v>-183.6134838888889</v>
      </c>
      <c r="P17" s="18">
        <f t="shared" si="8"/>
        <v>-367.2269677777778</v>
      </c>
      <c r="Q17" s="18">
        <f t="shared" si="8"/>
        <v>-183.6134838888889</v>
      </c>
      <c r="R17" s="18">
        <f t="shared" si="8"/>
        <v>-183.6134838888889</v>
      </c>
      <c r="S17" s="18">
        <f t="shared" si="8"/>
        <v>-183.6134838888889</v>
      </c>
      <c r="T17" s="18">
        <f t="shared" si="8"/>
        <v>-183.6134838888889</v>
      </c>
      <c r="U17" s="18">
        <f t="shared" si="8"/>
        <v>143.36373764861108</v>
      </c>
      <c r="V17" s="18">
        <f t="shared" si="8"/>
        <v>143.50505532120724</v>
      </c>
      <c r="W17" s="18">
        <f t="shared" si="8"/>
        <v>143.6463729938034</v>
      </c>
      <c r="X17" s="18">
        <f t="shared" si="8"/>
        <v>143.78769066639956</v>
      </c>
      <c r="Y17" s="18">
        <f t="shared" si="8"/>
        <v>143.92900833899571</v>
      </c>
      <c r="Z17" s="18">
        <f t="shared" si="8"/>
        <v>144.07032601159185</v>
      </c>
      <c r="AA17" s="18">
        <f t="shared" si="8"/>
        <v>144.211643684188</v>
      </c>
      <c r="AB17" s="18">
        <f t="shared" si="8"/>
        <v>144.35296135678416</v>
      </c>
      <c r="AC17" s="18">
        <f t="shared" si="8"/>
        <v>416.412860466025</v>
      </c>
      <c r="AD17" s="18">
        <f t="shared" si="8"/>
        <v>729.25831474391</v>
      </c>
      <c r="AE17" s="18">
        <f t="shared" si="8"/>
        <v>749.608059597756</v>
      </c>
      <c r="AF17" s="18">
        <f t="shared" si="8"/>
        <v>769.9578044516024</v>
      </c>
      <c r="AG17" s="18">
        <f t="shared" si="8"/>
        <v>790.3075493054484</v>
      </c>
      <c r="AH17" s="18">
        <f t="shared" si="8"/>
        <v>810.6572941592945</v>
      </c>
      <c r="AI17" s="18">
        <f t="shared" si="8"/>
        <v>830.8657213405445</v>
      </c>
    </row>
    <row r="18" spans="1:35" s="21" customFormat="1" ht="12.75">
      <c r="A18" s="22" t="s">
        <v>18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4"/>
      <c r="AD18" s="34"/>
      <c r="AE18" s="34"/>
      <c r="AF18" s="34"/>
      <c r="AG18" s="34"/>
      <c r="AH18" s="34"/>
      <c r="AI18" s="34"/>
    </row>
    <row r="19" spans="1:35" s="21" customFormat="1" ht="12.75">
      <c r="A19" s="26" t="s">
        <v>5</v>
      </c>
      <c r="B19" s="27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7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7"/>
      <c r="AD19" s="27"/>
      <c r="AE19" s="27"/>
      <c r="AF19" s="27"/>
      <c r="AG19" s="27"/>
      <c r="AH19" s="27"/>
      <c r="AI19" s="27"/>
    </row>
    <row r="20" spans="1:35" s="21" customFormat="1" ht="12.75">
      <c r="A20" s="26" t="s">
        <v>6</v>
      </c>
      <c r="B20" s="27">
        <f>SUM(B21:B22)</f>
        <v>1825.719</v>
      </c>
      <c r="C20" s="27"/>
      <c r="D20" s="27">
        <f aca="true" t="shared" si="9" ref="D20:AC20">SUM(D21:D22)</f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>SUM(H21:H22)</f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1825.719</v>
      </c>
      <c r="N20" s="27">
        <f t="shared" si="9"/>
        <v>0</v>
      </c>
      <c r="O20" s="27">
        <f t="shared" si="9"/>
        <v>0</v>
      </c>
      <c r="P20" s="27">
        <f t="shared" si="9"/>
        <v>1825.719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0</v>
      </c>
      <c r="V20" s="27">
        <f t="shared" si="9"/>
        <v>0</v>
      </c>
      <c r="W20" s="27">
        <f t="shared" si="9"/>
        <v>0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 t="shared" si="9"/>
        <v>0</v>
      </c>
      <c r="AD20" s="27">
        <f aca="true" t="shared" si="10" ref="AD20:AI20">SUM(AD21:AD22)</f>
        <v>0</v>
      </c>
      <c r="AE20" s="27">
        <f t="shared" si="10"/>
        <v>0</v>
      </c>
      <c r="AF20" s="27">
        <f t="shared" si="10"/>
        <v>0</v>
      </c>
      <c r="AG20" s="27">
        <f t="shared" si="10"/>
        <v>0</v>
      </c>
      <c r="AH20" s="27">
        <f t="shared" si="10"/>
        <v>0</v>
      </c>
      <c r="AI20" s="27">
        <f t="shared" si="10"/>
        <v>0</v>
      </c>
    </row>
    <row r="21" spans="1:35" ht="12.75">
      <c r="A21" s="36" t="s">
        <v>19</v>
      </c>
      <c r="B21" s="27">
        <f>P21+AC21+AD21+AE21+AF21+AG21+AH21+AI21</f>
        <v>1825.719</v>
      </c>
      <c r="C21" s="27"/>
      <c r="D21" s="29">
        <f>Инв!E25</f>
        <v>0</v>
      </c>
      <c r="E21" s="29">
        <f>Инв!F25</f>
        <v>0</v>
      </c>
      <c r="F21" s="29">
        <f>Инв!G25</f>
        <v>0</v>
      </c>
      <c r="G21" s="29">
        <f>Инв!H25</f>
        <v>0</v>
      </c>
      <c r="H21" s="29">
        <f>Инв!I25</f>
        <v>0</v>
      </c>
      <c r="I21" s="29">
        <f>Инв!J25</f>
        <v>0</v>
      </c>
      <c r="J21" s="29">
        <f>Инв!K25</f>
        <v>0</v>
      </c>
      <c r="K21" s="29"/>
      <c r="L21" s="29">
        <f>Инв!M25</f>
        <v>0</v>
      </c>
      <c r="M21" s="29">
        <f>Инв!N25</f>
        <v>1825.719</v>
      </c>
      <c r="N21" s="29">
        <f>Инв!O25</f>
        <v>0</v>
      </c>
      <c r="O21" s="29">
        <f>Инв!P25</f>
        <v>0</v>
      </c>
      <c r="P21" s="27">
        <f>SUM(D21:O21)</f>
        <v>1825.719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>
        <f>SUM(Q21:AB21)</f>
        <v>0</v>
      </c>
      <c r="AD21" s="27"/>
      <c r="AE21" s="27"/>
      <c r="AF21" s="27"/>
      <c r="AG21" s="27"/>
      <c r="AH21" s="27"/>
      <c r="AI21" s="27"/>
    </row>
    <row r="22" spans="1:35" ht="12.75" hidden="1" outlineLevel="1">
      <c r="A22" s="36"/>
      <c r="B22" s="27">
        <f>P22+AC22+AD22+AE22+AF22+AG22+AH22+AI22</f>
        <v>0</v>
      </c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7"/>
      <c r="AE22" s="27"/>
      <c r="AF22" s="27"/>
      <c r="AG22" s="27"/>
      <c r="AH22" s="27"/>
      <c r="AI22" s="27"/>
    </row>
    <row r="23" spans="1:35" s="21" customFormat="1" ht="25.5" collapsed="1">
      <c r="A23" s="37" t="s">
        <v>20</v>
      </c>
      <c r="B23" s="18">
        <f>B19-B20</f>
        <v>-1825.719</v>
      </c>
      <c r="C23" s="18"/>
      <c r="D23" s="18">
        <f>D19-D20</f>
        <v>0</v>
      </c>
      <c r="E23" s="18">
        <f aca="true" t="shared" si="11" ref="E23:O23">E19-E20</f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>J19-J20</f>
        <v>0</v>
      </c>
      <c r="K23" s="18">
        <f t="shared" si="11"/>
        <v>0</v>
      </c>
      <c r="L23" s="18">
        <f t="shared" si="11"/>
        <v>0</v>
      </c>
      <c r="M23" s="18">
        <f t="shared" si="11"/>
        <v>-1825.719</v>
      </c>
      <c r="N23" s="18">
        <f t="shared" si="11"/>
        <v>0</v>
      </c>
      <c r="O23" s="18">
        <f t="shared" si="11"/>
        <v>0</v>
      </c>
      <c r="P23" s="18">
        <f>SUM(D23:O23)</f>
        <v>-1825.719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41" customFormat="1" ht="12.75">
      <c r="A24" s="38" t="s">
        <v>21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40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/>
      <c r="AD24" s="40"/>
      <c r="AE24" s="40"/>
      <c r="AF24" s="40"/>
      <c r="AG24" s="40"/>
      <c r="AH24" s="40"/>
      <c r="AI24" s="40"/>
    </row>
    <row r="25" spans="1:35" s="21" customFormat="1" ht="12.75">
      <c r="A25" s="22" t="s">
        <v>22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4"/>
      <c r="AD25" s="34"/>
      <c r="AE25" s="34"/>
      <c r="AF25" s="34"/>
      <c r="AG25" s="34"/>
      <c r="AH25" s="34"/>
      <c r="AI25" s="34"/>
    </row>
    <row r="26" spans="1:35" s="21" customFormat="1" ht="12.75">
      <c r="A26" s="26" t="s">
        <v>5</v>
      </c>
      <c r="B26" s="27">
        <f>SUM(B27:B28)</f>
        <v>2927.3999033333334</v>
      </c>
      <c r="C26" s="27"/>
      <c r="D26" s="27">
        <f>SUM(D27:D28)</f>
        <v>0</v>
      </c>
      <c r="E26" s="27">
        <f aca="true" t="shared" si="12" ref="E26:O26">SUM(E27:E28)</f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1825.719</v>
      </c>
      <c r="N26" s="27">
        <f t="shared" si="12"/>
        <v>183.6134838888889</v>
      </c>
      <c r="O26" s="27">
        <f t="shared" si="12"/>
        <v>183.6134838888889</v>
      </c>
      <c r="P26" s="27">
        <f aca="true" t="shared" si="13" ref="P26:AD26">SUM(P27:P28)</f>
        <v>2192.9459677777777</v>
      </c>
      <c r="Q26" s="27">
        <f t="shared" si="13"/>
        <v>183.6134838888889</v>
      </c>
      <c r="R26" s="27">
        <f t="shared" si="13"/>
        <v>183.6134838888889</v>
      </c>
      <c r="S26" s="27">
        <f t="shared" si="13"/>
        <v>183.6134838888889</v>
      </c>
      <c r="T26" s="27">
        <f t="shared" si="13"/>
        <v>183.6134838888889</v>
      </c>
      <c r="U26" s="27">
        <f t="shared" si="13"/>
        <v>0</v>
      </c>
      <c r="V26" s="27">
        <f t="shared" si="13"/>
        <v>0</v>
      </c>
      <c r="W26" s="27">
        <f t="shared" si="13"/>
        <v>0</v>
      </c>
      <c r="X26" s="27">
        <f t="shared" si="13"/>
        <v>0</v>
      </c>
      <c r="Y26" s="27">
        <f t="shared" si="13"/>
        <v>0</v>
      </c>
      <c r="Z26" s="27">
        <f t="shared" si="13"/>
        <v>0</v>
      </c>
      <c r="AA26" s="27">
        <f t="shared" si="13"/>
        <v>0</v>
      </c>
      <c r="AB26" s="27">
        <f t="shared" si="13"/>
        <v>0</v>
      </c>
      <c r="AC26" s="27">
        <f t="shared" si="13"/>
        <v>734.4539355555556</v>
      </c>
      <c r="AD26" s="27">
        <f t="shared" si="13"/>
        <v>0</v>
      </c>
      <c r="AE26" s="27">
        <f>SUM(AE27:AE28)</f>
        <v>0</v>
      </c>
      <c r="AF26" s="27">
        <f>SUM(AF27:AF28)</f>
        <v>0</v>
      </c>
      <c r="AG26" s="27">
        <f>SUM(AG27:AG28)</f>
        <v>0</v>
      </c>
      <c r="AH26" s="27">
        <f>SUM(AH27:AH28)</f>
        <v>0</v>
      </c>
      <c r="AI26" s="27">
        <f>SUM(AI27:AI28)</f>
        <v>0</v>
      </c>
    </row>
    <row r="27" spans="1:35" ht="12.75" customHeight="1">
      <c r="A27" s="36" t="s">
        <v>53</v>
      </c>
      <c r="B27" s="27">
        <f>P27+AC27+AD27+AE27+AF27+AG27+AH27+AI27</f>
        <v>1101.6809033333334</v>
      </c>
      <c r="C27" s="27"/>
      <c r="D27" s="29">
        <f>(-D17-D23)*Исх!$C$8</f>
        <v>0</v>
      </c>
      <c r="E27" s="29">
        <f>(-E17-E23)*Исх!$C$8</f>
        <v>0</v>
      </c>
      <c r="F27" s="29">
        <f>(-F17-F23)*Исх!$C$8</f>
        <v>0</v>
      </c>
      <c r="G27" s="29"/>
      <c r="H27" s="29"/>
      <c r="I27" s="29"/>
      <c r="J27" s="29"/>
      <c r="K27" s="29">
        <f>Инв!L5*Исх!$C$21</f>
        <v>0</v>
      </c>
      <c r="L27" s="29">
        <f>Инв!M5*Исх!$C$21</f>
        <v>0</v>
      </c>
      <c r="M27" s="29">
        <f>M13+M15</f>
        <v>0</v>
      </c>
      <c r="N27" s="29">
        <f aca="true" t="shared" si="14" ref="N27:T27">N13+N15</f>
        <v>183.6134838888889</v>
      </c>
      <c r="O27" s="29">
        <f t="shared" si="14"/>
        <v>183.6134838888889</v>
      </c>
      <c r="P27" s="27">
        <f>SUM(D27:O27)</f>
        <v>367.2269677777778</v>
      </c>
      <c r="Q27" s="29">
        <f t="shared" si="14"/>
        <v>183.6134838888889</v>
      </c>
      <c r="R27" s="29">
        <f t="shared" si="14"/>
        <v>183.6134838888889</v>
      </c>
      <c r="S27" s="29">
        <f t="shared" si="14"/>
        <v>183.6134838888889</v>
      </c>
      <c r="T27" s="29">
        <f t="shared" si="14"/>
        <v>183.6134838888889</v>
      </c>
      <c r="U27" s="29"/>
      <c r="V27" s="29"/>
      <c r="W27" s="29"/>
      <c r="X27" s="29"/>
      <c r="Y27" s="29"/>
      <c r="Z27" s="29"/>
      <c r="AA27" s="29"/>
      <c r="AB27" s="29"/>
      <c r="AC27" s="27">
        <f>SUM(Q27:AB27)</f>
        <v>734.4539355555556</v>
      </c>
      <c r="AD27" s="27"/>
      <c r="AE27" s="27"/>
      <c r="AF27" s="27"/>
      <c r="AG27" s="27"/>
      <c r="AH27" s="27"/>
      <c r="AI27" s="27"/>
    </row>
    <row r="28" spans="1:35" ht="12.75">
      <c r="A28" s="42" t="s">
        <v>159</v>
      </c>
      <c r="B28" s="27">
        <f>P28+AC28+AD28+AE28+AF28+AG28+AH28+AI28</f>
        <v>1825.719</v>
      </c>
      <c r="C28" s="27"/>
      <c r="D28" s="43">
        <f>(-D17-D23)-D27</f>
        <v>0</v>
      </c>
      <c r="E28" s="43">
        <f>(-E17-E23)-E27</f>
        <v>0</v>
      </c>
      <c r="F28" s="43">
        <f>(-F17-F23)-F27</f>
        <v>0</v>
      </c>
      <c r="G28" s="43"/>
      <c r="H28" s="43"/>
      <c r="I28" s="43"/>
      <c r="J28" s="43">
        <f>Инв!K25</f>
        <v>0</v>
      </c>
      <c r="K28" s="43">
        <f>Инв!L25-'1-Ф3'!K27</f>
        <v>0</v>
      </c>
      <c r="L28" s="43">
        <f>Инв!M25-'1-Ф3'!L27</f>
        <v>0</v>
      </c>
      <c r="M28" s="43">
        <f>Инв!N25</f>
        <v>1825.719</v>
      </c>
      <c r="N28" s="43"/>
      <c r="O28" s="43"/>
      <c r="P28" s="27">
        <f>SUM(D28:O28)</f>
        <v>1825.719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27">
        <f>SUM(Q28:AB28)</f>
        <v>0</v>
      </c>
      <c r="AD28" s="27"/>
      <c r="AE28" s="27"/>
      <c r="AF28" s="27"/>
      <c r="AG28" s="27"/>
      <c r="AH28" s="27"/>
      <c r="AI28" s="27"/>
    </row>
    <row r="29" spans="1:35" s="21" customFormat="1" ht="12.75">
      <c r="A29" s="26" t="s">
        <v>6</v>
      </c>
      <c r="B29" s="27">
        <f>SUM(B30:B31)</f>
        <v>1889.6191649999998</v>
      </c>
      <c r="C29" s="27"/>
      <c r="D29" s="27">
        <f>SUM(D30:D31)</f>
        <v>0</v>
      </c>
      <c r="E29" s="27">
        <f aca="true" t="shared" si="15" ref="E29:AF29">SUM(E30:E31)</f>
        <v>0</v>
      </c>
      <c r="F29" s="27">
        <f t="shared" si="15"/>
        <v>0</v>
      </c>
      <c r="G29" s="27">
        <f t="shared" si="15"/>
        <v>0</v>
      </c>
      <c r="H29" s="27">
        <f t="shared" si="15"/>
        <v>0</v>
      </c>
      <c r="I29" s="27">
        <f>SUM(I30:I31)</f>
        <v>0</v>
      </c>
      <c r="J29" s="27">
        <f t="shared" si="15"/>
        <v>0</v>
      </c>
      <c r="K29" s="27">
        <f t="shared" si="15"/>
        <v>0</v>
      </c>
      <c r="L29" s="27">
        <f t="shared" si="15"/>
        <v>0</v>
      </c>
      <c r="M29" s="27">
        <f t="shared" si="15"/>
        <v>0</v>
      </c>
      <c r="N29" s="27">
        <f t="shared" si="15"/>
        <v>0</v>
      </c>
      <c r="O29" s="27">
        <f t="shared" si="15"/>
        <v>0</v>
      </c>
      <c r="P29" s="27">
        <f t="shared" si="15"/>
        <v>0</v>
      </c>
      <c r="Q29" s="27">
        <f t="shared" si="15"/>
        <v>0</v>
      </c>
      <c r="R29" s="27">
        <f t="shared" si="15"/>
        <v>0</v>
      </c>
      <c r="S29" s="27">
        <f t="shared" si="15"/>
        <v>0</v>
      </c>
      <c r="T29" s="27">
        <f t="shared" si="15"/>
        <v>0</v>
      </c>
      <c r="U29" s="27">
        <f t="shared" si="15"/>
        <v>24.225886730769233</v>
      </c>
      <c r="V29" s="27">
        <f t="shared" si="15"/>
        <v>24.225886730769233</v>
      </c>
      <c r="W29" s="27">
        <f t="shared" si="15"/>
        <v>24.225886730769233</v>
      </c>
      <c r="X29" s="27">
        <f t="shared" si="15"/>
        <v>24.225886730769233</v>
      </c>
      <c r="Y29" s="27">
        <f t="shared" si="15"/>
        <v>24.225886730769233</v>
      </c>
      <c r="Z29" s="27">
        <f t="shared" si="15"/>
        <v>24.225886730769233</v>
      </c>
      <c r="AA29" s="27">
        <f t="shared" si="15"/>
        <v>24.225886730769233</v>
      </c>
      <c r="AB29" s="27">
        <f t="shared" si="15"/>
        <v>24.225886730769233</v>
      </c>
      <c r="AC29" s="27">
        <f t="shared" si="15"/>
        <v>193.80709384615386</v>
      </c>
      <c r="AD29" s="27">
        <f t="shared" si="15"/>
        <v>290.71064076923074</v>
      </c>
      <c r="AE29" s="27">
        <f t="shared" si="15"/>
        <v>290.71064076923074</v>
      </c>
      <c r="AF29" s="27">
        <f t="shared" si="15"/>
        <v>290.71064076923074</v>
      </c>
      <c r="AG29" s="27">
        <f>SUM(AG30:AG31)</f>
        <v>290.71064076923074</v>
      </c>
      <c r="AH29" s="27">
        <f>SUM(AH30:AH31)</f>
        <v>290.71064076923074</v>
      </c>
      <c r="AI29" s="27">
        <f>SUM(AI30:AI31)</f>
        <v>242.2588673076923</v>
      </c>
    </row>
    <row r="30" spans="1:35" ht="12.75">
      <c r="A30" s="28" t="s">
        <v>30</v>
      </c>
      <c r="B30" s="27">
        <f>P30+AC30+AD30+AE30+AF30+AG30+AH30+AI30</f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27">
        <f>SUM(D30:O30)</f>
        <v>0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27">
        <f>SUM(Q30:AB30)</f>
        <v>0</v>
      </c>
      <c r="AD30" s="32"/>
      <c r="AE30" s="27"/>
      <c r="AF30" s="27"/>
      <c r="AG30" s="27"/>
      <c r="AH30" s="27"/>
      <c r="AI30" s="27"/>
    </row>
    <row r="31" spans="1:35" ht="13.5" customHeight="1">
      <c r="A31" s="36" t="s">
        <v>158</v>
      </c>
      <c r="B31" s="27">
        <f>P31+AC31+AD31+AE31+AF31+AG31+AH31+AI31</f>
        <v>1889.6191649999998</v>
      </c>
      <c r="C31" s="27"/>
      <c r="D31" s="32">
        <f>кр!C10</f>
        <v>0</v>
      </c>
      <c r="E31" s="32">
        <f>кр!D10</f>
        <v>0</v>
      </c>
      <c r="F31" s="32">
        <f>кр!E10</f>
        <v>0</v>
      </c>
      <c r="G31" s="32">
        <f>кр!F10</f>
        <v>0</v>
      </c>
      <c r="H31" s="32">
        <f>кр!G10</f>
        <v>0</v>
      </c>
      <c r="I31" s="32">
        <f>кр!H10</f>
        <v>0</v>
      </c>
      <c r="J31" s="32">
        <f>кр!I10</f>
        <v>0</v>
      </c>
      <c r="K31" s="32">
        <f>кр!J10</f>
        <v>0</v>
      </c>
      <c r="L31" s="32">
        <f>кр!K10</f>
        <v>0</v>
      </c>
      <c r="M31" s="32">
        <f>кр!L10</f>
        <v>0</v>
      </c>
      <c r="N31" s="32">
        <f>кр!M10</f>
        <v>0</v>
      </c>
      <c r="O31" s="32">
        <f>кр!N10</f>
        <v>0</v>
      </c>
      <c r="P31" s="27">
        <f>SUM(D31:O31)</f>
        <v>0</v>
      </c>
      <c r="Q31" s="32">
        <f>кр!P10</f>
        <v>0</v>
      </c>
      <c r="R31" s="32">
        <f>кр!Q10</f>
        <v>0</v>
      </c>
      <c r="S31" s="32">
        <f>кр!R10</f>
        <v>0</v>
      </c>
      <c r="T31" s="32">
        <f>кр!S10</f>
        <v>0</v>
      </c>
      <c r="U31" s="32">
        <f>кр!T10</f>
        <v>24.225886730769233</v>
      </c>
      <c r="V31" s="32">
        <f>кр!U10</f>
        <v>24.225886730769233</v>
      </c>
      <c r="W31" s="32">
        <f>кр!V10</f>
        <v>24.225886730769233</v>
      </c>
      <c r="X31" s="32">
        <f>кр!W10</f>
        <v>24.225886730769233</v>
      </c>
      <c r="Y31" s="32">
        <f>кр!X10</f>
        <v>24.225886730769233</v>
      </c>
      <c r="Z31" s="32">
        <f>кр!Y10</f>
        <v>24.225886730769233</v>
      </c>
      <c r="AA31" s="32">
        <f>кр!Z10</f>
        <v>24.225886730769233</v>
      </c>
      <c r="AB31" s="32">
        <f>кр!AA10</f>
        <v>24.225886730769233</v>
      </c>
      <c r="AC31" s="27">
        <f>SUM(Q31:AB31)</f>
        <v>193.80709384615386</v>
      </c>
      <c r="AD31" s="32">
        <f>кр!AO10</f>
        <v>290.71064076923074</v>
      </c>
      <c r="AE31" s="32">
        <f>кр!BB10</f>
        <v>290.71064076923074</v>
      </c>
      <c r="AF31" s="32">
        <f>кр!BO10</f>
        <v>290.71064076923074</v>
      </c>
      <c r="AG31" s="32">
        <f>кр!CB10</f>
        <v>290.71064076923074</v>
      </c>
      <c r="AH31" s="32">
        <f>кр!CO10</f>
        <v>290.71064076923074</v>
      </c>
      <c r="AI31" s="32">
        <f>кр!DB10</f>
        <v>242.2588673076923</v>
      </c>
    </row>
    <row r="32" spans="1:35" s="21" customFormat="1" ht="25.5">
      <c r="A32" s="37" t="s">
        <v>23</v>
      </c>
      <c r="B32" s="18">
        <f>B26-B29</f>
        <v>1037.7807383333336</v>
      </c>
      <c r="C32" s="18"/>
      <c r="D32" s="18">
        <f>D26-D29</f>
        <v>0</v>
      </c>
      <c r="E32" s="18">
        <f aca="true" t="shared" si="16" ref="E32:AF32">E26-E29</f>
        <v>0</v>
      </c>
      <c r="F32" s="18">
        <f t="shared" si="16"/>
        <v>0</v>
      </c>
      <c r="G32" s="18">
        <f t="shared" si="16"/>
        <v>0</v>
      </c>
      <c r="H32" s="18">
        <f t="shared" si="16"/>
        <v>0</v>
      </c>
      <c r="I32" s="18">
        <f t="shared" si="16"/>
        <v>0</v>
      </c>
      <c r="J32" s="18">
        <f t="shared" si="16"/>
        <v>0</v>
      </c>
      <c r="K32" s="18">
        <f t="shared" si="16"/>
        <v>0</v>
      </c>
      <c r="L32" s="18">
        <f t="shared" si="16"/>
        <v>0</v>
      </c>
      <c r="M32" s="18">
        <f t="shared" si="16"/>
        <v>1825.719</v>
      </c>
      <c r="N32" s="18">
        <f t="shared" si="16"/>
        <v>183.6134838888889</v>
      </c>
      <c r="O32" s="18">
        <f t="shared" si="16"/>
        <v>183.6134838888889</v>
      </c>
      <c r="P32" s="18">
        <f t="shared" si="16"/>
        <v>2192.9459677777777</v>
      </c>
      <c r="Q32" s="18">
        <f t="shared" si="16"/>
        <v>183.6134838888889</v>
      </c>
      <c r="R32" s="18">
        <f t="shared" si="16"/>
        <v>183.6134838888889</v>
      </c>
      <c r="S32" s="18">
        <f t="shared" si="16"/>
        <v>183.6134838888889</v>
      </c>
      <c r="T32" s="18">
        <f t="shared" si="16"/>
        <v>183.6134838888889</v>
      </c>
      <c r="U32" s="18">
        <f t="shared" si="16"/>
        <v>-24.225886730769233</v>
      </c>
      <c r="V32" s="18">
        <f t="shared" si="16"/>
        <v>-24.225886730769233</v>
      </c>
      <c r="W32" s="18">
        <f t="shared" si="16"/>
        <v>-24.225886730769233</v>
      </c>
      <c r="X32" s="18">
        <f t="shared" si="16"/>
        <v>-24.225886730769233</v>
      </c>
      <c r="Y32" s="18">
        <f t="shared" si="16"/>
        <v>-24.225886730769233</v>
      </c>
      <c r="Z32" s="18">
        <f t="shared" si="16"/>
        <v>-24.225886730769233</v>
      </c>
      <c r="AA32" s="18">
        <f t="shared" si="16"/>
        <v>-24.225886730769233</v>
      </c>
      <c r="AB32" s="18">
        <f t="shared" si="16"/>
        <v>-24.225886730769233</v>
      </c>
      <c r="AC32" s="18">
        <f t="shared" si="16"/>
        <v>540.6468417094018</v>
      </c>
      <c r="AD32" s="18">
        <f t="shared" si="16"/>
        <v>-290.71064076923074</v>
      </c>
      <c r="AE32" s="18">
        <f t="shared" si="16"/>
        <v>-290.71064076923074</v>
      </c>
      <c r="AF32" s="18">
        <f t="shared" si="16"/>
        <v>-290.71064076923074</v>
      </c>
      <c r="AG32" s="18">
        <f>AG26-AG29</f>
        <v>-290.71064076923074</v>
      </c>
      <c r="AH32" s="18">
        <f>AH26-AH29</f>
        <v>-290.71064076923074</v>
      </c>
      <c r="AI32" s="18">
        <f>AI26-AI29</f>
        <v>-242.2588673076923</v>
      </c>
    </row>
    <row r="33" spans="1:35" s="46" customFormat="1" ht="12.75">
      <c r="A33" s="44" t="s">
        <v>24</v>
      </c>
      <c r="B33" s="45">
        <f>B17+B23+B32</f>
        <v>3941.9023746201383</v>
      </c>
      <c r="C33" s="27"/>
      <c r="D33" s="45">
        <f>D17+D23+D32</f>
        <v>0</v>
      </c>
      <c r="E33" s="45">
        <f aca="true" t="shared" si="17" ref="E33:AF33">E17+E23+E32</f>
        <v>0</v>
      </c>
      <c r="F33" s="45">
        <f t="shared" si="17"/>
        <v>0</v>
      </c>
      <c r="G33" s="45">
        <f t="shared" si="17"/>
        <v>0</v>
      </c>
      <c r="H33" s="45">
        <f t="shared" si="17"/>
        <v>0</v>
      </c>
      <c r="I33" s="45">
        <f t="shared" si="17"/>
        <v>0</v>
      </c>
      <c r="J33" s="45">
        <f t="shared" si="17"/>
        <v>0</v>
      </c>
      <c r="K33" s="45">
        <f t="shared" si="17"/>
        <v>0</v>
      </c>
      <c r="L33" s="45">
        <f t="shared" si="17"/>
        <v>0</v>
      </c>
      <c r="M33" s="45">
        <f t="shared" si="17"/>
        <v>0</v>
      </c>
      <c r="N33" s="45">
        <f t="shared" si="17"/>
        <v>0</v>
      </c>
      <c r="O33" s="45">
        <f t="shared" si="17"/>
        <v>0</v>
      </c>
      <c r="P33" s="45">
        <f t="shared" si="17"/>
        <v>0</v>
      </c>
      <c r="Q33" s="45">
        <f t="shared" si="17"/>
        <v>0</v>
      </c>
      <c r="R33" s="45">
        <f t="shared" si="17"/>
        <v>0</v>
      </c>
      <c r="S33" s="45">
        <f t="shared" si="17"/>
        <v>0</v>
      </c>
      <c r="T33" s="45">
        <f t="shared" si="17"/>
        <v>0</v>
      </c>
      <c r="U33" s="45">
        <f t="shared" si="17"/>
        <v>119.13785091784185</v>
      </c>
      <c r="V33" s="45">
        <f t="shared" si="17"/>
        <v>119.279168590438</v>
      </c>
      <c r="W33" s="45">
        <f t="shared" si="17"/>
        <v>119.42048626303416</v>
      </c>
      <c r="X33" s="45">
        <f t="shared" si="17"/>
        <v>119.56180393563032</v>
      </c>
      <c r="Y33" s="45">
        <f t="shared" si="17"/>
        <v>119.70312160822648</v>
      </c>
      <c r="Z33" s="45">
        <f t="shared" si="17"/>
        <v>119.84443928082261</v>
      </c>
      <c r="AA33" s="45">
        <f t="shared" si="17"/>
        <v>119.98575695341877</v>
      </c>
      <c r="AB33" s="45">
        <f t="shared" si="17"/>
        <v>120.12707462601493</v>
      </c>
      <c r="AC33" s="45">
        <f>AC17+AC23+AC32</f>
        <v>957.0597021754268</v>
      </c>
      <c r="AD33" s="45">
        <f t="shared" si="17"/>
        <v>438.54767397467924</v>
      </c>
      <c r="AE33" s="45">
        <f t="shared" si="17"/>
        <v>458.89741882852525</v>
      </c>
      <c r="AF33" s="45">
        <f t="shared" si="17"/>
        <v>479.2471636823717</v>
      </c>
      <c r="AG33" s="45">
        <f>AG17+AG23+AG32</f>
        <v>499.5969085362177</v>
      </c>
      <c r="AH33" s="45">
        <f>AH17+AH23+AH32</f>
        <v>519.9466533900637</v>
      </c>
      <c r="AI33" s="45">
        <f>AI17+AI23+AI32</f>
        <v>588.6068540328522</v>
      </c>
    </row>
    <row r="34" spans="1:43" s="21" customFormat="1" ht="12.75">
      <c r="A34" s="47" t="s">
        <v>52</v>
      </c>
      <c r="B34" s="27">
        <f>B7+B17+B23+B32</f>
        <v>3941.9023746201383</v>
      </c>
      <c r="C34" s="48"/>
      <c r="D34" s="49">
        <f aca="true" t="shared" si="18" ref="D34:O34">D7+D17+D23+D32</f>
        <v>0</v>
      </c>
      <c r="E34" s="49">
        <f t="shared" si="18"/>
        <v>0</v>
      </c>
      <c r="F34" s="49">
        <f t="shared" si="18"/>
        <v>0</v>
      </c>
      <c r="G34" s="49">
        <f t="shared" si="18"/>
        <v>0</v>
      </c>
      <c r="H34" s="49">
        <f t="shared" si="18"/>
        <v>0</v>
      </c>
      <c r="I34" s="49">
        <f t="shared" si="18"/>
        <v>0</v>
      </c>
      <c r="J34" s="49">
        <f t="shared" si="18"/>
        <v>0</v>
      </c>
      <c r="K34" s="49">
        <f t="shared" si="18"/>
        <v>0</v>
      </c>
      <c r="L34" s="49">
        <f t="shared" si="18"/>
        <v>0</v>
      </c>
      <c r="M34" s="49">
        <f t="shared" si="18"/>
        <v>0</v>
      </c>
      <c r="N34" s="49">
        <f t="shared" si="18"/>
        <v>0</v>
      </c>
      <c r="O34" s="49">
        <f t="shared" si="18"/>
        <v>0</v>
      </c>
      <c r="P34" s="50">
        <f>O34</f>
        <v>0</v>
      </c>
      <c r="Q34" s="49">
        <f>P34+Q17+Q23+Q32</f>
        <v>0</v>
      </c>
      <c r="R34" s="49">
        <f aca="true" t="shared" si="19" ref="R34:AB34">Q34+R17+R23+R32</f>
        <v>0</v>
      </c>
      <c r="S34" s="49">
        <f t="shared" si="19"/>
        <v>0</v>
      </c>
      <c r="T34" s="49">
        <f t="shared" si="19"/>
        <v>0</v>
      </c>
      <c r="U34" s="49">
        <f t="shared" si="19"/>
        <v>119.13785091784185</v>
      </c>
      <c r="V34" s="49">
        <f t="shared" si="19"/>
        <v>238.41701950827985</v>
      </c>
      <c r="W34" s="49">
        <f t="shared" si="19"/>
        <v>357.83750577131406</v>
      </c>
      <c r="X34" s="49">
        <f t="shared" si="19"/>
        <v>477.3993097069444</v>
      </c>
      <c r="Y34" s="49">
        <f t="shared" si="19"/>
        <v>597.1024313151709</v>
      </c>
      <c r="Z34" s="49">
        <f t="shared" si="19"/>
        <v>716.9468705959935</v>
      </c>
      <c r="AA34" s="49">
        <f t="shared" si="19"/>
        <v>836.9326275494121</v>
      </c>
      <c r="AB34" s="49">
        <f t="shared" si="19"/>
        <v>957.059702175427</v>
      </c>
      <c r="AC34" s="49">
        <f>AB34</f>
        <v>957.059702175427</v>
      </c>
      <c r="AD34" s="49">
        <f aca="true" t="shared" si="20" ref="AD34:AI34">AC34+AD17+AD23+AD32</f>
        <v>1395.6073761501061</v>
      </c>
      <c r="AE34" s="49">
        <f t="shared" si="20"/>
        <v>1854.5047949786313</v>
      </c>
      <c r="AF34" s="49">
        <f t="shared" si="20"/>
        <v>2333.751958661003</v>
      </c>
      <c r="AG34" s="49">
        <f t="shared" si="20"/>
        <v>2833.3488671972204</v>
      </c>
      <c r="AH34" s="49">
        <f t="shared" si="20"/>
        <v>3353.295520587284</v>
      </c>
      <c r="AI34" s="49">
        <f t="shared" si="20"/>
        <v>3941.9023746201356</v>
      </c>
      <c r="AJ34" s="7">
        <v>2013</v>
      </c>
      <c r="AK34" s="7">
        <f aca="true" t="shared" si="21" ref="AK34:AN35">AJ34+1</f>
        <v>2014</v>
      </c>
      <c r="AL34" s="7">
        <f t="shared" si="21"/>
        <v>2015</v>
      </c>
      <c r="AM34" s="7">
        <f t="shared" si="21"/>
        <v>2016</v>
      </c>
      <c r="AN34" s="7">
        <f t="shared" si="21"/>
        <v>2017</v>
      </c>
      <c r="AO34" s="7">
        <f aca="true" t="shared" si="22" ref="AO34:AQ35">AN34+1</f>
        <v>2018</v>
      </c>
      <c r="AP34" s="7">
        <f t="shared" si="22"/>
        <v>2019</v>
      </c>
      <c r="AQ34" s="7">
        <f t="shared" si="22"/>
        <v>2020</v>
      </c>
    </row>
    <row r="35" spans="1:43" ht="12.75">
      <c r="A35" s="51"/>
      <c r="B35" s="52">
        <f>AI34</f>
        <v>3941.9023746201356</v>
      </c>
      <c r="C35" s="53"/>
      <c r="D35" s="54">
        <f aca="true" t="shared" si="23" ref="D35:AI35">D7+D33-D34</f>
        <v>0</v>
      </c>
      <c r="E35" s="54">
        <f t="shared" si="23"/>
        <v>0</v>
      </c>
      <c r="F35" s="54">
        <f t="shared" si="23"/>
        <v>0</v>
      </c>
      <c r="G35" s="54">
        <f t="shared" si="23"/>
        <v>0</v>
      </c>
      <c r="H35" s="54">
        <f t="shared" si="23"/>
        <v>0</v>
      </c>
      <c r="I35" s="54">
        <f t="shared" si="23"/>
        <v>0</v>
      </c>
      <c r="J35" s="54">
        <f t="shared" si="23"/>
        <v>0</v>
      </c>
      <c r="K35" s="54">
        <f t="shared" si="23"/>
        <v>0</v>
      </c>
      <c r="L35" s="54">
        <f t="shared" si="23"/>
        <v>0</v>
      </c>
      <c r="M35" s="54">
        <f t="shared" si="23"/>
        <v>0</v>
      </c>
      <c r="N35" s="54">
        <f t="shared" si="23"/>
        <v>0</v>
      </c>
      <c r="O35" s="54">
        <f t="shared" si="23"/>
        <v>0</v>
      </c>
      <c r="P35" s="54">
        <f t="shared" si="23"/>
        <v>0</v>
      </c>
      <c r="Q35" s="54">
        <f t="shared" si="23"/>
        <v>0</v>
      </c>
      <c r="R35" s="54">
        <f t="shared" si="23"/>
        <v>0</v>
      </c>
      <c r="S35" s="54">
        <f t="shared" si="23"/>
        <v>0</v>
      </c>
      <c r="T35" s="54">
        <f t="shared" si="23"/>
        <v>0</v>
      </c>
      <c r="U35" s="54">
        <f t="shared" si="23"/>
        <v>0</v>
      </c>
      <c r="V35" s="54">
        <f t="shared" si="23"/>
        <v>0</v>
      </c>
      <c r="W35" s="54">
        <f t="shared" si="23"/>
        <v>0</v>
      </c>
      <c r="X35" s="54">
        <f t="shared" si="23"/>
        <v>0</v>
      </c>
      <c r="Y35" s="54">
        <f t="shared" si="23"/>
        <v>0</v>
      </c>
      <c r="Z35" s="54">
        <f t="shared" si="23"/>
        <v>0</v>
      </c>
      <c r="AA35" s="54">
        <f t="shared" si="23"/>
        <v>0</v>
      </c>
      <c r="AB35" s="54">
        <f t="shared" si="23"/>
        <v>0</v>
      </c>
      <c r="AC35" s="54">
        <f t="shared" si="23"/>
        <v>0</v>
      </c>
      <c r="AD35" s="54">
        <f t="shared" si="23"/>
        <v>0</v>
      </c>
      <c r="AE35" s="54">
        <f t="shared" si="23"/>
        <v>0</v>
      </c>
      <c r="AF35" s="54">
        <f t="shared" si="23"/>
        <v>0</v>
      </c>
      <c r="AG35" s="54">
        <f t="shared" si="23"/>
        <v>0</v>
      </c>
      <c r="AH35" s="54">
        <f t="shared" si="23"/>
        <v>0</v>
      </c>
      <c r="AI35" s="54">
        <f t="shared" si="23"/>
        <v>0</v>
      </c>
      <c r="AJ35" s="61">
        <v>0</v>
      </c>
      <c r="AK35" s="61">
        <f t="shared" si="21"/>
        <v>1</v>
      </c>
      <c r="AL35" s="61">
        <f t="shared" si="21"/>
        <v>2</v>
      </c>
      <c r="AM35" s="61">
        <f t="shared" si="21"/>
        <v>3</v>
      </c>
      <c r="AN35" s="61">
        <f t="shared" si="21"/>
        <v>4</v>
      </c>
      <c r="AO35" s="61">
        <f t="shared" si="22"/>
        <v>5</v>
      </c>
      <c r="AP35" s="61">
        <f t="shared" si="22"/>
        <v>6</v>
      </c>
      <c r="AQ35" s="61">
        <f t="shared" si="22"/>
        <v>7</v>
      </c>
    </row>
    <row r="36" spans="1:43" ht="12.75">
      <c r="A36" s="51" t="s">
        <v>58</v>
      </c>
      <c r="B36" s="62">
        <f>B34-B35</f>
        <v>0</v>
      </c>
      <c r="C36" s="53"/>
      <c r="Q36" s="56"/>
      <c r="AJ36" s="56">
        <f>P33</f>
        <v>0</v>
      </c>
      <c r="AK36" s="56">
        <f aca="true" t="shared" si="24" ref="AK36:AP36">AC33</f>
        <v>957.0597021754268</v>
      </c>
      <c r="AL36" s="56">
        <f t="shared" si="24"/>
        <v>438.54767397467924</v>
      </c>
      <c r="AM36" s="56">
        <f t="shared" si="24"/>
        <v>458.89741882852525</v>
      </c>
      <c r="AN36" s="56">
        <f t="shared" si="24"/>
        <v>479.2471636823717</v>
      </c>
      <c r="AO36" s="56">
        <f t="shared" si="24"/>
        <v>499.5969085362177</v>
      </c>
      <c r="AP36" s="56">
        <f t="shared" si="24"/>
        <v>519.9466533900637</v>
      </c>
      <c r="AQ36" s="56">
        <f>AP36+AH31+AH14</f>
        <v>838.638193333333</v>
      </c>
    </row>
    <row r="37" spans="1:43" ht="12.75">
      <c r="A37" s="51" t="s">
        <v>59</v>
      </c>
      <c r="B37" s="53"/>
      <c r="C37" s="53"/>
      <c r="AJ37" s="56">
        <f>AJ36+P31+P30+P14</f>
        <v>0</v>
      </c>
      <c r="AK37" s="56">
        <f aca="true" t="shared" si="25" ref="AK37:AP37">AK36+AC31+AC30+AC14</f>
        <v>1235.0921288888885</v>
      </c>
      <c r="AL37" s="56">
        <f t="shared" si="25"/>
        <v>838.6381933333331</v>
      </c>
      <c r="AM37" s="56">
        <f t="shared" si="25"/>
        <v>838.638193333333</v>
      </c>
      <c r="AN37" s="56">
        <f t="shared" si="25"/>
        <v>838.6381933333333</v>
      </c>
      <c r="AO37" s="56">
        <f t="shared" si="25"/>
        <v>838.6381933333332</v>
      </c>
      <c r="AP37" s="56">
        <f t="shared" si="25"/>
        <v>838.638193333333</v>
      </c>
      <c r="AQ37" s="56">
        <f>AQ36+AJ31+AJ30+AJ14</f>
        <v>838.638193333333</v>
      </c>
    </row>
    <row r="38" spans="1:43" ht="12.75">
      <c r="A38" s="51" t="s">
        <v>60</v>
      </c>
      <c r="B38" s="53"/>
      <c r="C38" s="53"/>
      <c r="V38" s="56"/>
      <c r="AJ38" s="56">
        <f>P26</f>
        <v>2192.9459677777777</v>
      </c>
      <c r="AK38" s="56">
        <f>AC26</f>
        <v>734.4539355555556</v>
      </c>
      <c r="AL38" s="56"/>
      <c r="AM38" s="56"/>
      <c r="AN38" s="56"/>
      <c r="AO38" s="56"/>
      <c r="AP38" s="56"/>
      <c r="AQ38" s="56"/>
    </row>
    <row r="39" spans="1:43" ht="12.75">
      <c r="A39" s="63" t="s">
        <v>61</v>
      </c>
      <c r="B39" s="53"/>
      <c r="C39" s="53"/>
      <c r="AJ39" s="64">
        <f aca="true" t="shared" si="26" ref="AJ39:AP39">AJ37-AJ38</f>
        <v>-2192.9459677777777</v>
      </c>
      <c r="AK39" s="64">
        <f t="shared" si="26"/>
        <v>500.6381933333329</v>
      </c>
      <c r="AL39" s="64">
        <f t="shared" si="26"/>
        <v>838.6381933333331</v>
      </c>
      <c r="AM39" s="64">
        <f t="shared" si="26"/>
        <v>838.638193333333</v>
      </c>
      <c r="AN39" s="64">
        <f t="shared" si="26"/>
        <v>838.6381933333333</v>
      </c>
      <c r="AO39" s="64">
        <f t="shared" si="26"/>
        <v>838.6381933333332</v>
      </c>
      <c r="AP39" s="64">
        <f t="shared" si="26"/>
        <v>838.638193333333</v>
      </c>
      <c r="AQ39" s="64">
        <f>AQ37-AQ38</f>
        <v>838.638193333333</v>
      </c>
    </row>
    <row r="40" spans="1:43" ht="12.75">
      <c r="A40" s="65" t="s">
        <v>62</v>
      </c>
      <c r="B40" s="53"/>
      <c r="C40" s="53"/>
      <c r="AJ40" s="66">
        <f>AJ39/(1+Исх!$C$7)^'1-Ф3'!AJ35</f>
        <v>-2192.9459677777777</v>
      </c>
      <c r="AK40" s="66">
        <f>AK39/(1+Исх!$C$7)^'1-Ф3'!AK35</f>
        <v>455.1256303030299</v>
      </c>
      <c r="AL40" s="66">
        <f>AL39/(1+Исх!$C$7)^'1-Ф3'!AL35</f>
        <v>693.0894159779612</v>
      </c>
      <c r="AM40" s="66">
        <f>AM39/(1+Исх!$C$7)^'1-Ф3'!AM35</f>
        <v>630.0812872526917</v>
      </c>
      <c r="AN40" s="66">
        <f>AN39/(1+Исх!$C$7)^'1-Ф3'!AN35</f>
        <v>572.80117022972</v>
      </c>
      <c r="AO40" s="66">
        <f>AO39/(1+Исх!$C$7)^'1-Ф3'!AO35</f>
        <v>520.7283365724727</v>
      </c>
      <c r="AP40" s="66">
        <f>AP39/(1+Исх!$C$7)^'1-Ф3'!AP35</f>
        <v>473.3893968840659</v>
      </c>
      <c r="AQ40" s="66">
        <f>AQ39/(1+Исх!$C$7)^'1-Ф3'!AQ35</f>
        <v>430.3539971673325</v>
      </c>
    </row>
    <row r="41" spans="1:43" ht="12.75">
      <c r="A41" s="63" t="s">
        <v>63</v>
      </c>
      <c r="B41" s="53"/>
      <c r="C41" s="53"/>
      <c r="AJ41" s="64">
        <f>AJ39</f>
        <v>-2192.9459677777777</v>
      </c>
      <c r="AK41" s="64">
        <f aca="true" t="shared" si="27" ref="AK41:AN42">AJ41+AK39</f>
        <v>-1692.307774444445</v>
      </c>
      <c r="AL41" s="64">
        <f t="shared" si="27"/>
        <v>-853.6695811111118</v>
      </c>
      <c r="AM41" s="64">
        <f t="shared" si="27"/>
        <v>-15.031387777778832</v>
      </c>
      <c r="AN41" s="64">
        <f t="shared" si="27"/>
        <v>823.6068055555545</v>
      </c>
      <c r="AO41" s="64">
        <f aca="true" t="shared" si="28" ref="AO41:AQ42">AN41+AO39</f>
        <v>1662.2449988888877</v>
      </c>
      <c r="AP41" s="64">
        <f t="shared" si="28"/>
        <v>2500.8831922222207</v>
      </c>
      <c r="AQ41" s="64">
        <f t="shared" si="28"/>
        <v>3339.521385555554</v>
      </c>
    </row>
    <row r="42" spans="1:43" ht="12.75">
      <c r="A42" s="65" t="s">
        <v>64</v>
      </c>
      <c r="B42" s="53"/>
      <c r="C42" s="53"/>
      <c r="AJ42" s="66">
        <f>AJ40</f>
        <v>-2192.9459677777777</v>
      </c>
      <c r="AK42" s="66">
        <f t="shared" si="27"/>
        <v>-1737.8203374747477</v>
      </c>
      <c r="AL42" s="66">
        <f t="shared" si="27"/>
        <v>-1044.7309214967866</v>
      </c>
      <c r="AM42" s="66">
        <f t="shared" si="27"/>
        <v>-414.64963424409484</v>
      </c>
      <c r="AN42" s="66">
        <f t="shared" si="27"/>
        <v>158.15153598562517</v>
      </c>
      <c r="AO42" s="66">
        <f t="shared" si="28"/>
        <v>678.8798725580979</v>
      </c>
      <c r="AP42" s="66">
        <f t="shared" si="28"/>
        <v>1152.2692694421637</v>
      </c>
      <c r="AQ42" s="66">
        <f t="shared" si="28"/>
        <v>1582.623266609496</v>
      </c>
    </row>
    <row r="43" spans="1:43" ht="12.75">
      <c r="A43" s="51" t="s">
        <v>65</v>
      </c>
      <c r="B43" s="53"/>
      <c r="C43" s="53"/>
      <c r="AJ43" s="56">
        <f>NPV(Исх!$C$7,'1-Ф3'!$AJ37:AJ37)</f>
        <v>0</v>
      </c>
      <c r="AK43" s="56">
        <f>NPV(Исх!$C$7,'1-Ф3'!$AJ37:AK37)</f>
        <v>1020.737296602387</v>
      </c>
      <c r="AL43" s="56">
        <f>NPV(Исх!$C$7,'1-Ф3'!$AJ37:AL37)</f>
        <v>1650.818583855079</v>
      </c>
      <c r="AM43" s="56">
        <f>NPV(Исх!$C$7,'1-Ф3'!$AJ37:AM37)</f>
        <v>2223.6197540847984</v>
      </c>
      <c r="AN43" s="56">
        <f>NPV(Исх!$C$7,'1-Ф3'!$AJ37:AN37)</f>
        <v>2744.3480906572713</v>
      </c>
      <c r="AO43" s="56">
        <f>NPV(Исх!$C$7,'1-Ф3'!$AJ37:AO37)</f>
        <v>3217.737487541337</v>
      </c>
      <c r="AP43" s="56">
        <f>NPV(Исх!$C$7,'1-Ф3'!$AJ37:AP37)</f>
        <v>3648.0914847086697</v>
      </c>
      <c r="AQ43" s="56">
        <f>NPV(Исх!$C$7,'1-Ф3'!$AJ37:AQ37)</f>
        <v>4039.322391224426</v>
      </c>
    </row>
    <row r="44" spans="1:43" ht="12.75">
      <c r="A44" s="51" t="s">
        <v>66</v>
      </c>
      <c r="B44" s="53"/>
      <c r="C44" s="53"/>
      <c r="AJ44" s="56">
        <f>NPV(Исх!$C$7,'1-Ф3'!$AJ38:AJ38)</f>
        <v>1993.5872434343432</v>
      </c>
      <c r="AK44" s="56">
        <f>NPV(Исх!$C$7,'1-Ф3'!$AJ38:AK38)</f>
        <v>2600.573967033976</v>
      </c>
      <c r="AL44" s="56">
        <f>NPV(Исх!$C$7,'1-Ф3'!$AJ38:AL38)</f>
        <v>2600.573967033976</v>
      </c>
      <c r="AM44" s="56">
        <f>NPV(Исх!$C$7,'1-Ф3'!$AJ38:AM38)</f>
        <v>2600.573967033976</v>
      </c>
      <c r="AN44" s="56">
        <f>NPV(Исх!$C$7,'1-Ф3'!$AJ38:AN38)</f>
        <v>2600.573967033976</v>
      </c>
      <c r="AO44" s="56">
        <f>NPV(Исх!$C$7,'1-Ф3'!$AJ38:AO38)</f>
        <v>2600.573967033976</v>
      </c>
      <c r="AP44" s="56">
        <f>NPV(Исх!$C$7,'1-Ф3'!$AJ38:AP38)</f>
        <v>2600.573967033976</v>
      </c>
      <c r="AQ44" s="56">
        <f>NPV(Исх!$C$7,'1-Ф3'!$AJ38:AQ38)</f>
        <v>2600.573967033976</v>
      </c>
    </row>
    <row r="45" spans="1:43" ht="12.75">
      <c r="A45" s="51" t="s">
        <v>67</v>
      </c>
      <c r="B45" s="53"/>
      <c r="C45" s="53"/>
      <c r="AJ45" s="56">
        <f aca="true" t="shared" si="29" ref="AJ45:AP45">AJ43-AJ44</f>
        <v>-1993.5872434343432</v>
      </c>
      <c r="AK45" s="56">
        <f t="shared" si="29"/>
        <v>-1579.8366704315888</v>
      </c>
      <c r="AL45" s="56">
        <f t="shared" si="29"/>
        <v>-949.7553831788969</v>
      </c>
      <c r="AM45" s="56">
        <f t="shared" si="29"/>
        <v>-376.9542129491774</v>
      </c>
      <c r="AN45" s="56">
        <f t="shared" si="29"/>
        <v>143.7741236232955</v>
      </c>
      <c r="AO45" s="56">
        <f t="shared" si="29"/>
        <v>617.1635205073612</v>
      </c>
      <c r="AP45" s="56">
        <f t="shared" si="29"/>
        <v>1047.5175176746939</v>
      </c>
      <c r="AQ45" s="56">
        <f>AQ43-AQ44</f>
        <v>1438.7484241904504</v>
      </c>
    </row>
    <row r="46" spans="1:43" ht="12.75">
      <c r="A46" s="51" t="s">
        <v>68</v>
      </c>
      <c r="B46" s="53"/>
      <c r="C46" s="53"/>
      <c r="AJ46" s="67">
        <f aca="true" t="shared" si="30" ref="AJ46:AP46">AJ43/AJ44</f>
        <v>0</v>
      </c>
      <c r="AK46" s="67">
        <f t="shared" si="30"/>
        <v>0.3925046199576339</v>
      </c>
      <c r="AL46" s="67">
        <f t="shared" si="30"/>
        <v>0.6347900904883247</v>
      </c>
      <c r="AM46" s="67">
        <f t="shared" si="30"/>
        <v>0.8550496091525888</v>
      </c>
      <c r="AN46" s="67">
        <f t="shared" si="30"/>
        <v>1.055285535211011</v>
      </c>
      <c r="AO46" s="67">
        <f t="shared" si="30"/>
        <v>1.237318195264122</v>
      </c>
      <c r="AP46" s="67">
        <f t="shared" si="30"/>
        <v>1.402802431676041</v>
      </c>
      <c r="AQ46" s="67">
        <f>AQ43/AQ44</f>
        <v>1.5532426465959672</v>
      </c>
    </row>
    <row r="47" spans="1:43" ht="12.75">
      <c r="A47" s="51" t="s">
        <v>69</v>
      </c>
      <c r="B47" s="53"/>
      <c r="C47" s="53"/>
      <c r="AG47" s="68" t="str">
        <f>IF(ISERROR(IRR($AJ39:AJ$39))," ",IF(IRR($AJ39:AJ$39)&lt;0," ",IRR($AJ39:AJ$39)))</f>
        <v> </v>
      </c>
      <c r="AH47" s="68"/>
      <c r="AI47" s="68"/>
      <c r="AJ47" s="68" t="str">
        <f>IF(ISERROR(IRR($AJ39:AJ$39))," ",IF(IRR($AJ39:AJ$39)&lt;0," ",IRR($AJ39:AJ$39)))</f>
        <v> </v>
      </c>
      <c r="AK47" s="68" t="str">
        <f>IF(ISERROR(IRR($AJ39:AK$39))," ",IF(IRR($AJ39:AK$39)&lt;0," ",IRR($AJ39:AK$39)))</f>
        <v> </v>
      </c>
      <c r="AL47" s="68" t="str">
        <f>IF(ISERROR(IRR($AJ39:AL$39))," ",IF(IRR($AJ39:AL$39)&lt;0," ",IRR($AJ39:AL$39)))</f>
        <v> </v>
      </c>
      <c r="AM47" s="68" t="str">
        <f>IF(ISERROR(IRR($AJ39:AM$39))," ",IF(IRR($AJ39:AM$39)&lt;0," ",IRR($AJ39:AM$39)))</f>
        <v> </v>
      </c>
      <c r="AN47" s="68">
        <f>IF(ISERROR(IRR($AJ39:AN$39))," ",IF(IRR($AJ39:AN$39)&lt;0," ",IRR($AJ39:AN$39)))</f>
        <v>0.13049740615864436</v>
      </c>
      <c r="AO47" s="68">
        <f>IF(ISERROR(IRR($AJ39:AO$39))," ",IF(IRR($AJ39:AO$39)&lt;0," ",IRR($AJ39:AO$39)))</f>
        <v>0.20640198412509836</v>
      </c>
      <c r="AP47" s="68">
        <f>IF(ISERROR(IRR($AJ39:AP$39))," ",IF(IRR($AJ39:AP$39)&lt;0," ",IRR($AJ39:AP$39)))</f>
        <v>0.25217474573034515</v>
      </c>
      <c r="AQ47" s="68">
        <f>IF(ISERROR(IRR($AJ39:AQ$39))," ",IF(IRR($AJ39:AQ$39)&lt;0," ",IRR($AJ39:AQ$39)))</f>
        <v>0.281073496124953</v>
      </c>
    </row>
    <row r="48" spans="1:3" ht="12.75">
      <c r="A48" s="69" t="s">
        <v>32</v>
      </c>
      <c r="B48" s="57">
        <f>AM35-AM41/AN39</f>
        <v>3.017923566917497</v>
      </c>
      <c r="C48" s="53"/>
    </row>
    <row r="49" spans="1:3" ht="12.75">
      <c r="A49" s="69" t="s">
        <v>27</v>
      </c>
      <c r="B49" s="57">
        <f>AN35-AN42/AO40</f>
        <v>3.696287824421834</v>
      </c>
      <c r="C49" s="53"/>
    </row>
    <row r="50" spans="1:3" ht="12.75">
      <c r="A50" s="51"/>
      <c r="B50" s="53"/>
      <c r="C50" s="53"/>
    </row>
    <row r="51" spans="1:3" ht="12.75">
      <c r="A51" s="51"/>
      <c r="B51" s="53"/>
      <c r="C51" s="53"/>
    </row>
    <row r="52" spans="1:3" ht="12.75">
      <c r="A52" s="51"/>
      <c r="B52" s="53"/>
      <c r="C52" s="53"/>
    </row>
    <row r="53" spans="1:3" ht="12.75">
      <c r="A53" s="51"/>
      <c r="B53" s="53"/>
      <c r="C53" s="53"/>
    </row>
    <row r="54" spans="1:3" ht="12.75">
      <c r="A54" s="51"/>
      <c r="B54" s="53"/>
      <c r="C54" s="53"/>
    </row>
    <row r="55" spans="1:3" ht="12.75">
      <c r="A55" s="51"/>
      <c r="B55" s="53"/>
      <c r="C55" s="53"/>
    </row>
    <row r="56" spans="1:3" ht="12.75">
      <c r="A56" s="51"/>
      <c r="B56" s="53"/>
      <c r="C56" s="53"/>
    </row>
    <row r="57" spans="1:3" ht="12.75">
      <c r="A57" s="51"/>
      <c r="B57" s="53"/>
      <c r="C57" s="53"/>
    </row>
    <row r="58" spans="1:3" ht="12.75">
      <c r="A58" s="51"/>
      <c r="B58" s="53"/>
      <c r="C58" s="53"/>
    </row>
    <row r="59" spans="1:3" ht="12.75">
      <c r="A59" s="51"/>
      <c r="B59" s="53"/>
      <c r="C59" s="53"/>
    </row>
    <row r="60" spans="1:3" ht="12.75">
      <c r="A60" s="51"/>
      <c r="B60" s="53"/>
      <c r="C60" s="53"/>
    </row>
    <row r="61" spans="1:3" ht="12.75">
      <c r="A61" s="51"/>
      <c r="B61" s="53"/>
      <c r="C61" s="53"/>
    </row>
    <row r="62" spans="1:3" ht="12.75">
      <c r="A62" s="51"/>
      <c r="B62" s="53"/>
      <c r="C62" s="53"/>
    </row>
    <row r="63" spans="1:3" ht="12.75">
      <c r="A63" s="51"/>
      <c r="B63" s="53"/>
      <c r="C63" s="53"/>
    </row>
    <row r="64" spans="1:3" ht="12.75">
      <c r="A64" s="51"/>
      <c r="B64" s="53"/>
      <c r="C64" s="53"/>
    </row>
    <row r="65" spans="1:3" ht="12.75">
      <c r="A65" s="51"/>
      <c r="B65" s="53"/>
      <c r="C65" s="53"/>
    </row>
    <row r="66" spans="1:3" ht="12.75">
      <c r="A66" s="51"/>
      <c r="B66" s="53"/>
      <c r="C66" s="53"/>
    </row>
    <row r="67" spans="1:3" ht="12.75">
      <c r="A67" s="51"/>
      <c r="B67" s="53"/>
      <c r="C67" s="53"/>
    </row>
    <row r="68" spans="1:3" ht="12.75">
      <c r="A68" s="51"/>
      <c r="B68" s="53"/>
      <c r="C68" s="53"/>
    </row>
    <row r="69" spans="1:3" ht="12.75">
      <c r="A69" s="51"/>
      <c r="B69" s="53"/>
      <c r="C69" s="53"/>
    </row>
    <row r="70" spans="1:3" ht="12.75">
      <c r="A70" s="51"/>
      <c r="B70" s="53"/>
      <c r="C70" s="53"/>
    </row>
    <row r="71" spans="1:3" ht="12.75">
      <c r="A71" s="51"/>
      <c r="B71" s="53"/>
      <c r="C71" s="53"/>
    </row>
    <row r="72" spans="1:3" ht="12.75">
      <c r="A72" s="51"/>
      <c r="B72" s="53"/>
      <c r="C72" s="53"/>
    </row>
    <row r="73" spans="1:3" ht="12.75">
      <c r="A73" s="51"/>
      <c r="B73" s="53"/>
      <c r="C73" s="53"/>
    </row>
    <row r="74" spans="1:3" ht="12.75">
      <c r="A74" s="51"/>
      <c r="B74" s="53"/>
      <c r="C74" s="53"/>
    </row>
    <row r="75" spans="1:3" ht="12.75">
      <c r="A75" s="51"/>
      <c r="B75" s="53"/>
      <c r="C75" s="53"/>
    </row>
    <row r="76" spans="1:3" ht="12.75">
      <c r="A76" s="51"/>
      <c r="B76" s="53"/>
      <c r="C76" s="53"/>
    </row>
    <row r="77" spans="1:3" ht="12.75">
      <c r="A77" s="51"/>
      <c r="B77" s="53"/>
      <c r="C77" s="53"/>
    </row>
    <row r="78" spans="1:3" ht="12.75">
      <c r="A78" s="51"/>
      <c r="B78" s="53"/>
      <c r="C78" s="53"/>
    </row>
    <row r="79" spans="1:3" ht="12.75">
      <c r="A79" s="51"/>
      <c r="B79" s="53"/>
      <c r="C79" s="53"/>
    </row>
    <row r="80" spans="1:3" ht="12.75">
      <c r="A80" s="51"/>
      <c r="B80" s="53"/>
      <c r="C80" s="53"/>
    </row>
    <row r="81" spans="1:3" ht="12.75">
      <c r="A81" s="51"/>
      <c r="B81" s="53"/>
      <c r="C81" s="53"/>
    </row>
    <row r="82" spans="1:3" ht="12.75">
      <c r="A82" s="51"/>
      <c r="B82" s="53"/>
      <c r="C82" s="53"/>
    </row>
    <row r="83" spans="1:3" ht="12.75">
      <c r="A83" s="51"/>
      <c r="B83" s="53"/>
      <c r="C83" s="53"/>
    </row>
    <row r="84" spans="1:3" ht="12.75">
      <c r="A84" s="51"/>
      <c r="B84" s="53"/>
      <c r="C84" s="53"/>
    </row>
    <row r="85" spans="1:3" ht="12.75">
      <c r="A85" s="51"/>
      <c r="B85" s="53"/>
      <c r="C85" s="53"/>
    </row>
    <row r="86" spans="1:3" ht="12.75">
      <c r="A86" s="51"/>
      <c r="B86" s="53"/>
      <c r="C86" s="53"/>
    </row>
    <row r="87" spans="1:3" ht="12.75">
      <c r="A87" s="51"/>
      <c r="B87" s="53"/>
      <c r="C87" s="53"/>
    </row>
    <row r="88" spans="1:3" ht="12.75">
      <c r="A88" s="51"/>
      <c r="B88" s="53"/>
      <c r="C88" s="53"/>
    </row>
    <row r="89" spans="1:3" ht="12.75">
      <c r="A89" s="51"/>
      <c r="B89" s="53"/>
      <c r="C89" s="53"/>
    </row>
    <row r="90" spans="1:3" ht="12.75">
      <c r="A90" s="51"/>
      <c r="B90" s="53"/>
      <c r="C90" s="53"/>
    </row>
    <row r="91" spans="1:3" ht="12.75">
      <c r="A91" s="51"/>
      <c r="B91" s="53"/>
      <c r="C91" s="53"/>
    </row>
    <row r="92" spans="1:3" ht="12.75">
      <c r="A92" s="51"/>
      <c r="B92" s="53"/>
      <c r="C92" s="53"/>
    </row>
    <row r="93" spans="1:3" ht="12.75">
      <c r="A93" s="51"/>
      <c r="B93" s="53"/>
      <c r="C93" s="53"/>
    </row>
    <row r="94" spans="1:3" ht="12.75">
      <c r="A94" s="51"/>
      <c r="B94" s="53"/>
      <c r="C94" s="53"/>
    </row>
    <row r="95" spans="1:3" ht="12.75">
      <c r="A95" s="51"/>
      <c r="B95" s="53"/>
      <c r="C95" s="53"/>
    </row>
    <row r="96" spans="1:3" ht="12.75">
      <c r="A96" s="51"/>
      <c r="B96" s="53"/>
      <c r="C96" s="53"/>
    </row>
    <row r="97" spans="1:3" ht="12.75">
      <c r="A97" s="51"/>
      <c r="B97" s="53"/>
      <c r="C97" s="53"/>
    </row>
    <row r="98" spans="1:3" ht="12.75">
      <c r="A98" s="51"/>
      <c r="B98" s="53"/>
      <c r="C98" s="53"/>
    </row>
    <row r="99" spans="1:3" ht="12.75">
      <c r="A99" s="51"/>
      <c r="B99" s="53"/>
      <c r="C99" s="53"/>
    </row>
    <row r="100" spans="1:3" ht="12.75">
      <c r="A100" s="51"/>
      <c r="B100" s="53"/>
      <c r="C100" s="53"/>
    </row>
    <row r="101" spans="1:3" ht="12.75">
      <c r="A101" s="51"/>
      <c r="B101" s="53"/>
      <c r="C101" s="53"/>
    </row>
    <row r="102" spans="1:3" ht="12.75">
      <c r="A102" s="51"/>
      <c r="B102" s="53"/>
      <c r="C102" s="53"/>
    </row>
    <row r="103" spans="1:3" ht="12.75">
      <c r="A103" s="51"/>
      <c r="B103" s="53"/>
      <c r="C103" s="53"/>
    </row>
    <row r="104" spans="1:3" ht="12.75">
      <c r="A104" s="51"/>
      <c r="B104" s="53"/>
      <c r="C104" s="53"/>
    </row>
    <row r="105" spans="1:3" ht="12.75">
      <c r="A105" s="51"/>
      <c r="B105" s="53"/>
      <c r="C105" s="53"/>
    </row>
    <row r="106" spans="1:3" ht="12.75">
      <c r="A106" s="51"/>
      <c r="B106" s="53"/>
      <c r="C106" s="53"/>
    </row>
    <row r="107" spans="1:3" ht="12.75">
      <c r="A107" s="51"/>
      <c r="B107" s="53"/>
      <c r="C107" s="53"/>
    </row>
    <row r="108" spans="1:3" ht="12.75">
      <c r="A108" s="51"/>
      <c r="B108" s="53"/>
      <c r="C108" s="53"/>
    </row>
    <row r="109" spans="1:3" ht="12.75">
      <c r="A109" s="51"/>
      <c r="B109" s="53"/>
      <c r="C109" s="53"/>
    </row>
    <row r="110" spans="1:3" ht="12.75">
      <c r="A110" s="51"/>
      <c r="B110" s="53"/>
      <c r="C110" s="53"/>
    </row>
    <row r="111" spans="1:3" ht="12.75">
      <c r="A111" s="51"/>
      <c r="B111" s="53"/>
      <c r="C111" s="53"/>
    </row>
    <row r="112" spans="1:3" ht="12.75">
      <c r="A112" s="51"/>
      <c r="B112" s="53"/>
      <c r="C112" s="53"/>
    </row>
    <row r="113" spans="1:3" ht="12.75">
      <c r="A113" s="51"/>
      <c r="B113" s="53"/>
      <c r="C113" s="53"/>
    </row>
    <row r="114" spans="1:3" ht="12.75">
      <c r="A114" s="51"/>
      <c r="B114" s="53"/>
      <c r="C114" s="53"/>
    </row>
    <row r="115" spans="1:3" ht="12.75">
      <c r="A115" s="51"/>
      <c r="B115" s="53"/>
      <c r="C115" s="53"/>
    </row>
    <row r="116" spans="1:3" ht="12.75">
      <c r="A116" s="51"/>
      <c r="B116" s="53"/>
      <c r="C116" s="53"/>
    </row>
    <row r="117" spans="1:3" ht="12.75">
      <c r="A117" s="51"/>
      <c r="B117" s="53"/>
      <c r="C117" s="53"/>
    </row>
    <row r="118" spans="1:3" ht="12.75">
      <c r="A118" s="51"/>
      <c r="B118" s="53"/>
      <c r="C118" s="53"/>
    </row>
    <row r="119" spans="1:3" ht="12.75">
      <c r="A119" s="51"/>
      <c r="B119" s="53"/>
      <c r="C119" s="53"/>
    </row>
    <row r="120" spans="1:3" ht="12.75">
      <c r="A120" s="51"/>
      <c r="B120" s="53"/>
      <c r="C120" s="53"/>
    </row>
    <row r="121" spans="1:3" ht="12.75">
      <c r="A121" s="51"/>
      <c r="B121" s="53"/>
      <c r="C121" s="53"/>
    </row>
    <row r="122" spans="1:3" ht="12.75">
      <c r="A122" s="51"/>
      <c r="B122" s="53"/>
      <c r="C122" s="53"/>
    </row>
    <row r="123" spans="1:3" ht="12.75">
      <c r="A123" s="51"/>
      <c r="B123" s="53"/>
      <c r="C123" s="53"/>
    </row>
    <row r="124" spans="1:3" ht="12.75">
      <c r="A124" s="51"/>
      <c r="B124" s="53"/>
      <c r="C124" s="53"/>
    </row>
    <row r="125" spans="1:3" ht="12.75">
      <c r="A125" s="51"/>
      <c r="B125" s="53"/>
      <c r="C125" s="53"/>
    </row>
    <row r="126" spans="1:3" ht="12.75">
      <c r="A126" s="51"/>
      <c r="B126" s="53"/>
      <c r="C126" s="53"/>
    </row>
    <row r="127" spans="1:3" ht="12.75">
      <c r="A127" s="51"/>
      <c r="B127" s="53"/>
      <c r="C127" s="53"/>
    </row>
    <row r="128" spans="1:3" ht="12.75">
      <c r="A128" s="51"/>
      <c r="B128" s="53"/>
      <c r="C128" s="53"/>
    </row>
    <row r="129" spans="1:3" ht="12.75">
      <c r="A129" s="51"/>
      <c r="B129" s="53"/>
      <c r="C129" s="53"/>
    </row>
    <row r="130" spans="1:3" ht="12.75">
      <c r="A130" s="51"/>
      <c r="B130" s="53"/>
      <c r="C130" s="53"/>
    </row>
    <row r="131" spans="1:3" ht="12.75">
      <c r="A131" s="51"/>
      <c r="B131" s="53"/>
      <c r="C131" s="53"/>
    </row>
    <row r="132" spans="1:3" ht="12.75">
      <c r="A132" s="51"/>
      <c r="B132" s="53"/>
      <c r="C132" s="53"/>
    </row>
    <row r="133" spans="1:3" ht="12.75">
      <c r="A133" s="51"/>
      <c r="B133" s="53"/>
      <c r="C133" s="53"/>
    </row>
    <row r="134" spans="1:3" ht="12.75">
      <c r="A134" s="51"/>
      <c r="B134" s="53"/>
      <c r="C134" s="53"/>
    </row>
    <row r="135" spans="1:3" ht="12.75">
      <c r="A135" s="51"/>
      <c r="B135" s="53"/>
      <c r="C135" s="53"/>
    </row>
    <row r="136" spans="1:3" ht="12.75">
      <c r="A136" s="51"/>
      <c r="B136" s="53"/>
      <c r="C136" s="53"/>
    </row>
    <row r="137" spans="1:3" ht="12.75">
      <c r="A137" s="51"/>
      <c r="B137" s="53"/>
      <c r="C137" s="53"/>
    </row>
    <row r="138" spans="1:3" ht="12.75">
      <c r="A138" s="51"/>
      <c r="B138" s="53"/>
      <c r="C138" s="53"/>
    </row>
    <row r="139" spans="1:3" ht="12.75">
      <c r="A139" s="51"/>
      <c r="B139" s="53"/>
      <c r="C139" s="53"/>
    </row>
    <row r="140" spans="1:3" ht="12.75">
      <c r="A140" s="51"/>
      <c r="B140" s="53"/>
      <c r="C140" s="53"/>
    </row>
    <row r="141" spans="1:3" ht="12.75">
      <c r="A141" s="51"/>
      <c r="B141" s="53"/>
      <c r="C141" s="53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49" bottom="0.35433070866141736" header="0.35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B26" sqref="BB26"/>
    </sheetView>
  </sheetViews>
  <sheetFormatPr defaultColWidth="9.00390625" defaultRowHeight="12.75" outlineLevelRow="1" outlineLevelCol="1"/>
  <cols>
    <col min="1" max="1" width="23.25390625" style="171" customWidth="1"/>
    <col min="2" max="2" width="12.125" style="171" customWidth="1"/>
    <col min="3" max="14" width="9.125" style="171" hidden="1" customWidth="1" outlineLevel="1"/>
    <col min="15" max="15" width="10.125" style="172" bestFit="1" customWidth="1" collapsed="1"/>
    <col min="16" max="27" width="9.125" style="171" hidden="1" customWidth="1" outlineLevel="1"/>
    <col min="28" max="28" width="10.125" style="172" bestFit="1" customWidth="1" collapsed="1"/>
    <col min="29" max="40" width="9.125" style="171" hidden="1" customWidth="1" outlineLevel="1"/>
    <col min="41" max="41" width="10.125" style="172" bestFit="1" customWidth="1" collapsed="1"/>
    <col min="42" max="47" width="9.125" style="171" hidden="1" customWidth="1" outlineLevel="1"/>
    <col min="48" max="48" width="9.25390625" style="171" hidden="1" customWidth="1" outlineLevel="1"/>
    <col min="49" max="53" width="8.75390625" style="171" hidden="1" customWidth="1" outlineLevel="1"/>
    <col min="54" max="54" width="10.125" style="172" bestFit="1" customWidth="1" collapsed="1"/>
    <col min="55" max="66" width="8.75390625" style="171" hidden="1" customWidth="1" outlineLevel="1"/>
    <col min="67" max="67" width="10.125" style="172" bestFit="1" customWidth="1" collapsed="1"/>
    <col min="68" max="79" width="8.75390625" style="171" hidden="1" customWidth="1" outlineLevel="1"/>
    <col min="80" max="80" width="10.125" style="172" bestFit="1" customWidth="1" collapsed="1"/>
    <col min="81" max="92" width="8.75390625" style="171" hidden="1" customWidth="1" outlineLevel="1"/>
    <col min="93" max="93" width="10.125" style="172" bestFit="1" customWidth="1" collapsed="1"/>
    <col min="94" max="105" width="8.75390625" style="171" hidden="1" customWidth="1" outlineLevel="1"/>
    <col min="106" max="106" width="10.125" style="172" bestFit="1" customWidth="1" collapsed="1"/>
    <col min="107" max="16384" width="9.125" style="171" customWidth="1"/>
  </cols>
  <sheetData>
    <row r="1" ht="9.75" customHeight="1"/>
    <row r="2" spans="1:15" ht="18.75" customHeight="1">
      <c r="A2" s="172" t="s">
        <v>96</v>
      </c>
      <c r="B2" s="173"/>
      <c r="D2" s="174"/>
      <c r="E2" s="174"/>
      <c r="F2" s="175"/>
      <c r="G2" s="174"/>
      <c r="O2" s="176"/>
    </row>
    <row r="3" spans="1:15" ht="13.5" customHeight="1">
      <c r="A3" s="177"/>
      <c r="B3" s="173"/>
      <c r="D3" s="174"/>
      <c r="E3" s="174"/>
      <c r="F3" s="175"/>
      <c r="G3" s="174"/>
      <c r="O3" s="176"/>
    </row>
    <row r="4" spans="1:2" ht="12.75">
      <c r="A4" s="280"/>
      <c r="B4" s="281"/>
    </row>
    <row r="5" spans="1:106" ht="15.75" customHeight="1">
      <c r="A5" s="178" t="s">
        <v>10</v>
      </c>
      <c r="B5" s="282">
        <f>Исх!C39</f>
        <v>0.07</v>
      </c>
      <c r="C5" s="308">
        <v>2013</v>
      </c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>
        <v>2014</v>
      </c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>
        <v>2015</v>
      </c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>
        <v>2016</v>
      </c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>
        <v>2017</v>
      </c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>
        <v>2018</v>
      </c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>
        <v>2019</v>
      </c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>
        <v>2020</v>
      </c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</row>
    <row r="6" spans="1:106" s="183" customFormat="1" ht="15" customHeight="1">
      <c r="A6" s="179" t="s">
        <v>8</v>
      </c>
      <c r="B6" s="180" t="s">
        <v>85</v>
      </c>
      <c r="C6" s="181">
        <v>1</v>
      </c>
      <c r="D6" s="181">
        <v>2</v>
      </c>
      <c r="E6" s="181">
        <f>D6+1</f>
        <v>3</v>
      </c>
      <c r="F6" s="181">
        <f aca="true" t="shared" si="0" ref="F6:N6">E6+1</f>
        <v>4</v>
      </c>
      <c r="G6" s="181">
        <f t="shared" si="0"/>
        <v>5</v>
      </c>
      <c r="H6" s="181">
        <f t="shared" si="0"/>
        <v>6</v>
      </c>
      <c r="I6" s="181">
        <f t="shared" si="0"/>
        <v>7</v>
      </c>
      <c r="J6" s="181">
        <f t="shared" si="0"/>
        <v>8</v>
      </c>
      <c r="K6" s="181">
        <f t="shared" si="0"/>
        <v>9</v>
      </c>
      <c r="L6" s="181">
        <f t="shared" si="0"/>
        <v>10</v>
      </c>
      <c r="M6" s="181">
        <f t="shared" si="0"/>
        <v>11</v>
      </c>
      <c r="N6" s="181">
        <f t="shared" si="0"/>
        <v>12</v>
      </c>
      <c r="O6" s="182" t="s">
        <v>0</v>
      </c>
      <c r="P6" s="181">
        <v>1</v>
      </c>
      <c r="Q6" s="181">
        <v>2</v>
      </c>
      <c r="R6" s="181">
        <f>Q6+1</f>
        <v>3</v>
      </c>
      <c r="S6" s="181">
        <f aca="true" t="shared" si="1" ref="S6:AA6">R6+1</f>
        <v>4</v>
      </c>
      <c r="T6" s="181">
        <f t="shared" si="1"/>
        <v>5</v>
      </c>
      <c r="U6" s="181">
        <f t="shared" si="1"/>
        <v>6</v>
      </c>
      <c r="V6" s="181">
        <f t="shared" si="1"/>
        <v>7</v>
      </c>
      <c r="W6" s="181">
        <f t="shared" si="1"/>
        <v>8</v>
      </c>
      <c r="X6" s="181">
        <f t="shared" si="1"/>
        <v>9</v>
      </c>
      <c r="Y6" s="181">
        <f t="shared" si="1"/>
        <v>10</v>
      </c>
      <c r="Z6" s="181">
        <f t="shared" si="1"/>
        <v>11</v>
      </c>
      <c r="AA6" s="181">
        <f t="shared" si="1"/>
        <v>12</v>
      </c>
      <c r="AB6" s="182" t="s">
        <v>0</v>
      </c>
      <c r="AC6" s="181">
        <v>1</v>
      </c>
      <c r="AD6" s="181">
        <v>2</v>
      </c>
      <c r="AE6" s="181">
        <f aca="true" t="shared" si="2" ref="AE6:BN6">AD6+1</f>
        <v>3</v>
      </c>
      <c r="AF6" s="181">
        <f t="shared" si="2"/>
        <v>4</v>
      </c>
      <c r="AG6" s="181">
        <f t="shared" si="2"/>
        <v>5</v>
      </c>
      <c r="AH6" s="181">
        <f t="shared" si="2"/>
        <v>6</v>
      </c>
      <c r="AI6" s="181">
        <f t="shared" si="2"/>
        <v>7</v>
      </c>
      <c r="AJ6" s="181">
        <f t="shared" si="2"/>
        <v>8</v>
      </c>
      <c r="AK6" s="181">
        <f t="shared" si="2"/>
        <v>9</v>
      </c>
      <c r="AL6" s="181">
        <f t="shared" si="2"/>
        <v>10</v>
      </c>
      <c r="AM6" s="181">
        <f t="shared" si="2"/>
        <v>11</v>
      </c>
      <c r="AN6" s="181">
        <f t="shared" si="2"/>
        <v>12</v>
      </c>
      <c r="AO6" s="182" t="s">
        <v>0</v>
      </c>
      <c r="AP6" s="181">
        <v>1</v>
      </c>
      <c r="AQ6" s="181">
        <v>2</v>
      </c>
      <c r="AR6" s="181">
        <f>AQ6+1</f>
        <v>3</v>
      </c>
      <c r="AS6" s="181">
        <f t="shared" si="2"/>
        <v>4</v>
      </c>
      <c r="AT6" s="181">
        <f t="shared" si="2"/>
        <v>5</v>
      </c>
      <c r="AU6" s="181">
        <f t="shared" si="2"/>
        <v>6</v>
      </c>
      <c r="AV6" s="181">
        <f t="shared" si="2"/>
        <v>7</v>
      </c>
      <c r="AW6" s="181">
        <f t="shared" si="2"/>
        <v>8</v>
      </c>
      <c r="AX6" s="181">
        <f t="shared" si="2"/>
        <v>9</v>
      </c>
      <c r="AY6" s="181">
        <f t="shared" si="2"/>
        <v>10</v>
      </c>
      <c r="AZ6" s="181">
        <f t="shared" si="2"/>
        <v>11</v>
      </c>
      <c r="BA6" s="181">
        <f t="shared" si="2"/>
        <v>12</v>
      </c>
      <c r="BB6" s="182" t="s">
        <v>0</v>
      </c>
      <c r="BC6" s="181">
        <v>1</v>
      </c>
      <c r="BD6" s="181">
        <v>2</v>
      </c>
      <c r="BE6" s="181">
        <f>BD6+1</f>
        <v>3</v>
      </c>
      <c r="BF6" s="181">
        <f t="shared" si="2"/>
        <v>4</v>
      </c>
      <c r="BG6" s="181">
        <f t="shared" si="2"/>
        <v>5</v>
      </c>
      <c r="BH6" s="181">
        <f t="shared" si="2"/>
        <v>6</v>
      </c>
      <c r="BI6" s="181">
        <f t="shared" si="2"/>
        <v>7</v>
      </c>
      <c r="BJ6" s="181">
        <f t="shared" si="2"/>
        <v>8</v>
      </c>
      <c r="BK6" s="181">
        <f t="shared" si="2"/>
        <v>9</v>
      </c>
      <c r="BL6" s="181">
        <f t="shared" si="2"/>
        <v>10</v>
      </c>
      <c r="BM6" s="181">
        <f t="shared" si="2"/>
        <v>11</v>
      </c>
      <c r="BN6" s="181">
        <f t="shared" si="2"/>
        <v>12</v>
      </c>
      <c r="BO6" s="182" t="s">
        <v>0</v>
      </c>
      <c r="BP6" s="181">
        <v>1</v>
      </c>
      <c r="BQ6" s="181">
        <v>2</v>
      </c>
      <c r="BR6" s="181">
        <f aca="true" t="shared" si="3" ref="BR6:CA6">BQ6+1</f>
        <v>3</v>
      </c>
      <c r="BS6" s="181">
        <f t="shared" si="3"/>
        <v>4</v>
      </c>
      <c r="BT6" s="181">
        <f t="shared" si="3"/>
        <v>5</v>
      </c>
      <c r="BU6" s="181">
        <f t="shared" si="3"/>
        <v>6</v>
      </c>
      <c r="BV6" s="181">
        <f t="shared" si="3"/>
        <v>7</v>
      </c>
      <c r="BW6" s="181">
        <f t="shared" si="3"/>
        <v>8</v>
      </c>
      <c r="BX6" s="181">
        <f t="shared" si="3"/>
        <v>9</v>
      </c>
      <c r="BY6" s="181">
        <f t="shared" si="3"/>
        <v>10</v>
      </c>
      <c r="BZ6" s="181">
        <f t="shared" si="3"/>
        <v>11</v>
      </c>
      <c r="CA6" s="181">
        <f t="shared" si="3"/>
        <v>12</v>
      </c>
      <c r="CB6" s="182" t="s">
        <v>0</v>
      </c>
      <c r="CC6" s="181">
        <v>1</v>
      </c>
      <c r="CD6" s="181">
        <v>2</v>
      </c>
      <c r="CE6" s="181">
        <f aca="true" t="shared" si="4" ref="CE6:CN6">CD6+1</f>
        <v>3</v>
      </c>
      <c r="CF6" s="181">
        <f t="shared" si="4"/>
        <v>4</v>
      </c>
      <c r="CG6" s="181">
        <f t="shared" si="4"/>
        <v>5</v>
      </c>
      <c r="CH6" s="181">
        <f t="shared" si="4"/>
        <v>6</v>
      </c>
      <c r="CI6" s="181">
        <f t="shared" si="4"/>
        <v>7</v>
      </c>
      <c r="CJ6" s="181">
        <f t="shared" si="4"/>
        <v>8</v>
      </c>
      <c r="CK6" s="181">
        <f t="shared" si="4"/>
        <v>9</v>
      </c>
      <c r="CL6" s="181">
        <f t="shared" si="4"/>
        <v>10</v>
      </c>
      <c r="CM6" s="181">
        <f t="shared" si="4"/>
        <v>11</v>
      </c>
      <c r="CN6" s="181">
        <f t="shared" si="4"/>
        <v>12</v>
      </c>
      <c r="CO6" s="182" t="s">
        <v>0</v>
      </c>
      <c r="CP6" s="181">
        <v>1</v>
      </c>
      <c r="CQ6" s="181">
        <v>2</v>
      </c>
      <c r="CR6" s="181">
        <f aca="true" t="shared" si="5" ref="CR6:DA6">CQ6+1</f>
        <v>3</v>
      </c>
      <c r="CS6" s="181">
        <f t="shared" si="5"/>
        <v>4</v>
      </c>
      <c r="CT6" s="181">
        <f t="shared" si="5"/>
        <v>5</v>
      </c>
      <c r="CU6" s="181">
        <f t="shared" si="5"/>
        <v>6</v>
      </c>
      <c r="CV6" s="181">
        <f t="shared" si="5"/>
        <v>7</v>
      </c>
      <c r="CW6" s="181">
        <f t="shared" si="5"/>
        <v>8</v>
      </c>
      <c r="CX6" s="181">
        <f t="shared" si="5"/>
        <v>9</v>
      </c>
      <c r="CY6" s="181">
        <f t="shared" si="5"/>
        <v>10</v>
      </c>
      <c r="CZ6" s="181">
        <f t="shared" si="5"/>
        <v>11</v>
      </c>
      <c r="DA6" s="181">
        <f t="shared" si="5"/>
        <v>12</v>
      </c>
      <c r="DB6" s="182" t="s">
        <v>0</v>
      </c>
    </row>
    <row r="7" spans="1:107" ht="12.75">
      <c r="A7" s="179" t="s">
        <v>104</v>
      </c>
      <c r="B7" s="184">
        <f>O7+AB7+AO7+BB7+BO7+CB7+CO7+DB7</f>
        <v>1825.719</v>
      </c>
      <c r="C7" s="185"/>
      <c r="D7" s="185"/>
      <c r="E7" s="185"/>
      <c r="F7" s="185"/>
      <c r="G7" s="185"/>
      <c r="H7" s="185"/>
      <c r="I7" s="185"/>
      <c r="J7" s="185"/>
      <c r="K7" s="185"/>
      <c r="L7" s="185">
        <f>'1-Ф3'!M28</f>
        <v>1825.719</v>
      </c>
      <c r="M7" s="185"/>
      <c r="N7" s="185"/>
      <c r="O7" s="186">
        <f>SUM(C7:N7)</f>
        <v>1825.719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6">
        <f>SUM(P7:AA7)</f>
        <v>0</v>
      </c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7"/>
    </row>
    <row r="8" spans="1:106" s="188" customFormat="1" ht="20.25" customHeight="1">
      <c r="A8" s="179" t="s">
        <v>29</v>
      </c>
      <c r="B8" s="184">
        <f>O8+AB8+AO8+BB8+BO8+CB8+CO8+DB8</f>
        <v>63.90016500000001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>
        <f>SUM(C8:N8)</f>
        <v>0</v>
      </c>
      <c r="P8" s="185"/>
      <c r="Q8" s="185"/>
      <c r="R8" s="185"/>
      <c r="S8" s="185">
        <f>SUM(O9:S9)</f>
        <v>63.90016500000001</v>
      </c>
      <c r="T8" s="185"/>
      <c r="U8" s="185"/>
      <c r="V8" s="185"/>
      <c r="W8" s="185"/>
      <c r="X8" s="185"/>
      <c r="Y8" s="185"/>
      <c r="Z8" s="185"/>
      <c r="AA8" s="185"/>
      <c r="AB8" s="186">
        <f>SUM(P8:AA8)</f>
        <v>63.90016500000001</v>
      </c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6">
        <f>SUM(AC8:AN8)</f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6">
        <f>SUM(AP8:BA8)</f>
        <v>0</v>
      </c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6">
        <f>SUM(BC8:BN8)</f>
        <v>0</v>
      </c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6">
        <f>SUM(BP8:CA8)</f>
        <v>0</v>
      </c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6">
        <f>SUM(CC8:CN8)</f>
        <v>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6">
        <f>SUM(CP8:DA8)</f>
        <v>0</v>
      </c>
    </row>
    <row r="9" spans="1:106" s="188" customFormat="1" ht="12.75">
      <c r="A9" s="189" t="s">
        <v>11</v>
      </c>
      <c r="B9" s="184">
        <f>O9+AB9+AO9+BB9+BO9+CB9+CO9+DB9</f>
        <v>499.2999142687509</v>
      </c>
      <c r="C9" s="185"/>
      <c r="D9" s="185">
        <f>C12*$B$5/12</f>
        <v>0</v>
      </c>
      <c r="E9" s="185">
        <f>D12*$B$5/12</f>
        <v>0</v>
      </c>
      <c r="F9" s="185">
        <f>E12*$B$5/12</f>
        <v>0</v>
      </c>
      <c r="G9" s="185">
        <f>F12*$B$5/12</f>
        <v>0</v>
      </c>
      <c r="H9" s="185">
        <f>G12*$B$5/12</f>
        <v>0</v>
      </c>
      <c r="I9" s="185">
        <f aca="true" t="shared" si="6" ref="I9:AA9">H12*$B$5/12</f>
        <v>0</v>
      </c>
      <c r="J9" s="185">
        <f t="shared" si="6"/>
        <v>0</v>
      </c>
      <c r="K9" s="185">
        <f t="shared" si="6"/>
        <v>0</v>
      </c>
      <c r="L9" s="185">
        <f>K12*$B$5/12</f>
        <v>0</v>
      </c>
      <c r="M9" s="185">
        <f t="shared" si="6"/>
        <v>10.650027500000002</v>
      </c>
      <c r="N9" s="185">
        <f t="shared" si="6"/>
        <v>10.650027500000002</v>
      </c>
      <c r="O9" s="186">
        <f>SUM(C9:N9)</f>
        <v>21.300055000000004</v>
      </c>
      <c r="P9" s="185">
        <f t="shared" si="6"/>
        <v>10.650027500000002</v>
      </c>
      <c r="Q9" s="185">
        <f t="shared" si="6"/>
        <v>10.650027500000002</v>
      </c>
      <c r="R9" s="185">
        <f t="shared" si="6"/>
        <v>10.650027500000002</v>
      </c>
      <c r="S9" s="185">
        <f t="shared" si="6"/>
        <v>10.650027500000002</v>
      </c>
      <c r="T9" s="185">
        <f t="shared" si="6"/>
        <v>11.022778462500002</v>
      </c>
      <c r="U9" s="185">
        <f t="shared" si="6"/>
        <v>10.881460789903848</v>
      </c>
      <c r="V9" s="185">
        <f t="shared" si="6"/>
        <v>10.740143117307694</v>
      </c>
      <c r="W9" s="185">
        <f t="shared" si="6"/>
        <v>10.598825444711542</v>
      </c>
      <c r="X9" s="185">
        <f t="shared" si="6"/>
        <v>10.457507772115388</v>
      </c>
      <c r="Y9" s="185">
        <f t="shared" si="6"/>
        <v>10.316190099519234</v>
      </c>
      <c r="Z9" s="185">
        <f t="shared" si="6"/>
        <v>10.17487242692308</v>
      </c>
      <c r="AA9" s="185">
        <f t="shared" si="6"/>
        <v>10.033554754326927</v>
      </c>
      <c r="AB9" s="186">
        <f>SUM(P9:AA9)</f>
        <v>126.82544286730771</v>
      </c>
      <c r="AC9" s="185">
        <f aca="true" t="shared" si="7" ref="AC9:AN9">AB12*$B$5/12</f>
        <v>9.892237081730775</v>
      </c>
      <c r="AD9" s="185">
        <f t="shared" si="7"/>
        <v>9.75091940913462</v>
      </c>
      <c r="AE9" s="185">
        <f t="shared" si="7"/>
        <v>9.609601736538467</v>
      </c>
      <c r="AF9" s="185">
        <f t="shared" si="7"/>
        <v>9.468284063942313</v>
      </c>
      <c r="AG9" s="185">
        <f t="shared" si="7"/>
        <v>9.32696639134616</v>
      </c>
      <c r="AH9" s="185">
        <f t="shared" si="7"/>
        <v>9.185648718750008</v>
      </c>
      <c r="AI9" s="185">
        <f t="shared" si="7"/>
        <v>9.044331046153852</v>
      </c>
      <c r="AJ9" s="185">
        <f t="shared" si="7"/>
        <v>8.9030133735577</v>
      </c>
      <c r="AK9" s="185">
        <f t="shared" si="7"/>
        <v>8.761695700961546</v>
      </c>
      <c r="AL9" s="185">
        <f t="shared" si="7"/>
        <v>8.620378028365392</v>
      </c>
      <c r="AM9" s="185">
        <f t="shared" si="7"/>
        <v>8.47906035576924</v>
      </c>
      <c r="AN9" s="185">
        <f t="shared" si="7"/>
        <v>8.337742683173085</v>
      </c>
      <c r="AO9" s="186">
        <f>SUM(AC9:AN9)</f>
        <v>109.37987858942317</v>
      </c>
      <c r="AP9" s="185">
        <f aca="true" t="shared" si="8" ref="AP9:BA9">AO12*$B$5/12</f>
        <v>8.196425010576933</v>
      </c>
      <c r="AQ9" s="185">
        <f t="shared" si="8"/>
        <v>8.055107337980779</v>
      </c>
      <c r="AR9" s="185">
        <f t="shared" si="8"/>
        <v>7.913789665384626</v>
      </c>
      <c r="AS9" s="185">
        <f t="shared" si="8"/>
        <v>7.772471992788472</v>
      </c>
      <c r="AT9" s="185">
        <f t="shared" si="8"/>
        <v>7.631154320192318</v>
      </c>
      <c r="AU9" s="185">
        <f t="shared" si="8"/>
        <v>7.489836647596165</v>
      </c>
      <c r="AV9" s="185">
        <f t="shared" si="8"/>
        <v>7.348518975000012</v>
      </c>
      <c r="AW9" s="185">
        <f t="shared" si="8"/>
        <v>7.207201302403859</v>
      </c>
      <c r="AX9" s="185">
        <f t="shared" si="8"/>
        <v>7.065883629807704</v>
      </c>
      <c r="AY9" s="185">
        <f t="shared" si="8"/>
        <v>6.924565957211551</v>
      </c>
      <c r="AZ9" s="185">
        <f t="shared" si="8"/>
        <v>6.783248284615397</v>
      </c>
      <c r="BA9" s="185">
        <f t="shared" si="8"/>
        <v>6.6419306120192445</v>
      </c>
      <c r="BB9" s="186">
        <f>SUM(AP9:BA9)</f>
        <v>89.03013373557707</v>
      </c>
      <c r="BC9" s="185">
        <f aca="true" t="shared" si="9" ref="BC9:BN9">BB12*$B$5/12</f>
        <v>6.500612939423092</v>
      </c>
      <c r="BD9" s="185">
        <f t="shared" si="9"/>
        <v>6.359295266826937</v>
      </c>
      <c r="BE9" s="185">
        <f t="shared" si="9"/>
        <v>6.217977594230784</v>
      </c>
      <c r="BF9" s="185">
        <f t="shared" si="9"/>
        <v>6.07665992163463</v>
      </c>
      <c r="BG9" s="185">
        <f t="shared" si="9"/>
        <v>5.935342249038476</v>
      </c>
      <c r="BH9" s="185">
        <f t="shared" si="9"/>
        <v>5.794024576442322</v>
      </c>
      <c r="BI9" s="185">
        <f t="shared" si="9"/>
        <v>5.652706903846169</v>
      </c>
      <c r="BJ9" s="185">
        <f t="shared" si="9"/>
        <v>5.511389231250014</v>
      </c>
      <c r="BK9" s="185">
        <f t="shared" si="9"/>
        <v>5.370071558653859</v>
      </c>
      <c r="BL9" s="185">
        <f t="shared" si="9"/>
        <v>5.228753886057706</v>
      </c>
      <c r="BM9" s="185">
        <f t="shared" si="9"/>
        <v>5.087436213461552</v>
      </c>
      <c r="BN9" s="185">
        <f t="shared" si="9"/>
        <v>4.946118540865398</v>
      </c>
      <c r="BO9" s="186">
        <f>SUM(BC9:BN9)</f>
        <v>68.68038888173093</v>
      </c>
      <c r="BP9" s="185">
        <f aca="true" t="shared" si="10" ref="BP9:CA9">BO12*$B$5/12</f>
        <v>4.804800868269243</v>
      </c>
      <c r="BQ9" s="185">
        <f t="shared" si="10"/>
        <v>4.6634831956730896</v>
      </c>
      <c r="BR9" s="185">
        <f t="shared" si="10"/>
        <v>4.522165523076935</v>
      </c>
      <c r="BS9" s="185">
        <f t="shared" si="10"/>
        <v>4.380847850480781</v>
      </c>
      <c r="BT9" s="185">
        <f t="shared" si="10"/>
        <v>4.239530177884627</v>
      </c>
      <c r="BU9" s="185">
        <f t="shared" si="10"/>
        <v>4.098212505288473</v>
      </c>
      <c r="BV9" s="185">
        <f t="shared" si="10"/>
        <v>3.956894832692319</v>
      </c>
      <c r="BW9" s="185">
        <f t="shared" si="10"/>
        <v>3.8155771600961645</v>
      </c>
      <c r="BX9" s="185">
        <f t="shared" si="10"/>
        <v>3.6742594875000107</v>
      </c>
      <c r="BY9" s="185">
        <f t="shared" si="10"/>
        <v>3.532941814903856</v>
      </c>
      <c r="BZ9" s="185">
        <f t="shared" si="10"/>
        <v>3.3916241423077023</v>
      </c>
      <c r="CA9" s="185">
        <f t="shared" si="10"/>
        <v>3.250306469711548</v>
      </c>
      <c r="CB9" s="186">
        <f>SUM(BP9:CA9)</f>
        <v>48.330644027884745</v>
      </c>
      <c r="CC9" s="185">
        <f aca="true" t="shared" si="11" ref="CC9:CN9">CB12*$B$5/12</f>
        <v>3.108988797115394</v>
      </c>
      <c r="CD9" s="185">
        <f t="shared" si="11"/>
        <v>2.9676711245192404</v>
      </c>
      <c r="CE9" s="185">
        <f t="shared" si="11"/>
        <v>2.8263534519230866</v>
      </c>
      <c r="CF9" s="185">
        <f t="shared" si="11"/>
        <v>2.685035779326933</v>
      </c>
      <c r="CG9" s="185">
        <f t="shared" si="11"/>
        <v>2.5437181067307786</v>
      </c>
      <c r="CH9" s="185">
        <f t="shared" si="11"/>
        <v>2.402400434134625</v>
      </c>
      <c r="CI9" s="185">
        <f t="shared" si="11"/>
        <v>2.261082761538471</v>
      </c>
      <c r="CJ9" s="185">
        <f t="shared" si="11"/>
        <v>2.119765088942317</v>
      </c>
      <c r="CK9" s="185">
        <f t="shared" si="11"/>
        <v>1.9784474163461636</v>
      </c>
      <c r="CL9" s="185">
        <f t="shared" si="11"/>
        <v>1.8371297437500098</v>
      </c>
      <c r="CM9" s="185">
        <f t="shared" si="11"/>
        <v>1.695812071153856</v>
      </c>
      <c r="CN9" s="185">
        <f t="shared" si="11"/>
        <v>1.5544943985577022</v>
      </c>
      <c r="CO9" s="186">
        <f>SUM(CC9:CN9)</f>
        <v>27.980899174038573</v>
      </c>
      <c r="CP9" s="185">
        <f aca="true" t="shared" si="12" ref="CP9:DA9">CO12*$B$5/12</f>
        <v>1.4131767259615484</v>
      </c>
      <c r="CQ9" s="185">
        <f t="shared" si="12"/>
        <v>1.2718590533653946</v>
      </c>
      <c r="CR9" s="185">
        <f t="shared" si="12"/>
        <v>1.1305413807692408</v>
      </c>
      <c r="CS9" s="185">
        <f t="shared" si="12"/>
        <v>0.9892237081730871</v>
      </c>
      <c r="CT9" s="185">
        <f t="shared" si="12"/>
        <v>0.8479060355769333</v>
      </c>
      <c r="CU9" s="185">
        <f t="shared" si="12"/>
        <v>0.7065883629807795</v>
      </c>
      <c r="CV9" s="185">
        <f t="shared" si="12"/>
        <v>0.5652706903846256</v>
      </c>
      <c r="CW9" s="185">
        <f t="shared" si="12"/>
        <v>0.4239530177884718</v>
      </c>
      <c r="CX9" s="185">
        <f t="shared" si="12"/>
        <v>0.28263534519231787</v>
      </c>
      <c r="CY9" s="185">
        <f t="shared" si="12"/>
        <v>0.14131767259616398</v>
      </c>
      <c r="CZ9" s="185">
        <f t="shared" si="12"/>
        <v>1.0113391605652094E-14</v>
      </c>
      <c r="DA9" s="185">
        <f t="shared" si="12"/>
        <v>1.0113391605652094E-14</v>
      </c>
      <c r="DB9" s="186">
        <f>SUM(CP9:DA9)</f>
        <v>7.772471992788583</v>
      </c>
    </row>
    <row r="10" spans="1:107" ht="12.75">
      <c r="A10" s="179" t="s">
        <v>12</v>
      </c>
      <c r="B10" s="184">
        <f>O10+AB10+AO10+BB10+BO10+CB10+CO10+DB10</f>
        <v>1889.6191649999998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90"/>
      <c r="N10" s="190"/>
      <c r="O10" s="186">
        <f>SUM(C10:N10)</f>
        <v>0</v>
      </c>
      <c r="P10" s="190"/>
      <c r="Q10" s="190"/>
      <c r="R10" s="190"/>
      <c r="S10" s="190"/>
      <c r="T10" s="185">
        <f aca="true" t="shared" si="13" ref="T10:Y10">$S$12/$B$13</f>
        <v>24.225886730769233</v>
      </c>
      <c r="U10" s="185">
        <f t="shared" si="13"/>
        <v>24.225886730769233</v>
      </c>
      <c r="V10" s="185">
        <f t="shared" si="13"/>
        <v>24.225886730769233</v>
      </c>
      <c r="W10" s="185">
        <f t="shared" si="13"/>
        <v>24.225886730769233</v>
      </c>
      <c r="X10" s="185">
        <f t="shared" si="13"/>
        <v>24.225886730769233</v>
      </c>
      <c r="Y10" s="185">
        <f t="shared" si="13"/>
        <v>24.225886730769233</v>
      </c>
      <c r="Z10" s="185">
        <f aca="true" t="shared" si="14" ref="Z10:CK10">$S$12/$B$13</f>
        <v>24.225886730769233</v>
      </c>
      <c r="AA10" s="185">
        <f t="shared" si="14"/>
        <v>24.225886730769233</v>
      </c>
      <c r="AB10" s="186">
        <f>SUM(P10:AA10)</f>
        <v>193.80709384615386</v>
      </c>
      <c r="AC10" s="185">
        <f t="shared" si="14"/>
        <v>24.225886730769233</v>
      </c>
      <c r="AD10" s="185">
        <f t="shared" si="14"/>
        <v>24.225886730769233</v>
      </c>
      <c r="AE10" s="185">
        <f t="shared" si="14"/>
        <v>24.225886730769233</v>
      </c>
      <c r="AF10" s="185">
        <f t="shared" si="14"/>
        <v>24.225886730769233</v>
      </c>
      <c r="AG10" s="185">
        <f t="shared" si="14"/>
        <v>24.225886730769233</v>
      </c>
      <c r="AH10" s="185">
        <f t="shared" si="14"/>
        <v>24.225886730769233</v>
      </c>
      <c r="AI10" s="185">
        <f t="shared" si="14"/>
        <v>24.225886730769233</v>
      </c>
      <c r="AJ10" s="185">
        <f t="shared" si="14"/>
        <v>24.225886730769233</v>
      </c>
      <c r="AK10" s="185">
        <f t="shared" si="14"/>
        <v>24.225886730769233</v>
      </c>
      <c r="AL10" s="185">
        <f t="shared" si="14"/>
        <v>24.225886730769233</v>
      </c>
      <c r="AM10" s="185">
        <f t="shared" si="14"/>
        <v>24.225886730769233</v>
      </c>
      <c r="AN10" s="185">
        <f t="shared" si="14"/>
        <v>24.225886730769233</v>
      </c>
      <c r="AO10" s="186">
        <f>SUM(AC10:AN10)</f>
        <v>290.71064076923074</v>
      </c>
      <c r="AP10" s="185">
        <f t="shared" si="14"/>
        <v>24.225886730769233</v>
      </c>
      <c r="AQ10" s="185">
        <f t="shared" si="14"/>
        <v>24.225886730769233</v>
      </c>
      <c r="AR10" s="185">
        <f t="shared" si="14"/>
        <v>24.225886730769233</v>
      </c>
      <c r="AS10" s="185">
        <f t="shared" si="14"/>
        <v>24.225886730769233</v>
      </c>
      <c r="AT10" s="185">
        <f t="shared" si="14"/>
        <v>24.225886730769233</v>
      </c>
      <c r="AU10" s="185">
        <f t="shared" si="14"/>
        <v>24.225886730769233</v>
      </c>
      <c r="AV10" s="185">
        <f t="shared" si="14"/>
        <v>24.225886730769233</v>
      </c>
      <c r="AW10" s="185">
        <f t="shared" si="14"/>
        <v>24.225886730769233</v>
      </c>
      <c r="AX10" s="185">
        <f t="shared" si="14"/>
        <v>24.225886730769233</v>
      </c>
      <c r="AY10" s="185">
        <f t="shared" si="14"/>
        <v>24.225886730769233</v>
      </c>
      <c r="AZ10" s="185">
        <f t="shared" si="14"/>
        <v>24.225886730769233</v>
      </c>
      <c r="BA10" s="185">
        <f t="shared" si="14"/>
        <v>24.225886730769233</v>
      </c>
      <c r="BB10" s="186">
        <f>SUM(AP10:BA10)</f>
        <v>290.71064076923074</v>
      </c>
      <c r="BC10" s="185">
        <f t="shared" si="14"/>
        <v>24.225886730769233</v>
      </c>
      <c r="BD10" s="185">
        <f t="shared" si="14"/>
        <v>24.225886730769233</v>
      </c>
      <c r="BE10" s="185">
        <f t="shared" si="14"/>
        <v>24.225886730769233</v>
      </c>
      <c r="BF10" s="185">
        <f t="shared" si="14"/>
        <v>24.225886730769233</v>
      </c>
      <c r="BG10" s="185">
        <f t="shared" si="14"/>
        <v>24.225886730769233</v>
      </c>
      <c r="BH10" s="185">
        <f t="shared" si="14"/>
        <v>24.225886730769233</v>
      </c>
      <c r="BI10" s="185">
        <f t="shared" si="14"/>
        <v>24.225886730769233</v>
      </c>
      <c r="BJ10" s="185">
        <f t="shared" si="14"/>
        <v>24.225886730769233</v>
      </c>
      <c r="BK10" s="185">
        <f t="shared" si="14"/>
        <v>24.225886730769233</v>
      </c>
      <c r="BL10" s="185">
        <f t="shared" si="14"/>
        <v>24.225886730769233</v>
      </c>
      <c r="BM10" s="185">
        <f t="shared" si="14"/>
        <v>24.225886730769233</v>
      </c>
      <c r="BN10" s="185">
        <f t="shared" si="14"/>
        <v>24.225886730769233</v>
      </c>
      <c r="BO10" s="186">
        <f>SUM(BC10:BN10)</f>
        <v>290.71064076923074</v>
      </c>
      <c r="BP10" s="185">
        <f t="shared" si="14"/>
        <v>24.225886730769233</v>
      </c>
      <c r="BQ10" s="185">
        <f t="shared" si="14"/>
        <v>24.225886730769233</v>
      </c>
      <c r="BR10" s="185">
        <f t="shared" si="14"/>
        <v>24.225886730769233</v>
      </c>
      <c r="BS10" s="185">
        <f t="shared" si="14"/>
        <v>24.225886730769233</v>
      </c>
      <c r="BT10" s="185">
        <f t="shared" si="14"/>
        <v>24.225886730769233</v>
      </c>
      <c r="BU10" s="185">
        <f t="shared" si="14"/>
        <v>24.225886730769233</v>
      </c>
      <c r="BV10" s="185">
        <f t="shared" si="14"/>
        <v>24.225886730769233</v>
      </c>
      <c r="BW10" s="185">
        <f t="shared" si="14"/>
        <v>24.225886730769233</v>
      </c>
      <c r="BX10" s="185">
        <f t="shared" si="14"/>
        <v>24.225886730769233</v>
      </c>
      <c r="BY10" s="185">
        <f t="shared" si="14"/>
        <v>24.225886730769233</v>
      </c>
      <c r="BZ10" s="185">
        <f t="shared" si="14"/>
        <v>24.225886730769233</v>
      </c>
      <c r="CA10" s="185">
        <f t="shared" si="14"/>
        <v>24.225886730769233</v>
      </c>
      <c r="CB10" s="186">
        <f>SUM(BP10:CA10)</f>
        <v>290.71064076923074</v>
      </c>
      <c r="CC10" s="185">
        <f t="shared" si="14"/>
        <v>24.225886730769233</v>
      </c>
      <c r="CD10" s="185">
        <f t="shared" si="14"/>
        <v>24.225886730769233</v>
      </c>
      <c r="CE10" s="185">
        <f t="shared" si="14"/>
        <v>24.225886730769233</v>
      </c>
      <c r="CF10" s="185">
        <f t="shared" si="14"/>
        <v>24.225886730769233</v>
      </c>
      <c r="CG10" s="185">
        <f t="shared" si="14"/>
        <v>24.225886730769233</v>
      </c>
      <c r="CH10" s="185">
        <f t="shared" si="14"/>
        <v>24.225886730769233</v>
      </c>
      <c r="CI10" s="185">
        <f t="shared" si="14"/>
        <v>24.225886730769233</v>
      </c>
      <c r="CJ10" s="185">
        <f t="shared" si="14"/>
        <v>24.225886730769233</v>
      </c>
      <c r="CK10" s="185">
        <f t="shared" si="14"/>
        <v>24.225886730769233</v>
      </c>
      <c r="CL10" s="185">
        <f>$S$12/$B$13</f>
        <v>24.225886730769233</v>
      </c>
      <c r="CM10" s="185">
        <f>$S$12/$B$13</f>
        <v>24.225886730769233</v>
      </c>
      <c r="CN10" s="185">
        <f>$S$12/$B$13</f>
        <v>24.225886730769233</v>
      </c>
      <c r="CO10" s="186">
        <f>SUM(CC10:CN10)</f>
        <v>290.71064076923074</v>
      </c>
      <c r="CP10" s="185">
        <f aca="true" t="shared" si="15" ref="CP10:CY10">$S$12/$B$13</f>
        <v>24.225886730769233</v>
      </c>
      <c r="CQ10" s="185">
        <f t="shared" si="15"/>
        <v>24.225886730769233</v>
      </c>
      <c r="CR10" s="185">
        <f t="shared" si="15"/>
        <v>24.225886730769233</v>
      </c>
      <c r="CS10" s="185">
        <f t="shared" si="15"/>
        <v>24.225886730769233</v>
      </c>
      <c r="CT10" s="185">
        <f t="shared" si="15"/>
        <v>24.225886730769233</v>
      </c>
      <c r="CU10" s="185">
        <f t="shared" si="15"/>
        <v>24.225886730769233</v>
      </c>
      <c r="CV10" s="185">
        <f t="shared" si="15"/>
        <v>24.225886730769233</v>
      </c>
      <c r="CW10" s="185">
        <f t="shared" si="15"/>
        <v>24.225886730769233</v>
      </c>
      <c r="CX10" s="185">
        <f t="shared" si="15"/>
        <v>24.225886730769233</v>
      </c>
      <c r="CY10" s="185">
        <f t="shared" si="15"/>
        <v>24.225886730769233</v>
      </c>
      <c r="CZ10" s="185"/>
      <c r="DA10" s="185"/>
      <c r="DB10" s="186">
        <f>SUM(CP10:DA10)</f>
        <v>242.2588673076923</v>
      </c>
      <c r="DC10" s="187"/>
    </row>
    <row r="11" spans="1:107" ht="12.75">
      <c r="A11" s="179" t="s">
        <v>13</v>
      </c>
      <c r="B11" s="184">
        <f>O11+AB11+AO11+BB11+BO11+CB11+CO11+DB11</f>
        <v>435.3997492687509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90"/>
      <c r="N11" s="190"/>
      <c r="O11" s="186">
        <f>SUM(C11:N11)</f>
        <v>0</v>
      </c>
      <c r="P11" s="190"/>
      <c r="Q11" s="190"/>
      <c r="R11" s="190"/>
      <c r="S11" s="190"/>
      <c r="T11" s="185">
        <f>T9</f>
        <v>11.022778462500002</v>
      </c>
      <c r="U11" s="185">
        <f>U9</f>
        <v>10.881460789903848</v>
      </c>
      <c r="V11" s="185">
        <f>V9</f>
        <v>10.740143117307694</v>
      </c>
      <c r="W11" s="185">
        <f>W9</f>
        <v>10.598825444711542</v>
      </c>
      <c r="X11" s="185">
        <f>X9</f>
        <v>10.457507772115388</v>
      </c>
      <c r="Y11" s="185">
        <f aca="true" t="shared" si="16" ref="Y11:BN11">Y9</f>
        <v>10.316190099519234</v>
      </c>
      <c r="Z11" s="185">
        <f t="shared" si="16"/>
        <v>10.17487242692308</v>
      </c>
      <c r="AA11" s="185">
        <f t="shared" si="16"/>
        <v>10.033554754326927</v>
      </c>
      <c r="AB11" s="186">
        <f>SUM(P11:AA11)</f>
        <v>84.22533286730771</v>
      </c>
      <c r="AC11" s="185">
        <f t="shared" si="16"/>
        <v>9.892237081730775</v>
      </c>
      <c r="AD11" s="185">
        <f t="shared" si="16"/>
        <v>9.75091940913462</v>
      </c>
      <c r="AE11" s="185">
        <f t="shared" si="16"/>
        <v>9.609601736538467</v>
      </c>
      <c r="AF11" s="185">
        <f t="shared" si="16"/>
        <v>9.468284063942313</v>
      </c>
      <c r="AG11" s="185">
        <f t="shared" si="16"/>
        <v>9.32696639134616</v>
      </c>
      <c r="AH11" s="185">
        <f t="shared" si="16"/>
        <v>9.185648718750008</v>
      </c>
      <c r="AI11" s="185">
        <f t="shared" si="16"/>
        <v>9.044331046153852</v>
      </c>
      <c r="AJ11" s="185">
        <f t="shared" si="16"/>
        <v>8.9030133735577</v>
      </c>
      <c r="AK11" s="185">
        <f t="shared" si="16"/>
        <v>8.761695700961546</v>
      </c>
      <c r="AL11" s="185">
        <f t="shared" si="16"/>
        <v>8.620378028365392</v>
      </c>
      <c r="AM11" s="185">
        <f t="shared" si="16"/>
        <v>8.47906035576924</v>
      </c>
      <c r="AN11" s="185">
        <f t="shared" si="16"/>
        <v>8.337742683173085</v>
      </c>
      <c r="AO11" s="186">
        <f>SUM(AC11:AN11)</f>
        <v>109.37987858942317</v>
      </c>
      <c r="AP11" s="185">
        <f t="shared" si="16"/>
        <v>8.196425010576933</v>
      </c>
      <c r="AQ11" s="185">
        <f t="shared" si="16"/>
        <v>8.055107337980779</v>
      </c>
      <c r="AR11" s="185">
        <f t="shared" si="16"/>
        <v>7.913789665384626</v>
      </c>
      <c r="AS11" s="185">
        <f t="shared" si="16"/>
        <v>7.772471992788472</v>
      </c>
      <c r="AT11" s="185">
        <f t="shared" si="16"/>
        <v>7.631154320192318</v>
      </c>
      <c r="AU11" s="185">
        <f t="shared" si="16"/>
        <v>7.489836647596165</v>
      </c>
      <c r="AV11" s="185">
        <f t="shared" si="16"/>
        <v>7.348518975000012</v>
      </c>
      <c r="AW11" s="185">
        <f t="shared" si="16"/>
        <v>7.207201302403859</v>
      </c>
      <c r="AX11" s="185">
        <f t="shared" si="16"/>
        <v>7.065883629807704</v>
      </c>
      <c r="AY11" s="185">
        <f t="shared" si="16"/>
        <v>6.924565957211551</v>
      </c>
      <c r="AZ11" s="185">
        <f t="shared" si="16"/>
        <v>6.783248284615397</v>
      </c>
      <c r="BA11" s="185">
        <f t="shared" si="16"/>
        <v>6.6419306120192445</v>
      </c>
      <c r="BB11" s="186">
        <f>SUM(AP11:BA11)</f>
        <v>89.03013373557707</v>
      </c>
      <c r="BC11" s="185">
        <f t="shared" si="16"/>
        <v>6.500612939423092</v>
      </c>
      <c r="BD11" s="185">
        <f t="shared" si="16"/>
        <v>6.359295266826937</v>
      </c>
      <c r="BE11" s="185">
        <f t="shared" si="16"/>
        <v>6.217977594230784</v>
      </c>
      <c r="BF11" s="185">
        <f t="shared" si="16"/>
        <v>6.07665992163463</v>
      </c>
      <c r="BG11" s="185">
        <f t="shared" si="16"/>
        <v>5.935342249038476</v>
      </c>
      <c r="BH11" s="185">
        <f t="shared" si="16"/>
        <v>5.794024576442322</v>
      </c>
      <c r="BI11" s="185">
        <f t="shared" si="16"/>
        <v>5.652706903846169</v>
      </c>
      <c r="BJ11" s="185">
        <f t="shared" si="16"/>
        <v>5.511389231250014</v>
      </c>
      <c r="BK11" s="185">
        <f t="shared" si="16"/>
        <v>5.370071558653859</v>
      </c>
      <c r="BL11" s="185">
        <f t="shared" si="16"/>
        <v>5.228753886057706</v>
      </c>
      <c r="BM11" s="185">
        <f t="shared" si="16"/>
        <v>5.087436213461552</v>
      </c>
      <c r="BN11" s="185">
        <f t="shared" si="16"/>
        <v>4.946118540865398</v>
      </c>
      <c r="BO11" s="186">
        <f>SUM(BC11:BN11)</f>
        <v>68.68038888173093</v>
      </c>
      <c r="BP11" s="185">
        <f aca="true" t="shared" si="17" ref="BP11:CA11">BP9</f>
        <v>4.804800868269243</v>
      </c>
      <c r="BQ11" s="185">
        <f t="shared" si="17"/>
        <v>4.6634831956730896</v>
      </c>
      <c r="BR11" s="185">
        <f t="shared" si="17"/>
        <v>4.522165523076935</v>
      </c>
      <c r="BS11" s="185">
        <f t="shared" si="17"/>
        <v>4.380847850480781</v>
      </c>
      <c r="BT11" s="185">
        <f t="shared" si="17"/>
        <v>4.239530177884627</v>
      </c>
      <c r="BU11" s="185">
        <f t="shared" si="17"/>
        <v>4.098212505288473</v>
      </c>
      <c r="BV11" s="185">
        <f t="shared" si="17"/>
        <v>3.956894832692319</v>
      </c>
      <c r="BW11" s="185">
        <f t="shared" si="17"/>
        <v>3.8155771600961645</v>
      </c>
      <c r="BX11" s="185">
        <f t="shared" si="17"/>
        <v>3.6742594875000107</v>
      </c>
      <c r="BY11" s="185">
        <f t="shared" si="17"/>
        <v>3.532941814903856</v>
      </c>
      <c r="BZ11" s="185">
        <f t="shared" si="17"/>
        <v>3.3916241423077023</v>
      </c>
      <c r="CA11" s="185">
        <f t="shared" si="17"/>
        <v>3.250306469711548</v>
      </c>
      <c r="CB11" s="186">
        <f>SUM(BP11:CA11)</f>
        <v>48.330644027884745</v>
      </c>
      <c r="CC11" s="185">
        <f aca="true" t="shared" si="18" ref="CC11:CN11">CC9</f>
        <v>3.108988797115394</v>
      </c>
      <c r="CD11" s="185">
        <f t="shared" si="18"/>
        <v>2.9676711245192404</v>
      </c>
      <c r="CE11" s="185">
        <f t="shared" si="18"/>
        <v>2.8263534519230866</v>
      </c>
      <c r="CF11" s="185">
        <f t="shared" si="18"/>
        <v>2.685035779326933</v>
      </c>
      <c r="CG11" s="185">
        <f t="shared" si="18"/>
        <v>2.5437181067307786</v>
      </c>
      <c r="CH11" s="185">
        <f t="shared" si="18"/>
        <v>2.402400434134625</v>
      </c>
      <c r="CI11" s="185">
        <f t="shared" si="18"/>
        <v>2.261082761538471</v>
      </c>
      <c r="CJ11" s="185">
        <f t="shared" si="18"/>
        <v>2.119765088942317</v>
      </c>
      <c r="CK11" s="185">
        <f t="shared" si="18"/>
        <v>1.9784474163461636</v>
      </c>
      <c r="CL11" s="185">
        <f t="shared" si="18"/>
        <v>1.8371297437500098</v>
      </c>
      <c r="CM11" s="185">
        <f t="shared" si="18"/>
        <v>1.695812071153856</v>
      </c>
      <c r="CN11" s="185">
        <f t="shared" si="18"/>
        <v>1.5544943985577022</v>
      </c>
      <c r="CO11" s="186">
        <f>SUM(CC11:CN11)</f>
        <v>27.980899174038573</v>
      </c>
      <c r="CP11" s="185">
        <f aca="true" t="shared" si="19" ref="CP11:DA11">CP9</f>
        <v>1.4131767259615484</v>
      </c>
      <c r="CQ11" s="185">
        <f t="shared" si="19"/>
        <v>1.2718590533653946</v>
      </c>
      <c r="CR11" s="185">
        <f t="shared" si="19"/>
        <v>1.1305413807692408</v>
      </c>
      <c r="CS11" s="185">
        <f t="shared" si="19"/>
        <v>0.9892237081730871</v>
      </c>
      <c r="CT11" s="185">
        <f t="shared" si="19"/>
        <v>0.8479060355769333</v>
      </c>
      <c r="CU11" s="185">
        <f t="shared" si="19"/>
        <v>0.7065883629807795</v>
      </c>
      <c r="CV11" s="185">
        <f t="shared" si="19"/>
        <v>0.5652706903846256</v>
      </c>
      <c r="CW11" s="185">
        <f t="shared" si="19"/>
        <v>0.4239530177884718</v>
      </c>
      <c r="CX11" s="185">
        <f t="shared" si="19"/>
        <v>0.28263534519231787</v>
      </c>
      <c r="CY11" s="185">
        <f t="shared" si="19"/>
        <v>0.14131767259616398</v>
      </c>
      <c r="CZ11" s="185">
        <f t="shared" si="19"/>
        <v>1.0113391605652094E-14</v>
      </c>
      <c r="DA11" s="185">
        <f t="shared" si="19"/>
        <v>1.0113391605652094E-14</v>
      </c>
      <c r="DB11" s="186">
        <f>SUM(CP11:DA11)</f>
        <v>7.772471992788583</v>
      </c>
      <c r="DC11" s="187" t="s">
        <v>55</v>
      </c>
    </row>
    <row r="12" spans="1:107" ht="12.75">
      <c r="A12" s="179" t="s">
        <v>14</v>
      </c>
      <c r="B12" s="184">
        <f>DB12</f>
        <v>1.7337242752546445E-12</v>
      </c>
      <c r="C12" s="185">
        <f>C7</f>
        <v>0</v>
      </c>
      <c r="D12" s="185">
        <f>C12+D7-D10+D8</f>
        <v>0</v>
      </c>
      <c r="E12" s="185">
        <f>D12+E7-E10+E8</f>
        <v>0</v>
      </c>
      <c r="F12" s="185">
        <f>E12+F7-F10+F8</f>
        <v>0</v>
      </c>
      <c r="G12" s="185">
        <f aca="true" t="shared" si="20" ref="G12:M12">F12+G7-G10+G8</f>
        <v>0</v>
      </c>
      <c r="H12" s="185">
        <f>G12+H7-H10+H8</f>
        <v>0</v>
      </c>
      <c r="I12" s="185">
        <f t="shared" si="20"/>
        <v>0</v>
      </c>
      <c r="J12" s="185">
        <f t="shared" si="20"/>
        <v>0</v>
      </c>
      <c r="K12" s="185">
        <f t="shared" si="20"/>
        <v>0</v>
      </c>
      <c r="L12" s="185">
        <f t="shared" si="20"/>
        <v>1825.719</v>
      </c>
      <c r="M12" s="185">
        <f t="shared" si="20"/>
        <v>1825.719</v>
      </c>
      <c r="N12" s="185">
        <f>M12+N7-N10+N8</f>
        <v>1825.719</v>
      </c>
      <c r="O12" s="186">
        <f>N12</f>
        <v>1825.719</v>
      </c>
      <c r="P12" s="185">
        <f>O12+P7-P10+P8</f>
        <v>1825.719</v>
      </c>
      <c r="Q12" s="185">
        <f aca="true" t="shared" si="21" ref="Q12:Z12">P12+Q7-Q10+Q8</f>
        <v>1825.719</v>
      </c>
      <c r="R12" s="185">
        <f t="shared" si="21"/>
        <v>1825.719</v>
      </c>
      <c r="S12" s="185">
        <f t="shared" si="21"/>
        <v>1889.619165</v>
      </c>
      <c r="T12" s="185">
        <f t="shared" si="21"/>
        <v>1865.393278269231</v>
      </c>
      <c r="U12" s="185">
        <f t="shared" si="21"/>
        <v>1841.1673915384617</v>
      </c>
      <c r="V12" s="185">
        <f t="shared" si="21"/>
        <v>1816.9415048076926</v>
      </c>
      <c r="W12" s="185">
        <f t="shared" si="21"/>
        <v>1792.7156180769234</v>
      </c>
      <c r="X12" s="185">
        <f t="shared" si="21"/>
        <v>1768.4897313461543</v>
      </c>
      <c r="Y12" s="185">
        <f t="shared" si="21"/>
        <v>1744.263844615385</v>
      </c>
      <c r="Z12" s="185">
        <f t="shared" si="21"/>
        <v>1720.037957884616</v>
      </c>
      <c r="AA12" s="185">
        <f>Z12+AA7-AA10+AA8</f>
        <v>1695.8120711538468</v>
      </c>
      <c r="AB12" s="186">
        <f>AA12</f>
        <v>1695.8120711538468</v>
      </c>
      <c r="AC12" s="185">
        <f>AB12+AC7-AC10+AC8</f>
        <v>1671.5861844230776</v>
      </c>
      <c r="AD12" s="185">
        <f aca="true" t="shared" si="22" ref="AD12:AN12">AC12+AD7-AD10+AD8</f>
        <v>1647.3602976923084</v>
      </c>
      <c r="AE12" s="185">
        <f t="shared" si="22"/>
        <v>1623.1344109615393</v>
      </c>
      <c r="AF12" s="185">
        <f t="shared" si="22"/>
        <v>1598.9085242307701</v>
      </c>
      <c r="AG12" s="185">
        <f t="shared" si="22"/>
        <v>1574.682637500001</v>
      </c>
      <c r="AH12" s="185">
        <f t="shared" si="22"/>
        <v>1550.4567507692318</v>
      </c>
      <c r="AI12" s="185">
        <f t="shared" si="22"/>
        <v>1526.2308640384626</v>
      </c>
      <c r="AJ12" s="185">
        <f t="shared" si="22"/>
        <v>1502.0049773076935</v>
      </c>
      <c r="AK12" s="185">
        <f t="shared" si="22"/>
        <v>1477.7790905769243</v>
      </c>
      <c r="AL12" s="185">
        <f t="shared" si="22"/>
        <v>1453.5532038461552</v>
      </c>
      <c r="AM12" s="185">
        <f t="shared" si="22"/>
        <v>1429.327317115386</v>
      </c>
      <c r="AN12" s="185">
        <f t="shared" si="22"/>
        <v>1405.1014303846168</v>
      </c>
      <c r="AO12" s="186">
        <f>AN12</f>
        <v>1405.1014303846168</v>
      </c>
      <c r="AP12" s="185">
        <f>AO12+AP7-AP10+AP8</f>
        <v>1380.8755436538477</v>
      </c>
      <c r="AQ12" s="185">
        <f aca="true" t="shared" si="23" ref="AQ12:BA12">AP12+AQ7-AQ10+AQ8</f>
        <v>1356.6496569230785</v>
      </c>
      <c r="AR12" s="185">
        <f t="shared" si="23"/>
        <v>1332.4237701923093</v>
      </c>
      <c r="AS12" s="185">
        <f t="shared" si="23"/>
        <v>1308.1978834615402</v>
      </c>
      <c r="AT12" s="185">
        <f t="shared" si="23"/>
        <v>1283.971996730771</v>
      </c>
      <c r="AU12" s="185">
        <f t="shared" si="23"/>
        <v>1259.7461100000019</v>
      </c>
      <c r="AV12" s="185">
        <f t="shared" si="23"/>
        <v>1235.5202232692327</v>
      </c>
      <c r="AW12" s="185">
        <f t="shared" si="23"/>
        <v>1211.2943365384635</v>
      </c>
      <c r="AX12" s="185">
        <f t="shared" si="23"/>
        <v>1187.0684498076944</v>
      </c>
      <c r="AY12" s="185">
        <f t="shared" si="23"/>
        <v>1162.8425630769252</v>
      </c>
      <c r="AZ12" s="185">
        <f t="shared" si="23"/>
        <v>1138.616676346156</v>
      </c>
      <c r="BA12" s="185">
        <f t="shared" si="23"/>
        <v>1114.390789615387</v>
      </c>
      <c r="BB12" s="186">
        <f>BA12</f>
        <v>1114.390789615387</v>
      </c>
      <c r="BC12" s="185">
        <f>BB12+BC7-BC10+BC8</f>
        <v>1090.1649028846177</v>
      </c>
      <c r="BD12" s="185">
        <f aca="true" t="shared" si="24" ref="BD12:BN12">BC12+BD7-BD10+BD8</f>
        <v>1065.9390161538486</v>
      </c>
      <c r="BE12" s="185">
        <f t="shared" si="24"/>
        <v>1041.7131294230794</v>
      </c>
      <c r="BF12" s="185">
        <f t="shared" si="24"/>
        <v>1017.4872426923101</v>
      </c>
      <c r="BG12" s="185">
        <f t="shared" si="24"/>
        <v>993.2613559615409</v>
      </c>
      <c r="BH12" s="185">
        <f t="shared" si="24"/>
        <v>969.0354692307716</v>
      </c>
      <c r="BI12" s="185">
        <f t="shared" si="24"/>
        <v>944.8095825000023</v>
      </c>
      <c r="BJ12" s="185">
        <f t="shared" si="24"/>
        <v>920.583695769233</v>
      </c>
      <c r="BK12" s="185">
        <f t="shared" si="24"/>
        <v>896.3578090384638</v>
      </c>
      <c r="BL12" s="185">
        <f t="shared" si="24"/>
        <v>872.1319223076945</v>
      </c>
      <c r="BM12" s="185">
        <f t="shared" si="24"/>
        <v>847.9060355769252</v>
      </c>
      <c r="BN12" s="185">
        <f t="shared" si="24"/>
        <v>823.6801488461559</v>
      </c>
      <c r="BO12" s="186">
        <f>BN12</f>
        <v>823.6801488461559</v>
      </c>
      <c r="BP12" s="185">
        <f aca="true" t="shared" si="25" ref="BP12:CA12">BO12+BP7-BP10+BP8</f>
        <v>799.4542621153867</v>
      </c>
      <c r="BQ12" s="185">
        <f t="shared" si="25"/>
        <v>775.2283753846174</v>
      </c>
      <c r="BR12" s="185">
        <f t="shared" si="25"/>
        <v>751.0024886538481</v>
      </c>
      <c r="BS12" s="185">
        <f t="shared" si="25"/>
        <v>726.7766019230788</v>
      </c>
      <c r="BT12" s="185">
        <f t="shared" si="25"/>
        <v>702.5507151923096</v>
      </c>
      <c r="BU12" s="185">
        <f t="shared" si="25"/>
        <v>678.3248284615403</v>
      </c>
      <c r="BV12" s="185">
        <f t="shared" si="25"/>
        <v>654.098941730771</v>
      </c>
      <c r="BW12" s="185">
        <f t="shared" si="25"/>
        <v>629.8730550000017</v>
      </c>
      <c r="BX12" s="185">
        <f t="shared" si="25"/>
        <v>605.6471682692325</v>
      </c>
      <c r="BY12" s="185">
        <f t="shared" si="25"/>
        <v>581.4212815384632</v>
      </c>
      <c r="BZ12" s="185">
        <f t="shared" si="25"/>
        <v>557.1953948076939</v>
      </c>
      <c r="CA12" s="185">
        <f t="shared" si="25"/>
        <v>532.9695080769246</v>
      </c>
      <c r="CB12" s="186">
        <f>CA12</f>
        <v>532.9695080769246</v>
      </c>
      <c r="CC12" s="185">
        <f aca="true" t="shared" si="26" ref="CC12:CN12">CB12+CC7-CC10+CC8</f>
        <v>508.7436213461554</v>
      </c>
      <c r="CD12" s="185">
        <f t="shared" si="26"/>
        <v>484.5177346153862</v>
      </c>
      <c r="CE12" s="185">
        <f t="shared" si="26"/>
        <v>460.29184788461697</v>
      </c>
      <c r="CF12" s="185">
        <f t="shared" si="26"/>
        <v>436.06596115384775</v>
      </c>
      <c r="CG12" s="185">
        <f t="shared" si="26"/>
        <v>411.84007442307853</v>
      </c>
      <c r="CH12" s="185">
        <f t="shared" si="26"/>
        <v>387.6141876923093</v>
      </c>
      <c r="CI12" s="185">
        <f t="shared" si="26"/>
        <v>363.3883009615401</v>
      </c>
      <c r="CJ12" s="185">
        <f t="shared" si="26"/>
        <v>339.1624142307709</v>
      </c>
      <c r="CK12" s="185">
        <f t="shared" si="26"/>
        <v>314.93652750000166</v>
      </c>
      <c r="CL12" s="185">
        <f t="shared" si="26"/>
        <v>290.71064076923244</v>
      </c>
      <c r="CM12" s="185">
        <f t="shared" si="26"/>
        <v>266.4847540384632</v>
      </c>
      <c r="CN12" s="185">
        <f t="shared" si="26"/>
        <v>242.258867307694</v>
      </c>
      <c r="CO12" s="186">
        <f>CN12</f>
        <v>242.258867307694</v>
      </c>
      <c r="CP12" s="185">
        <f aca="true" t="shared" si="27" ref="CP12:DA12">CO12+CP7-CP10+CP8</f>
        <v>218.03298057692479</v>
      </c>
      <c r="CQ12" s="185">
        <f t="shared" si="27"/>
        <v>193.80709384615557</v>
      </c>
      <c r="CR12" s="185">
        <f t="shared" si="27"/>
        <v>169.58120711538635</v>
      </c>
      <c r="CS12" s="185">
        <f t="shared" si="27"/>
        <v>145.35532038461713</v>
      </c>
      <c r="CT12" s="185">
        <f t="shared" si="27"/>
        <v>121.1294336538479</v>
      </c>
      <c r="CU12" s="185">
        <f t="shared" si="27"/>
        <v>96.90354692307866</v>
      </c>
      <c r="CV12" s="185">
        <f t="shared" si="27"/>
        <v>72.67766019230943</v>
      </c>
      <c r="CW12" s="185">
        <f t="shared" si="27"/>
        <v>48.4517734615402</v>
      </c>
      <c r="CX12" s="185">
        <f t="shared" si="27"/>
        <v>24.225886730770966</v>
      </c>
      <c r="CY12" s="185">
        <f t="shared" si="27"/>
        <v>1.7337242752546445E-12</v>
      </c>
      <c r="CZ12" s="185">
        <f t="shared" si="27"/>
        <v>1.7337242752546445E-12</v>
      </c>
      <c r="DA12" s="185">
        <f t="shared" si="27"/>
        <v>1.7337242752546445E-12</v>
      </c>
      <c r="DB12" s="186">
        <f>DA12</f>
        <v>1.7337242752546445E-12</v>
      </c>
      <c r="DC12" s="191">
        <f>MAX(C12:DB12)</f>
        <v>1889.619165</v>
      </c>
    </row>
    <row r="13" spans="1:107" ht="12.75">
      <c r="A13" s="171" t="s">
        <v>75</v>
      </c>
      <c r="B13" s="171">
        <f>Исх!C40*12-Исх!C41</f>
        <v>78</v>
      </c>
      <c r="DC13" s="174"/>
    </row>
    <row r="16" ht="12.75" outlineLevel="1">
      <c r="A16" s="192">
        <f>B7+B8-B10</f>
        <v>0</v>
      </c>
    </row>
    <row r="17" ht="12.75" outlineLevel="1">
      <c r="A17" s="192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31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12" sqref="B12"/>
    </sheetView>
  </sheetViews>
  <sheetFormatPr defaultColWidth="8.875" defaultRowHeight="12.75" outlineLevelRow="1" outlineLevelCol="1"/>
  <cols>
    <col min="1" max="1" width="36.25390625" style="70" customWidth="1"/>
    <col min="2" max="2" width="10.00390625" style="70" customWidth="1"/>
    <col min="3" max="3" width="9.00390625" style="70" customWidth="1"/>
    <col min="4" max="4" width="10.00390625" style="70" customWidth="1"/>
    <col min="5" max="10" width="4.875" style="70" customWidth="1" outlineLevel="1"/>
    <col min="11" max="11" width="5.875" style="70" customWidth="1" outlineLevel="1"/>
    <col min="12" max="12" width="6.125" style="70" customWidth="1" outlineLevel="1"/>
    <col min="13" max="13" width="6.00390625" style="70" customWidth="1" outlineLevel="1"/>
    <col min="14" max="14" width="6.625" style="70" bestFit="1" customWidth="1" outlineLevel="1"/>
    <col min="15" max="16" width="6.125" style="70" customWidth="1" outlineLevel="1"/>
    <col min="17" max="17" width="10.125" style="70" customWidth="1"/>
    <col min="18" max="18" width="8.375" style="70" customWidth="1"/>
    <col min="19" max="19" width="16.00390625" style="70" customWidth="1"/>
    <col min="20" max="20" width="12.875" style="70" bestFit="1" customWidth="1"/>
    <col min="21" max="16384" width="8.875" style="70" customWidth="1"/>
  </cols>
  <sheetData>
    <row r="1" ht="8.25" customHeight="1"/>
    <row r="2" spans="1:19" ht="12.75">
      <c r="A2" s="60" t="s">
        <v>242</v>
      </c>
      <c r="B2" s="167"/>
      <c r="Q2" s="143" t="s">
        <v>56</v>
      </c>
      <c r="R2" s="193"/>
      <c r="S2" s="165"/>
    </row>
    <row r="3" spans="1:19" ht="17.25" customHeight="1">
      <c r="A3" s="312" t="s">
        <v>185</v>
      </c>
      <c r="B3" s="313" t="s">
        <v>155</v>
      </c>
      <c r="C3" s="313" t="s">
        <v>156</v>
      </c>
      <c r="D3" s="314" t="s">
        <v>154</v>
      </c>
      <c r="E3" s="309">
        <v>2013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1"/>
      <c r="Q3" s="85" t="s">
        <v>0</v>
      </c>
      <c r="R3" s="193"/>
      <c r="S3" s="194"/>
    </row>
    <row r="4" spans="1:17" ht="27" customHeight="1">
      <c r="A4" s="312"/>
      <c r="B4" s="313"/>
      <c r="C4" s="313"/>
      <c r="D4" s="314"/>
      <c r="E4" s="195">
        <v>1</v>
      </c>
      <c r="F4" s="195">
        <v>2</v>
      </c>
      <c r="G4" s="195">
        <v>3</v>
      </c>
      <c r="H4" s="195">
        <v>4</v>
      </c>
      <c r="I4" s="195">
        <v>5</v>
      </c>
      <c r="J4" s="195">
        <v>6</v>
      </c>
      <c r="K4" s="195">
        <v>7</v>
      </c>
      <c r="L4" s="195">
        <v>8</v>
      </c>
      <c r="M4" s="195">
        <v>9</v>
      </c>
      <c r="N4" s="195">
        <v>10</v>
      </c>
      <c r="O4" s="195">
        <v>11</v>
      </c>
      <c r="P4" s="195">
        <v>12</v>
      </c>
      <c r="Q4" s="87">
        <v>2013</v>
      </c>
    </row>
    <row r="5" spans="1:17" s="60" customFormat="1" ht="12.75">
      <c r="A5" s="196" t="s">
        <v>184</v>
      </c>
      <c r="B5" s="197"/>
      <c r="C5" s="197"/>
      <c r="D5" s="140">
        <f aca="true" t="shared" si="0" ref="D5:Q5">SUM(D6:D7)</f>
        <v>0</v>
      </c>
      <c r="E5" s="140">
        <f t="shared" si="0"/>
        <v>0</v>
      </c>
      <c r="F5" s="140">
        <f t="shared" si="0"/>
        <v>0</v>
      </c>
      <c r="G5" s="140">
        <f t="shared" si="0"/>
        <v>0</v>
      </c>
      <c r="H5" s="140">
        <f t="shared" si="0"/>
        <v>0</v>
      </c>
      <c r="I5" s="140">
        <f t="shared" si="0"/>
        <v>0</v>
      </c>
      <c r="J5" s="140">
        <f t="shared" si="0"/>
        <v>0</v>
      </c>
      <c r="K5" s="140">
        <f t="shared" si="0"/>
        <v>0</v>
      </c>
      <c r="L5" s="140">
        <f t="shared" si="0"/>
        <v>0</v>
      </c>
      <c r="M5" s="140">
        <f t="shared" si="0"/>
        <v>0</v>
      </c>
      <c r="N5" s="140">
        <f t="shared" si="0"/>
        <v>0</v>
      </c>
      <c r="O5" s="140">
        <f t="shared" si="0"/>
        <v>0</v>
      </c>
      <c r="P5" s="140">
        <f t="shared" si="0"/>
        <v>0</v>
      </c>
      <c r="Q5" s="140">
        <f t="shared" si="0"/>
        <v>0</v>
      </c>
    </row>
    <row r="6" spans="1:19" ht="12.75" hidden="1" outlineLevel="1">
      <c r="A6" s="230"/>
      <c r="B6" s="228"/>
      <c r="C6" s="228"/>
      <c r="D6" s="147">
        <f>B6*C6</f>
        <v>0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>
        <f>SUM(E6:P6)</f>
        <v>0</v>
      </c>
      <c r="S6" s="60"/>
    </row>
    <row r="7" spans="1:19" ht="12.75" hidden="1" outlineLevel="1">
      <c r="A7" s="198"/>
      <c r="B7" s="78"/>
      <c r="C7" s="141"/>
      <c r="D7" s="147">
        <f>B7*C7</f>
        <v>0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>
        <f>SUM(E7:P7)</f>
        <v>0</v>
      </c>
      <c r="S7" s="60"/>
    </row>
    <row r="8" spans="1:19" ht="12.75" collapsed="1">
      <c r="A8" s="196" t="s">
        <v>103</v>
      </c>
      <c r="B8" s="197"/>
      <c r="C8" s="197"/>
      <c r="D8" s="140">
        <f aca="true" t="shared" si="1" ref="D8:Q8">SUM(D9:D11)</f>
        <v>745</v>
      </c>
      <c r="E8" s="140">
        <f t="shared" si="1"/>
        <v>0</v>
      </c>
      <c r="F8" s="140">
        <f t="shared" si="1"/>
        <v>0</v>
      </c>
      <c r="G8" s="140">
        <f t="shared" si="1"/>
        <v>0</v>
      </c>
      <c r="H8" s="140">
        <f t="shared" si="1"/>
        <v>0</v>
      </c>
      <c r="I8" s="140">
        <f t="shared" si="1"/>
        <v>0</v>
      </c>
      <c r="J8" s="140">
        <f t="shared" si="1"/>
        <v>0</v>
      </c>
      <c r="K8" s="140">
        <f t="shared" si="1"/>
        <v>0</v>
      </c>
      <c r="L8" s="140">
        <f t="shared" si="1"/>
        <v>0</v>
      </c>
      <c r="M8" s="140">
        <f t="shared" si="1"/>
        <v>0</v>
      </c>
      <c r="N8" s="140">
        <f t="shared" si="1"/>
        <v>745</v>
      </c>
      <c r="O8" s="140">
        <f t="shared" si="1"/>
        <v>0</v>
      </c>
      <c r="P8" s="140">
        <f t="shared" si="1"/>
        <v>0</v>
      </c>
      <c r="Q8" s="140">
        <f t="shared" si="1"/>
        <v>745</v>
      </c>
      <c r="S8" s="60"/>
    </row>
    <row r="9" spans="1:19" ht="12.75" outlineLevel="1">
      <c r="A9" s="221" t="s">
        <v>292</v>
      </c>
      <c r="B9" s="142">
        <f>Исх!C24</f>
        <v>60</v>
      </c>
      <c r="C9" s="141">
        <v>12</v>
      </c>
      <c r="D9" s="147">
        <f>B9*C9</f>
        <v>720</v>
      </c>
      <c r="E9" s="147"/>
      <c r="F9" s="147"/>
      <c r="G9" s="147"/>
      <c r="H9" s="147"/>
      <c r="I9" s="147"/>
      <c r="J9" s="147"/>
      <c r="K9" s="147"/>
      <c r="L9" s="147"/>
      <c r="M9" s="147"/>
      <c r="N9" s="147">
        <f>D9</f>
        <v>720</v>
      </c>
      <c r="O9" s="147"/>
      <c r="P9" s="147"/>
      <c r="Q9" s="148">
        <f>SUM(E9:P9)</f>
        <v>720</v>
      </c>
      <c r="R9" s="217" t="s">
        <v>285</v>
      </c>
      <c r="S9" s="60"/>
    </row>
    <row r="10" spans="1:19" ht="12.75" outlineLevel="1">
      <c r="A10" s="199" t="s">
        <v>284</v>
      </c>
      <c r="B10" s="141">
        <v>1</v>
      </c>
      <c r="C10" s="141">
        <v>25</v>
      </c>
      <c r="D10" s="147">
        <f>B10*C10</f>
        <v>25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>
        <f>D10</f>
        <v>25</v>
      </c>
      <c r="O10" s="147"/>
      <c r="P10" s="147"/>
      <c r="Q10" s="148">
        <f>SUM(E10:P10)</f>
        <v>25</v>
      </c>
      <c r="S10" s="60"/>
    </row>
    <row r="11" spans="1:19" ht="12.75" hidden="1" outlineLevel="1">
      <c r="A11" s="199"/>
      <c r="B11" s="141"/>
      <c r="C11" s="141"/>
      <c r="D11" s="147">
        <f>B11*C11</f>
        <v>0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>
        <f>SUM(E11:P11)</f>
        <v>0</v>
      </c>
      <c r="S11" s="60"/>
    </row>
    <row r="12" spans="1:19" ht="12.75" collapsed="1">
      <c r="A12" s="196" t="s">
        <v>258</v>
      </c>
      <c r="B12" s="197"/>
      <c r="C12" s="197"/>
      <c r="D12" s="140">
        <f aca="true" t="shared" si="2" ref="D12:Q12">SUM(D13:D24)</f>
        <v>1080.719</v>
      </c>
      <c r="E12" s="140">
        <f t="shared" si="2"/>
        <v>0</v>
      </c>
      <c r="F12" s="140">
        <f t="shared" si="2"/>
        <v>0</v>
      </c>
      <c r="G12" s="140">
        <f t="shared" si="2"/>
        <v>0</v>
      </c>
      <c r="H12" s="140">
        <f t="shared" si="2"/>
        <v>0</v>
      </c>
      <c r="I12" s="140">
        <f t="shared" si="2"/>
        <v>0</v>
      </c>
      <c r="J12" s="140">
        <f t="shared" si="2"/>
        <v>0</v>
      </c>
      <c r="K12" s="140">
        <f t="shared" si="2"/>
        <v>0</v>
      </c>
      <c r="L12" s="140">
        <f t="shared" si="2"/>
        <v>0</v>
      </c>
      <c r="M12" s="140">
        <f t="shared" si="2"/>
        <v>0</v>
      </c>
      <c r="N12" s="140">
        <f t="shared" si="2"/>
        <v>1080.719</v>
      </c>
      <c r="O12" s="140">
        <f t="shared" si="2"/>
        <v>0</v>
      </c>
      <c r="P12" s="140">
        <f t="shared" si="2"/>
        <v>0</v>
      </c>
      <c r="Q12" s="140">
        <f t="shared" si="2"/>
        <v>1080.719</v>
      </c>
      <c r="S12" s="60"/>
    </row>
    <row r="13" spans="1:19" ht="12.75" outlineLevel="1">
      <c r="A13" s="221" t="s">
        <v>268</v>
      </c>
      <c r="B13" s="142">
        <f>Исх!C24</f>
        <v>60</v>
      </c>
      <c r="C13" s="141">
        <f>3*1.1*Исх!$C$6</f>
        <v>15.213000000000003</v>
      </c>
      <c r="D13" s="147">
        <f aca="true" t="shared" si="3" ref="D13:D24">B13*C13</f>
        <v>912.7800000000002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>
        <f aca="true" t="shared" si="4" ref="N13:N24">D13</f>
        <v>912.7800000000002</v>
      </c>
      <c r="O13" s="147"/>
      <c r="P13" s="147"/>
      <c r="Q13" s="148">
        <f aca="true" t="shared" si="5" ref="Q13:Q24">SUM(E13:P13)</f>
        <v>912.7800000000002</v>
      </c>
      <c r="R13" s="217" t="s">
        <v>269</v>
      </c>
      <c r="S13" s="60"/>
    </row>
    <row r="14" spans="1:19" ht="12.75" outlineLevel="1">
      <c r="A14" s="199" t="s">
        <v>286</v>
      </c>
      <c r="B14" s="142">
        <f>ФОТ!C9</f>
        <v>3</v>
      </c>
      <c r="C14" s="141">
        <v>2.603</v>
      </c>
      <c r="D14" s="147">
        <f t="shared" si="3"/>
        <v>7.809000000000001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>
        <f t="shared" si="4"/>
        <v>7.809000000000001</v>
      </c>
      <c r="O14" s="147"/>
      <c r="P14" s="147"/>
      <c r="Q14" s="148">
        <f t="shared" si="5"/>
        <v>7.809000000000001</v>
      </c>
      <c r="S14" s="258"/>
    </row>
    <row r="15" spans="1:19" ht="12.75" outlineLevel="1">
      <c r="A15" s="199" t="s">
        <v>287</v>
      </c>
      <c r="B15" s="142">
        <f>B14</f>
        <v>3</v>
      </c>
      <c r="C15" s="141">
        <v>0.71</v>
      </c>
      <c r="D15" s="147">
        <f>B15*C15</f>
        <v>2.13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>
        <f t="shared" si="4"/>
        <v>2.13</v>
      </c>
      <c r="O15" s="147"/>
      <c r="P15" s="147"/>
      <c r="Q15" s="148">
        <f>SUM(E15:P15)</f>
        <v>2.13</v>
      </c>
      <c r="S15" s="258"/>
    </row>
    <row r="16" spans="1:19" ht="12.75" outlineLevel="1">
      <c r="A16" s="221" t="s">
        <v>288</v>
      </c>
      <c r="B16" s="141">
        <v>1</v>
      </c>
      <c r="C16" s="141">
        <v>40</v>
      </c>
      <c r="D16" s="147">
        <f t="shared" si="3"/>
        <v>40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>
        <f t="shared" si="4"/>
        <v>40</v>
      </c>
      <c r="O16" s="147"/>
      <c r="P16" s="147"/>
      <c r="Q16" s="148">
        <f t="shared" si="5"/>
        <v>40</v>
      </c>
      <c r="S16" s="60"/>
    </row>
    <row r="17" spans="1:19" ht="12.75" outlineLevel="1">
      <c r="A17" s="199" t="s">
        <v>289</v>
      </c>
      <c r="B17" s="142">
        <f aca="true" t="shared" si="6" ref="B17:B22">$B$14</f>
        <v>3</v>
      </c>
      <c r="C17" s="141">
        <f>0.895</f>
        <v>0.895</v>
      </c>
      <c r="D17" s="147">
        <f t="shared" si="3"/>
        <v>2.685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7">
        <f t="shared" si="4"/>
        <v>2.685</v>
      </c>
      <c r="O17" s="147"/>
      <c r="P17" s="147"/>
      <c r="Q17" s="148">
        <f t="shared" si="5"/>
        <v>2.685</v>
      </c>
      <c r="S17" s="60"/>
    </row>
    <row r="18" spans="1:19" ht="12.75" outlineLevel="1">
      <c r="A18" s="199" t="s">
        <v>290</v>
      </c>
      <c r="B18" s="142">
        <f t="shared" si="6"/>
        <v>3</v>
      </c>
      <c r="C18" s="141">
        <f>1.665</f>
        <v>1.665</v>
      </c>
      <c r="D18" s="147">
        <f>B18*C18</f>
        <v>4.995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>
        <f t="shared" si="4"/>
        <v>4.995</v>
      </c>
      <c r="O18" s="147"/>
      <c r="P18" s="147"/>
      <c r="Q18" s="148">
        <f>SUM(E18:P18)</f>
        <v>4.995</v>
      </c>
      <c r="S18" s="60"/>
    </row>
    <row r="19" spans="1:19" ht="12.75" outlineLevel="1">
      <c r="A19" s="221" t="s">
        <v>291</v>
      </c>
      <c r="B19" s="142">
        <f t="shared" si="6"/>
        <v>3</v>
      </c>
      <c r="C19" s="141">
        <f>1.02</f>
        <v>1.02</v>
      </c>
      <c r="D19" s="147">
        <f t="shared" si="3"/>
        <v>3.06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>
        <f t="shared" si="4"/>
        <v>3.06</v>
      </c>
      <c r="O19" s="147"/>
      <c r="P19" s="147"/>
      <c r="Q19" s="148">
        <f t="shared" si="5"/>
        <v>3.06</v>
      </c>
      <c r="S19" s="60"/>
    </row>
    <row r="20" spans="1:19" ht="12.75" outlineLevel="1">
      <c r="A20" s="199" t="s">
        <v>293</v>
      </c>
      <c r="B20" s="142">
        <f t="shared" si="6"/>
        <v>3</v>
      </c>
      <c r="C20" s="141">
        <f>1.805</f>
        <v>1.805</v>
      </c>
      <c r="D20" s="147">
        <f t="shared" si="3"/>
        <v>5.415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>
        <f t="shared" si="4"/>
        <v>5.415</v>
      </c>
      <c r="O20" s="147"/>
      <c r="P20" s="147"/>
      <c r="Q20" s="148">
        <f t="shared" si="5"/>
        <v>5.415</v>
      </c>
      <c r="S20" s="60"/>
    </row>
    <row r="21" spans="1:19" ht="12.75" outlineLevel="1">
      <c r="A21" s="199" t="s">
        <v>294</v>
      </c>
      <c r="B21" s="142">
        <f t="shared" si="6"/>
        <v>3</v>
      </c>
      <c r="C21" s="141">
        <f>2.625</f>
        <v>2.625</v>
      </c>
      <c r="D21" s="147">
        <f>B21*C21</f>
        <v>7.875</v>
      </c>
      <c r="E21" s="147"/>
      <c r="F21" s="147"/>
      <c r="G21" s="147"/>
      <c r="H21" s="147"/>
      <c r="I21" s="147"/>
      <c r="J21" s="147"/>
      <c r="K21" s="147"/>
      <c r="L21" s="147"/>
      <c r="M21" s="147"/>
      <c r="N21" s="147">
        <f>D21</f>
        <v>7.875</v>
      </c>
      <c r="O21" s="147"/>
      <c r="P21" s="147"/>
      <c r="Q21" s="148">
        <f>SUM(E21:P21)</f>
        <v>7.875</v>
      </c>
      <c r="S21" s="60"/>
    </row>
    <row r="22" spans="1:19" ht="12.75" outlineLevel="1">
      <c r="A22" s="199" t="s">
        <v>296</v>
      </c>
      <c r="B22" s="142">
        <f t="shared" si="6"/>
        <v>3</v>
      </c>
      <c r="C22" s="141">
        <f>8.39</f>
        <v>8.39</v>
      </c>
      <c r="D22" s="147">
        <f>B22*C22</f>
        <v>25.17</v>
      </c>
      <c r="E22" s="147"/>
      <c r="F22" s="147"/>
      <c r="G22" s="147"/>
      <c r="H22" s="147"/>
      <c r="I22" s="147"/>
      <c r="J22" s="147"/>
      <c r="K22" s="147"/>
      <c r="L22" s="147"/>
      <c r="M22" s="147"/>
      <c r="N22" s="147">
        <f>D22</f>
        <v>25.17</v>
      </c>
      <c r="O22" s="147"/>
      <c r="P22" s="147"/>
      <c r="Q22" s="148">
        <f>SUM(E22:P22)</f>
        <v>25.17</v>
      </c>
      <c r="S22" s="60"/>
    </row>
    <row r="23" spans="1:19" ht="12.75" outlineLevel="1">
      <c r="A23" s="199" t="s">
        <v>295</v>
      </c>
      <c r="B23" s="141">
        <v>1</v>
      </c>
      <c r="C23" s="141">
        <f>18.8</f>
        <v>18.8</v>
      </c>
      <c r="D23" s="147">
        <f>B23*C23</f>
        <v>18.8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>
        <f>D23</f>
        <v>18.8</v>
      </c>
      <c r="O23" s="147"/>
      <c r="P23" s="147"/>
      <c r="Q23" s="148">
        <f>SUM(E23:P23)</f>
        <v>18.8</v>
      </c>
      <c r="S23" s="60"/>
    </row>
    <row r="24" spans="1:19" ht="12.75" outlineLevel="1">
      <c r="A24" s="199" t="s">
        <v>297</v>
      </c>
      <c r="B24" s="141">
        <v>1</v>
      </c>
      <c r="C24" s="141">
        <v>50</v>
      </c>
      <c r="D24" s="147">
        <f t="shared" si="3"/>
        <v>50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>
        <f t="shared" si="4"/>
        <v>50</v>
      </c>
      <c r="O24" s="147"/>
      <c r="P24" s="147"/>
      <c r="Q24" s="148">
        <f t="shared" si="5"/>
        <v>50</v>
      </c>
      <c r="S24" s="60"/>
    </row>
    <row r="25" spans="1:17" ht="12.75">
      <c r="A25" s="137" t="s">
        <v>0</v>
      </c>
      <c r="B25" s="161"/>
      <c r="C25" s="161"/>
      <c r="D25" s="161">
        <f aca="true" t="shared" si="7" ref="D25:Q25">D5+D8+D12</f>
        <v>1825.719</v>
      </c>
      <c r="E25" s="161">
        <f t="shared" si="7"/>
        <v>0</v>
      </c>
      <c r="F25" s="161">
        <f t="shared" si="7"/>
        <v>0</v>
      </c>
      <c r="G25" s="161">
        <f t="shared" si="7"/>
        <v>0</v>
      </c>
      <c r="H25" s="161">
        <f t="shared" si="7"/>
        <v>0</v>
      </c>
      <c r="I25" s="161">
        <f t="shared" si="7"/>
        <v>0</v>
      </c>
      <c r="J25" s="161">
        <f t="shared" si="7"/>
        <v>0</v>
      </c>
      <c r="K25" s="161">
        <f t="shared" si="7"/>
        <v>0</v>
      </c>
      <c r="L25" s="161">
        <f t="shared" si="7"/>
        <v>0</v>
      </c>
      <c r="M25" s="161">
        <f t="shared" si="7"/>
        <v>0</v>
      </c>
      <c r="N25" s="161">
        <f t="shared" si="7"/>
        <v>1825.719</v>
      </c>
      <c r="O25" s="161">
        <f t="shared" si="7"/>
        <v>0</v>
      </c>
      <c r="P25" s="161">
        <f t="shared" si="7"/>
        <v>0</v>
      </c>
      <c r="Q25" s="161">
        <f t="shared" si="7"/>
        <v>1825.719</v>
      </c>
    </row>
    <row r="26" ht="12.75">
      <c r="D26" s="193">
        <f>D25-Q25</f>
        <v>0</v>
      </c>
    </row>
    <row r="27" spans="2:4" ht="12.75">
      <c r="B27" s="143" t="s">
        <v>56</v>
      </c>
      <c r="C27" s="193" t="s">
        <v>40</v>
      </c>
      <c r="D27" s="200" t="s">
        <v>95</v>
      </c>
    </row>
    <row r="28" spans="1:12" ht="12.75">
      <c r="A28" s="70" t="s">
        <v>108</v>
      </c>
      <c r="B28" s="193">
        <f>Q5</f>
        <v>0</v>
      </c>
      <c r="C28" s="193">
        <f>B28/Исх!$C$20</f>
        <v>0</v>
      </c>
      <c r="D28" s="162">
        <f>B28/Исх!$C$5</f>
        <v>0</v>
      </c>
      <c r="L28" s="167"/>
    </row>
    <row r="29" spans="1:12" ht="12.75">
      <c r="A29" s="70" t="s">
        <v>103</v>
      </c>
      <c r="B29" s="193">
        <f>Q8</f>
        <v>745</v>
      </c>
      <c r="C29" s="193">
        <f>B29/Исх!$C$20</f>
        <v>745</v>
      </c>
      <c r="D29" s="162">
        <f>B29/Исх!$C$5</f>
        <v>4.916193744225947</v>
      </c>
      <c r="L29" s="167"/>
    </row>
    <row r="30" spans="1:12" ht="12.75">
      <c r="A30" s="70" t="s">
        <v>190</v>
      </c>
      <c r="B30" s="193">
        <f>Q12</f>
        <v>1080.719</v>
      </c>
      <c r="C30" s="193">
        <f>B30/Исх!$C$20</f>
        <v>1080.719</v>
      </c>
      <c r="D30" s="162">
        <f>B30/Исх!$C$5</f>
        <v>7.131575821565264</v>
      </c>
      <c r="L30" s="167"/>
    </row>
    <row r="31" spans="1:4" ht="12.75">
      <c r="A31" s="60" t="s">
        <v>85</v>
      </c>
      <c r="B31" s="201">
        <f>SUM(B28:B30)</f>
        <v>1825.719</v>
      </c>
      <c r="C31" s="201">
        <f>SUM(C28:C30)</f>
        <v>1825.719</v>
      </c>
      <c r="D31" s="271">
        <f>SUM(D28:D30)</f>
        <v>12.04776956579121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R13" r:id="rId1" display="http://lipetskaya.all.biz/pchely-g573107"/>
    <hyperlink ref="R9" r:id="rId2" display="http://www.elm.kz/index.php?option=com_content&amp;view=article&amp;id=132&amp;Itemid=171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0" customWidth="1"/>
    <col min="2" max="2" width="9.875" style="70" hidden="1" customWidth="1"/>
    <col min="3" max="16384" width="9.125" style="70" customWidth="1"/>
  </cols>
  <sheetData>
    <row r="1" spans="1:6" ht="12.75">
      <c r="A1" s="60" t="s">
        <v>71</v>
      </c>
      <c r="B1" s="60"/>
      <c r="C1" s="60"/>
      <c r="D1" s="60"/>
      <c r="E1" s="60"/>
      <c r="F1" s="60"/>
    </row>
    <row r="2" spans="1:9" ht="12.75">
      <c r="A2" s="202"/>
      <c r="B2" s="202"/>
      <c r="C2" s="202"/>
      <c r="D2" s="202"/>
      <c r="E2" s="202"/>
      <c r="F2" s="202"/>
      <c r="I2" s="143" t="str">
        <f>Исх!$C$9</f>
        <v>тыс.тг.</v>
      </c>
    </row>
    <row r="3" spans="1:9" ht="12.75">
      <c r="A3" s="212" t="s">
        <v>8</v>
      </c>
      <c r="B3" s="219">
        <v>2013</v>
      </c>
      <c r="C3" s="219">
        <f aca="true" t="shared" si="0" ref="C3:I3">B3+1</f>
        <v>2014</v>
      </c>
      <c r="D3" s="219">
        <f t="shared" si="0"/>
        <v>2015</v>
      </c>
      <c r="E3" s="219">
        <f t="shared" si="0"/>
        <v>2016</v>
      </c>
      <c r="F3" s="219">
        <f t="shared" si="0"/>
        <v>2017</v>
      </c>
      <c r="G3" s="219">
        <f t="shared" si="0"/>
        <v>2018</v>
      </c>
      <c r="H3" s="219">
        <f t="shared" si="0"/>
        <v>2019</v>
      </c>
      <c r="I3" s="219">
        <f t="shared" si="0"/>
        <v>2020</v>
      </c>
    </row>
    <row r="4" spans="1:9" ht="12.75">
      <c r="A4" s="203" t="s">
        <v>307</v>
      </c>
      <c r="B4" s="204">
        <f>'2-ф2'!P5</f>
        <v>0</v>
      </c>
      <c r="C4" s="204">
        <f>'2-ф2'!AC5</f>
        <v>2704</v>
      </c>
      <c r="D4" s="204">
        <f>'2-ф2'!AD5</f>
        <v>3042</v>
      </c>
      <c r="E4" s="204">
        <f>'2-ф2'!AE5</f>
        <v>3042</v>
      </c>
      <c r="F4" s="204">
        <f>'2-ф2'!AF5</f>
        <v>3042</v>
      </c>
      <c r="G4" s="204">
        <f>'2-ф2'!AG5</f>
        <v>3042</v>
      </c>
      <c r="H4" s="204">
        <f>'2-ф2'!AH5</f>
        <v>3042</v>
      </c>
      <c r="I4" s="204">
        <f>'2-ф2'!AI5</f>
        <v>3042</v>
      </c>
    </row>
    <row r="5" spans="1:9" ht="12.75">
      <c r="A5" s="203" t="s">
        <v>86</v>
      </c>
      <c r="B5" s="205">
        <f aca="true" t="shared" si="1" ref="B5:H5">B4-B6</f>
        <v>-388.451745</v>
      </c>
      <c r="C5" s="205">
        <f t="shared" si="1"/>
        <v>164.67454213269184</v>
      </c>
      <c r="D5" s="205">
        <f t="shared" si="1"/>
        <v>520.1201064105767</v>
      </c>
      <c r="E5" s="205">
        <f t="shared" si="1"/>
        <v>540.4698512644231</v>
      </c>
      <c r="F5" s="205">
        <f t="shared" si="1"/>
        <v>560.8195961182691</v>
      </c>
      <c r="G5" s="205">
        <f t="shared" si="1"/>
        <v>581.1693409721152</v>
      </c>
      <c r="H5" s="205">
        <f t="shared" si="1"/>
        <v>601.5190858259616</v>
      </c>
      <c r="I5" s="205">
        <f>I4-I6</f>
        <v>621.7275130072117</v>
      </c>
    </row>
    <row r="6" spans="1:9" ht="12.75">
      <c r="A6" s="203" t="s">
        <v>308</v>
      </c>
      <c r="B6" s="206">
        <f aca="true" t="shared" si="2" ref="B6:H6">SUM(B7:B8)</f>
        <v>388.451745</v>
      </c>
      <c r="C6" s="206">
        <f t="shared" si="2"/>
        <v>2539.325457867308</v>
      </c>
      <c r="D6" s="206">
        <f t="shared" si="2"/>
        <v>2521.8798935894233</v>
      </c>
      <c r="E6" s="206">
        <f t="shared" si="2"/>
        <v>2501.530148735577</v>
      </c>
      <c r="F6" s="206">
        <f t="shared" si="2"/>
        <v>2481.180403881731</v>
      </c>
      <c r="G6" s="206">
        <f t="shared" si="2"/>
        <v>2460.830659027885</v>
      </c>
      <c r="H6" s="206">
        <f t="shared" si="2"/>
        <v>2440.4809141740384</v>
      </c>
      <c r="I6" s="206">
        <f>SUM(I7:I8)</f>
        <v>2420.2724869927883</v>
      </c>
    </row>
    <row r="7" spans="1:9" ht="12.75">
      <c r="A7" s="203" t="s">
        <v>87</v>
      </c>
      <c r="B7" s="204">
        <f>'2-ф2'!P12+'2-ф2'!P11+'2-ф2'!P10</f>
        <v>388.451745</v>
      </c>
      <c r="C7" s="204">
        <f>'2-ф2'!AC12+'2-ф2'!AC11+'2-ф2'!AC10</f>
        <v>2539.325457867308</v>
      </c>
      <c r="D7" s="204">
        <f>'2-ф2'!AD12+'2-ф2'!AD11+'2-ф2'!AD10</f>
        <v>2521.8798935894233</v>
      </c>
      <c r="E7" s="204">
        <f>'2-ф2'!AE12+'2-ф2'!AE11+'2-ф2'!AE10</f>
        <v>2501.530148735577</v>
      </c>
      <c r="F7" s="204">
        <f>'2-ф2'!AF12+'2-ф2'!AF11+'2-ф2'!AF10</f>
        <v>2481.180403881731</v>
      </c>
      <c r="G7" s="204">
        <f>'2-ф2'!AG12+'2-ф2'!AG11+'2-ф2'!AG10</f>
        <v>2460.830659027885</v>
      </c>
      <c r="H7" s="204">
        <f>'2-ф2'!AH12+'2-ф2'!AH11+'2-ф2'!AH10</f>
        <v>2440.4809141740384</v>
      </c>
      <c r="I7" s="204">
        <f>'2-ф2'!AI12+'2-ф2'!AI11+'2-ф2'!AI10</f>
        <v>2420.2724869927883</v>
      </c>
    </row>
    <row r="8" spans="1:9" ht="12.75">
      <c r="A8" s="203" t="s">
        <v>88</v>
      </c>
      <c r="B8" s="204">
        <f>'2-ф2'!P8</f>
        <v>0</v>
      </c>
      <c r="C8" s="204">
        <f>'2-ф2'!AC8</f>
        <v>0</v>
      </c>
      <c r="D8" s="204">
        <f>'2-ф2'!AD8</f>
        <v>0</v>
      </c>
      <c r="E8" s="204">
        <f>'2-ф2'!AE8</f>
        <v>0</v>
      </c>
      <c r="F8" s="204">
        <f>'2-ф2'!AF8</f>
        <v>0</v>
      </c>
      <c r="G8" s="204">
        <f>'2-ф2'!AG8</f>
        <v>0</v>
      </c>
      <c r="H8" s="204">
        <f>'2-ф2'!AH8</f>
        <v>0</v>
      </c>
      <c r="I8" s="204">
        <f>'2-ф2'!AI8</f>
        <v>0</v>
      </c>
    </row>
    <row r="9" spans="1:9" ht="12.75">
      <c r="A9" s="203" t="s">
        <v>89</v>
      </c>
      <c r="B9" s="206">
        <f aca="true" t="shared" si="3" ref="B9:H9">B4-B8</f>
        <v>0</v>
      </c>
      <c r="C9" s="206">
        <f t="shared" si="3"/>
        <v>2704</v>
      </c>
      <c r="D9" s="206">
        <f t="shared" si="3"/>
        <v>3042</v>
      </c>
      <c r="E9" s="206">
        <f t="shared" si="3"/>
        <v>3042</v>
      </c>
      <c r="F9" s="206">
        <f t="shared" si="3"/>
        <v>3042</v>
      </c>
      <c r="G9" s="206">
        <f t="shared" si="3"/>
        <v>3042</v>
      </c>
      <c r="H9" s="206">
        <f t="shared" si="3"/>
        <v>3042</v>
      </c>
      <c r="I9" s="206">
        <f>I4-I8</f>
        <v>3042</v>
      </c>
    </row>
    <row r="10" spans="1:9" ht="12.75">
      <c r="A10" s="203" t="s">
        <v>72</v>
      </c>
      <c r="B10" s="207" t="e">
        <f aca="true" t="shared" si="4" ref="B10:H10">B9/B4</f>
        <v>#DIV/0!</v>
      </c>
      <c r="C10" s="207">
        <f t="shared" si="4"/>
        <v>1</v>
      </c>
      <c r="D10" s="207">
        <f t="shared" si="4"/>
        <v>1</v>
      </c>
      <c r="E10" s="207">
        <f t="shared" si="4"/>
        <v>1</v>
      </c>
      <c r="F10" s="207">
        <f t="shared" si="4"/>
        <v>1</v>
      </c>
      <c r="G10" s="207">
        <f t="shared" si="4"/>
        <v>1</v>
      </c>
      <c r="H10" s="207">
        <f t="shared" si="4"/>
        <v>1</v>
      </c>
      <c r="I10" s="207">
        <f>I9/I4</f>
        <v>1</v>
      </c>
    </row>
    <row r="11" spans="1:9" ht="12.75">
      <c r="A11" s="203" t="s">
        <v>90</v>
      </c>
      <c r="B11" s="206" t="e">
        <f aca="true" t="shared" si="5" ref="B11:H11">B7/B10</f>
        <v>#DIV/0!</v>
      </c>
      <c r="C11" s="206">
        <f t="shared" si="5"/>
        <v>2539.325457867308</v>
      </c>
      <c r="D11" s="206">
        <f t="shared" si="5"/>
        <v>2521.8798935894233</v>
      </c>
      <c r="E11" s="206">
        <f t="shared" si="5"/>
        <v>2501.530148735577</v>
      </c>
      <c r="F11" s="206">
        <f t="shared" si="5"/>
        <v>2481.180403881731</v>
      </c>
      <c r="G11" s="206">
        <f t="shared" si="5"/>
        <v>2460.830659027885</v>
      </c>
      <c r="H11" s="206">
        <f t="shared" si="5"/>
        <v>2440.4809141740384</v>
      </c>
      <c r="I11" s="206">
        <f>I7/I10</f>
        <v>2420.2724869927883</v>
      </c>
    </row>
    <row r="12" spans="1:9" ht="25.5">
      <c r="A12" s="208" t="s">
        <v>73</v>
      </c>
      <c r="B12" s="209" t="e">
        <f aca="true" t="shared" si="6" ref="B12:H12">(B4-B11)/B4</f>
        <v>#DIV/0!</v>
      </c>
      <c r="C12" s="209">
        <f t="shared" si="6"/>
        <v>0.06090034842185349</v>
      </c>
      <c r="D12" s="209">
        <f t="shared" si="6"/>
        <v>0.17097965365239207</v>
      </c>
      <c r="E12" s="209">
        <f t="shared" si="6"/>
        <v>0.17766924762144087</v>
      </c>
      <c r="F12" s="209">
        <f t="shared" si="6"/>
        <v>0.18435884159048954</v>
      </c>
      <c r="G12" s="209">
        <f t="shared" si="6"/>
        <v>0.19104843555953818</v>
      </c>
      <c r="H12" s="209">
        <f t="shared" si="6"/>
        <v>0.197738029528587</v>
      </c>
      <c r="I12" s="209">
        <f>(I4-I11)/I4</f>
        <v>0.20438116798396175</v>
      </c>
    </row>
    <row r="13" spans="1:9" ht="12.75">
      <c r="A13" s="203" t="s">
        <v>101</v>
      </c>
      <c r="B13" s="210" t="e">
        <f aca="true" t="shared" si="7" ref="B13:H13">100%-B12</f>
        <v>#DIV/0!</v>
      </c>
      <c r="C13" s="210">
        <f t="shared" si="7"/>
        <v>0.9390996515781465</v>
      </c>
      <c r="D13" s="210">
        <f t="shared" si="7"/>
        <v>0.8290203463476079</v>
      </c>
      <c r="E13" s="210">
        <f t="shared" si="7"/>
        <v>0.8223307523785591</v>
      </c>
      <c r="F13" s="210">
        <f t="shared" si="7"/>
        <v>0.8156411584095105</v>
      </c>
      <c r="G13" s="210">
        <f t="shared" si="7"/>
        <v>0.8089515644404618</v>
      </c>
      <c r="H13" s="210">
        <f t="shared" si="7"/>
        <v>0.802261970471413</v>
      </c>
      <c r="I13" s="210">
        <f>100%-I12</f>
        <v>0.7956188320160382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showGridLines="0" zoomScalePageLayoutView="0" workbookViewId="0" topLeftCell="A1">
      <pane ySplit="4" topLeftCell="A8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4" customWidth="1"/>
    <col min="2" max="2" width="16.00390625" style="235" customWidth="1"/>
    <col min="3" max="3" width="13.625" style="236" customWidth="1"/>
    <col min="4" max="9" width="8.25390625" style="236" customWidth="1"/>
    <col min="10" max="10" width="6.875" style="236" customWidth="1"/>
    <col min="11" max="16384" width="9.125" style="236" customWidth="1"/>
  </cols>
  <sheetData>
    <row r="1" ht="13.5" customHeight="1">
      <c r="A1" s="251" t="s">
        <v>226</v>
      </c>
    </row>
    <row r="2" ht="13.5" customHeight="1">
      <c r="A2" s="251" t="s">
        <v>298</v>
      </c>
    </row>
    <row r="3" ht="13.5" customHeight="1"/>
    <row r="4" spans="1:3" ht="13.5" customHeight="1">
      <c r="A4" s="237" t="s">
        <v>198</v>
      </c>
      <c r="B4" s="238" t="s">
        <v>211</v>
      </c>
      <c r="C4" s="238" t="s">
        <v>168</v>
      </c>
    </row>
    <row r="5" spans="1:3" ht="13.5" customHeight="1">
      <c r="A5" s="239" t="s">
        <v>167</v>
      </c>
      <c r="B5" s="240">
        <f>'1-Ф3'!B20</f>
        <v>1825.719</v>
      </c>
      <c r="C5" s="246">
        <f>B5/$B$7</f>
        <v>0.6236657307807909</v>
      </c>
    </row>
    <row r="6" spans="1:3" ht="13.5" customHeight="1">
      <c r="A6" s="239" t="s">
        <v>166</v>
      </c>
      <c r="B6" s="240">
        <f>'1-Ф3'!B26-'1-Ф3'!B20</f>
        <v>1101.6809033333334</v>
      </c>
      <c r="C6" s="246">
        <f>B6/$B$7</f>
        <v>0.3763342692192091</v>
      </c>
    </row>
    <row r="7" spans="1:3" ht="13.5" customHeight="1">
      <c r="A7" s="241" t="s">
        <v>85</v>
      </c>
      <c r="B7" s="242">
        <f>SUM(B5:B6)</f>
        <v>2927.3999033333334</v>
      </c>
      <c r="C7" s="247">
        <f>SUM(C5:C6)</f>
        <v>1</v>
      </c>
    </row>
    <row r="8" spans="1:2" ht="13.5" customHeight="1">
      <c r="A8" s="243"/>
      <c r="B8" s="244"/>
    </row>
    <row r="9" spans="1:4" ht="13.5" customHeight="1">
      <c r="A9" s="237" t="s">
        <v>199</v>
      </c>
      <c r="B9" s="238" t="s">
        <v>154</v>
      </c>
      <c r="C9" s="238" t="s">
        <v>8</v>
      </c>
      <c r="D9" s="238" t="s">
        <v>168</v>
      </c>
    </row>
    <row r="10" spans="1:7" ht="13.5" customHeight="1">
      <c r="A10" s="239" t="s">
        <v>201</v>
      </c>
      <c r="B10" s="240">
        <f>'1-Ф3'!B27</f>
        <v>1101.6809033333334</v>
      </c>
      <c r="C10" s="245" t="s">
        <v>299</v>
      </c>
      <c r="D10" s="246">
        <f>B10/$B$12</f>
        <v>0.3763342692192091</v>
      </c>
      <c r="F10" s="257"/>
      <c r="G10" s="257"/>
    </row>
    <row r="11" spans="1:7" ht="12.75">
      <c r="A11" s="239" t="s">
        <v>102</v>
      </c>
      <c r="B11" s="240">
        <f>'1-Ф3'!B28</f>
        <v>1825.719</v>
      </c>
      <c r="C11" s="256" t="s">
        <v>244</v>
      </c>
      <c r="D11" s="246">
        <f>B11/$B$12</f>
        <v>0.6236657307807909</v>
      </c>
      <c r="F11" s="257"/>
      <c r="G11" s="257"/>
    </row>
    <row r="12" spans="1:4" ht="12.75">
      <c r="A12" s="241" t="s">
        <v>85</v>
      </c>
      <c r="B12" s="242">
        <f>SUM(B10:B11)</f>
        <v>2927.3999033333334</v>
      </c>
      <c r="C12" s="242"/>
      <c r="D12" s="247">
        <f>SUM(D10:D11)</f>
        <v>1</v>
      </c>
    </row>
    <row r="13" spans="1:2" ht="12.75">
      <c r="A13" s="248"/>
      <c r="B13" s="249"/>
    </row>
    <row r="14" spans="1:2" ht="12.75">
      <c r="A14" s="237" t="s">
        <v>148</v>
      </c>
      <c r="B14" s="238" t="s">
        <v>7</v>
      </c>
    </row>
    <row r="15" spans="1:2" ht="12.75">
      <c r="A15" s="239" t="s">
        <v>169</v>
      </c>
      <c r="B15" s="240" t="s">
        <v>170</v>
      </c>
    </row>
    <row r="16" spans="1:2" ht="12.75">
      <c r="A16" s="239" t="s">
        <v>171</v>
      </c>
      <c r="B16" s="246">
        <f>Исх!C39</f>
        <v>0.07</v>
      </c>
    </row>
    <row r="17" spans="1:2" ht="12.75">
      <c r="A17" s="239" t="s">
        <v>195</v>
      </c>
      <c r="B17" s="250">
        <f>Исх!C40</f>
        <v>7</v>
      </c>
    </row>
    <row r="18" spans="1:2" ht="12.75">
      <c r="A18" s="239" t="s">
        <v>172</v>
      </c>
      <c r="B18" s="240" t="s">
        <v>173</v>
      </c>
    </row>
    <row r="19" spans="1:2" ht="12.75">
      <c r="A19" s="239" t="s">
        <v>175</v>
      </c>
      <c r="B19" s="240">
        <f>Исх!C41</f>
        <v>6</v>
      </c>
    </row>
    <row r="20" spans="1:2" ht="12.75">
      <c r="A20" s="239" t="s">
        <v>176</v>
      </c>
      <c r="B20" s="240">
        <f>Исх!C42</f>
        <v>6</v>
      </c>
    </row>
    <row r="21" spans="1:2" ht="12.75">
      <c r="A21" s="239" t="s">
        <v>309</v>
      </c>
      <c r="B21" s="240" t="s">
        <v>174</v>
      </c>
    </row>
    <row r="22" ht="12.75"/>
    <row r="23" spans="1:9" ht="12.75">
      <c r="A23" s="254" t="s">
        <v>202</v>
      </c>
      <c r="B23" s="238">
        <v>2013</v>
      </c>
      <c r="C23" s="238">
        <v>2014</v>
      </c>
      <c r="D23" s="238">
        <v>2015</v>
      </c>
      <c r="E23" s="238">
        <v>2016</v>
      </c>
      <c r="F23" s="238">
        <v>2017</v>
      </c>
      <c r="G23" s="238">
        <v>2018</v>
      </c>
      <c r="H23" s="238">
        <v>2019</v>
      </c>
      <c r="I23" s="238">
        <v>2020</v>
      </c>
    </row>
    <row r="24" spans="1:9" ht="12.75">
      <c r="A24" s="264" t="s">
        <v>227</v>
      </c>
      <c r="B24" s="240">
        <f>'2-ф2'!P5</f>
        <v>0</v>
      </c>
      <c r="C24" s="240">
        <f>'2-ф2'!AC5</f>
        <v>2704</v>
      </c>
      <c r="D24" s="240">
        <f>'2-ф2'!AD5</f>
        <v>3042</v>
      </c>
      <c r="E24" s="240">
        <f>'2-ф2'!AE5</f>
        <v>3042</v>
      </c>
      <c r="F24" s="240">
        <f>'2-ф2'!AF5</f>
        <v>3042</v>
      </c>
      <c r="G24" s="240">
        <f>'2-ф2'!AG5</f>
        <v>3042</v>
      </c>
      <c r="H24" s="240">
        <f>'2-ф2'!AH5</f>
        <v>3042</v>
      </c>
      <c r="I24" s="240">
        <f>'2-ф2'!AI5</f>
        <v>3042</v>
      </c>
    </row>
    <row r="25" spans="1:9" ht="12.75">
      <c r="A25" s="264" t="s">
        <v>228</v>
      </c>
      <c r="B25" s="240">
        <f>'2-ф2'!P9</f>
        <v>0</v>
      </c>
      <c r="C25" s="240">
        <f>'2-ф2'!AC9</f>
        <v>2704</v>
      </c>
      <c r="D25" s="240">
        <f>'2-ф2'!AD9</f>
        <v>3042</v>
      </c>
      <c r="E25" s="240">
        <f>'2-ф2'!AE9</f>
        <v>3042</v>
      </c>
      <c r="F25" s="240">
        <f>'2-ф2'!AF9</f>
        <v>3042</v>
      </c>
      <c r="G25" s="240">
        <f>'2-ф2'!AG9</f>
        <v>3042</v>
      </c>
      <c r="H25" s="240">
        <f>'2-ф2'!AH9</f>
        <v>3042</v>
      </c>
      <c r="I25" s="240">
        <f>'2-ф2'!AI9</f>
        <v>3042</v>
      </c>
    </row>
    <row r="26" spans="1:9" ht="12.75">
      <c r="A26" s="264" t="s">
        <v>229</v>
      </c>
      <c r="B26" s="240">
        <f>'2-ф2'!P15</f>
        <v>-388.5270227777778</v>
      </c>
      <c r="C26" s="240">
        <f>'2-ф2'!AC15</f>
        <v>164.22287546602544</v>
      </c>
      <c r="D26" s="240">
        <f>'2-ф2'!AD15</f>
        <v>519.6684397439102</v>
      </c>
      <c r="E26" s="240">
        <f>'2-ф2'!AE15</f>
        <v>540.0181845977563</v>
      </c>
      <c r="F26" s="240">
        <f>'2-ф2'!AF15</f>
        <v>560.3679294516024</v>
      </c>
      <c r="G26" s="240">
        <f>'2-ф2'!AG15</f>
        <v>580.7176743054486</v>
      </c>
      <c r="H26" s="240">
        <f>'2-ф2'!AH15</f>
        <v>601.0674191592948</v>
      </c>
      <c r="I26" s="240">
        <f>'2-ф2'!AI15</f>
        <v>621.2758463405447</v>
      </c>
    </row>
    <row r="27" spans="1:9" ht="12.75">
      <c r="A27" s="264" t="s">
        <v>230</v>
      </c>
      <c r="B27" s="246"/>
      <c r="C27" s="246">
        <f aca="true" t="shared" si="0" ref="C27:I27">C26/C24</f>
        <v>0.06073331193270172</v>
      </c>
      <c r="D27" s="246">
        <f t="shared" si="0"/>
        <v>0.17083117677314602</v>
      </c>
      <c r="E27" s="246">
        <f t="shared" si="0"/>
        <v>0.17752077074219472</v>
      </c>
      <c r="F27" s="246">
        <f t="shared" si="0"/>
        <v>0.1842103647112434</v>
      </c>
      <c r="G27" s="246">
        <f t="shared" si="0"/>
        <v>0.1908999586802921</v>
      </c>
      <c r="H27" s="246">
        <f t="shared" si="0"/>
        <v>0.19758955264934083</v>
      </c>
      <c r="I27" s="246">
        <f t="shared" si="0"/>
        <v>0.20423269110471556</v>
      </c>
    </row>
    <row r="28" spans="1:9" ht="12.75">
      <c r="A28" s="265" t="s">
        <v>231</v>
      </c>
      <c r="B28" s="240">
        <f>'1-Ф3'!P33</f>
        <v>0</v>
      </c>
      <c r="C28" s="240">
        <f>'1-Ф3'!AC33</f>
        <v>957.0597021754268</v>
      </c>
      <c r="D28" s="240">
        <f>'1-Ф3'!AD33</f>
        <v>438.54767397467924</v>
      </c>
      <c r="E28" s="240">
        <f>'1-Ф3'!AE33</f>
        <v>458.89741882852525</v>
      </c>
      <c r="F28" s="240">
        <f>'1-Ф3'!AF33</f>
        <v>479.2471636823717</v>
      </c>
      <c r="G28" s="240">
        <f>'1-Ф3'!AG33</f>
        <v>499.5969085362177</v>
      </c>
      <c r="H28" s="240">
        <f>'1-Ф3'!AH33</f>
        <v>519.9466533900637</v>
      </c>
      <c r="I28" s="240">
        <f>'1-Ф3'!AI33</f>
        <v>588.6068540328522</v>
      </c>
    </row>
    <row r="29" ht="12.75"/>
    <row r="30" spans="1:3" ht="12.75">
      <c r="A30" s="254" t="s">
        <v>245</v>
      </c>
      <c r="B30" s="277" t="s">
        <v>213</v>
      </c>
      <c r="C30" s="272"/>
    </row>
    <row r="31" spans="1:3" ht="12.75">
      <c r="A31" s="239" t="s">
        <v>177</v>
      </c>
      <c r="B31" s="246">
        <f>'1-Ф3'!AQ47</f>
        <v>0.281073496124953</v>
      </c>
      <c r="C31" s="272"/>
    </row>
    <row r="32" spans="1:3" ht="12.75">
      <c r="A32" s="239" t="s">
        <v>178</v>
      </c>
      <c r="B32" s="240">
        <f>'1-Ф3'!AQ45</f>
        <v>1438.7484241904504</v>
      </c>
      <c r="C32" s="272"/>
    </row>
    <row r="33" spans="1:3" ht="12.75">
      <c r="A33" s="239" t="s">
        <v>246</v>
      </c>
      <c r="B33" s="250">
        <f>'1-Ф3'!AQ46</f>
        <v>1.5532426465959672</v>
      </c>
      <c r="C33" s="272"/>
    </row>
    <row r="34" spans="1:3" ht="12.75">
      <c r="A34" s="239" t="s">
        <v>179</v>
      </c>
      <c r="B34" s="250">
        <f>'1-Ф3'!B48</f>
        <v>3.017923566917497</v>
      </c>
      <c r="C34" s="272"/>
    </row>
    <row r="35" spans="1:3" ht="12.75">
      <c r="A35" s="239" t="s">
        <v>180</v>
      </c>
      <c r="B35" s="250">
        <f>'1-Ф3'!B49</f>
        <v>3.696287824421834</v>
      </c>
      <c r="C35" s="272"/>
    </row>
    <row r="37" ht="12.75">
      <c r="A37" s="251" t="s">
        <v>306</v>
      </c>
    </row>
    <row r="38" spans="1:2" ht="12.75">
      <c r="A38" s="278" t="s">
        <v>26</v>
      </c>
      <c r="B38" s="238" t="s">
        <v>7</v>
      </c>
    </row>
    <row r="39" spans="1:2" ht="12.75">
      <c r="A39" s="239" t="str">
        <f>Исх!A24</f>
        <v>Кол-во пчелиных семей</v>
      </c>
      <c r="B39" s="240">
        <f>Исх!C24</f>
        <v>60</v>
      </c>
    </row>
    <row r="40" spans="1:2" ht="12.75">
      <c r="A40" s="268" t="s">
        <v>300</v>
      </c>
      <c r="B40" s="269"/>
    </row>
    <row r="41" spans="1:2" ht="12.75">
      <c r="A41" s="239" t="str">
        <f>Исх!A26</f>
        <v>Мед</v>
      </c>
      <c r="B41" s="279">
        <f>Исх!C26</f>
        <v>36</v>
      </c>
    </row>
    <row r="42" spans="1:2" ht="12.75">
      <c r="A42" s="239" t="str">
        <f>Исх!A27</f>
        <v>Пчелиный воск</v>
      </c>
      <c r="B42" s="279">
        <f>Исх!C27</f>
        <v>1.25</v>
      </c>
    </row>
    <row r="43" spans="1:2" ht="12.75">
      <c r="A43" s="268" t="s">
        <v>303</v>
      </c>
      <c r="B43" s="269"/>
    </row>
    <row r="44" spans="1:2" ht="12.75">
      <c r="A44" s="266" t="str">
        <f>A41</f>
        <v>Мед</v>
      </c>
      <c r="B44" s="267">
        <f>Продукция!AC6</f>
        <v>2160</v>
      </c>
    </row>
    <row r="45" spans="1:2" ht="12.75">
      <c r="A45" s="266" t="str">
        <f>A42</f>
        <v>Пчелиный воск</v>
      </c>
      <c r="B45" s="267">
        <f>Продукция!AC7</f>
        <v>75</v>
      </c>
    </row>
    <row r="47" ht="12.75">
      <c r="A47" s="251" t="s">
        <v>181</v>
      </c>
    </row>
    <row r="48" spans="1:10" ht="12.75">
      <c r="A48" s="315" t="s">
        <v>234</v>
      </c>
      <c r="B48" s="317" t="s">
        <v>211</v>
      </c>
      <c r="C48" s="318"/>
      <c r="D48" s="318"/>
      <c r="E48" s="319"/>
      <c r="F48" s="320" t="s">
        <v>212</v>
      </c>
      <c r="G48" s="320"/>
      <c r="H48" s="320"/>
      <c r="I48" s="320"/>
      <c r="J48" s="320"/>
    </row>
    <row r="49" spans="1:10" ht="12.75">
      <c r="A49" s="316"/>
      <c r="B49" s="238" t="s">
        <v>249</v>
      </c>
      <c r="C49" s="238" t="s">
        <v>250</v>
      </c>
      <c r="D49" s="238" t="s">
        <v>251</v>
      </c>
      <c r="E49" s="238" t="s">
        <v>252</v>
      </c>
      <c r="F49" s="238" t="s">
        <v>253</v>
      </c>
      <c r="G49" s="238" t="s">
        <v>254</v>
      </c>
      <c r="H49" s="238" t="s">
        <v>255</v>
      </c>
      <c r="I49" s="238" t="s">
        <v>256</v>
      </c>
      <c r="J49" s="238" t="s">
        <v>191</v>
      </c>
    </row>
    <row r="50" spans="1:10" ht="12.75">
      <c r="A50" s="252" t="s">
        <v>235</v>
      </c>
      <c r="B50" s="253"/>
      <c r="C50" s="246"/>
      <c r="D50" s="246"/>
      <c r="E50" s="246"/>
      <c r="F50" s="246"/>
      <c r="G50" s="246"/>
      <c r="H50" s="246"/>
      <c r="I50" s="246"/>
      <c r="J50" s="246"/>
    </row>
    <row r="51" spans="1:10" ht="12.75">
      <c r="A51" s="239" t="s">
        <v>182</v>
      </c>
      <c r="B51" s="253"/>
      <c r="C51" s="253"/>
      <c r="D51" s="240"/>
      <c r="E51" s="240"/>
      <c r="F51" s="240"/>
      <c r="G51" s="240"/>
      <c r="H51" s="240"/>
      <c r="I51" s="240"/>
      <c r="J51" s="240"/>
    </row>
    <row r="52" spans="1:10" ht="12.75">
      <c r="A52" s="239" t="s">
        <v>183</v>
      </c>
      <c r="B52" s="240"/>
      <c r="C52" s="253"/>
      <c r="D52" s="240"/>
      <c r="E52" s="240"/>
      <c r="F52" s="240"/>
      <c r="G52" s="240"/>
      <c r="H52" s="240"/>
      <c r="I52" s="240"/>
      <c r="J52" s="240"/>
    </row>
    <row r="53" spans="1:10" ht="12.75">
      <c r="A53" s="239" t="s">
        <v>302</v>
      </c>
      <c r="B53" s="240"/>
      <c r="C53" s="253"/>
      <c r="D53" s="240"/>
      <c r="E53" s="240"/>
      <c r="F53" s="240"/>
      <c r="G53" s="240"/>
      <c r="H53" s="240"/>
      <c r="I53" s="240"/>
      <c r="J53" s="240"/>
    </row>
    <row r="54" spans="1:10" ht="12.75">
      <c r="A54" s="239" t="s">
        <v>236</v>
      </c>
      <c r="B54" s="240"/>
      <c r="C54" s="253"/>
      <c r="D54" s="253"/>
      <c r="E54" s="240"/>
      <c r="F54" s="240"/>
      <c r="G54" s="240"/>
      <c r="H54" s="240"/>
      <c r="I54" s="240"/>
      <c r="J54" s="240"/>
    </row>
    <row r="55" spans="1:10" ht="12.75">
      <c r="A55" s="239" t="s">
        <v>301</v>
      </c>
      <c r="B55" s="240"/>
      <c r="C55" s="240"/>
      <c r="D55" s="253"/>
      <c r="E55" s="240"/>
      <c r="F55" s="240"/>
      <c r="G55" s="240"/>
      <c r="H55" s="240"/>
      <c r="I55" s="240"/>
      <c r="J55" s="240"/>
    </row>
    <row r="56" spans="1:10" ht="12.75">
      <c r="A56" s="239" t="s">
        <v>248</v>
      </c>
      <c r="B56" s="240"/>
      <c r="C56" s="240"/>
      <c r="D56" s="240"/>
      <c r="E56" s="240"/>
      <c r="F56" s="240"/>
      <c r="G56" s="240"/>
      <c r="H56" s="240"/>
      <c r="I56" s="240"/>
      <c r="J56" s="253"/>
    </row>
    <row r="58" ht="12.75">
      <c r="A58" s="251" t="s">
        <v>247</v>
      </c>
    </row>
    <row r="60" spans="1:2" ht="12.75">
      <c r="A60" s="254" t="s">
        <v>188</v>
      </c>
      <c r="B60" s="255" t="s">
        <v>189</v>
      </c>
    </row>
    <row r="61" spans="1:2" ht="12.75" hidden="1">
      <c r="A61" s="239" t="s">
        <v>38</v>
      </c>
      <c r="B61" s="240">
        <f>'1-Ф3'!B16</f>
        <v>0</v>
      </c>
    </row>
    <row r="62" spans="1:2" ht="12.75">
      <c r="A62" s="239" t="s">
        <v>206</v>
      </c>
      <c r="B62" s="240">
        <f>'1-Ф3'!B15</f>
        <v>3.2369444444444446</v>
      </c>
    </row>
    <row r="63" spans="1:2" ht="12.75">
      <c r="A63" s="239" t="s">
        <v>187</v>
      </c>
      <c r="B63" s="240">
        <f>(ФОТ!F21+ФОТ!G21+ФОТ!H21+ФОТ!I21)*12*7</f>
        <v>1961.3160000000003</v>
      </c>
    </row>
    <row r="64" spans="1:2" ht="12.75">
      <c r="A64" s="239" t="s">
        <v>216</v>
      </c>
      <c r="B64" s="240">
        <f>SUM(Пост!C18:I18)*12</f>
        <v>42</v>
      </c>
    </row>
    <row r="65" spans="1:2" ht="12.75">
      <c r="A65" s="241" t="s">
        <v>0</v>
      </c>
      <c r="B65" s="242">
        <f>SUM(B61:B64)</f>
        <v>2006.5529444444446</v>
      </c>
    </row>
  </sheetData>
  <sheetProtection/>
  <mergeCells count="3">
    <mergeCell ref="A48:A49"/>
    <mergeCell ref="B48:E48"/>
    <mergeCell ref="F48:J48"/>
  </mergeCells>
  <printOptions/>
  <pageMargins left="0.31" right="0.2" top="0.51" bottom="1.31" header="0.33" footer="0.2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1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0" customWidth="1"/>
    <col min="2" max="2" width="11.375" style="80" customWidth="1"/>
    <col min="3" max="3" width="3.875" style="80" customWidth="1"/>
    <col min="4" max="4" width="7.125" style="80" hidden="1" customWidth="1" outlineLevel="1"/>
    <col min="5" max="5" width="8.25390625" style="80" hidden="1" customWidth="1" outlineLevel="1"/>
    <col min="6" max="11" width="7.00390625" style="80" hidden="1" customWidth="1" outlineLevel="1"/>
    <col min="12" max="12" width="8.75390625" style="80" hidden="1" customWidth="1" outlineLevel="1"/>
    <col min="13" max="13" width="7.875" style="80" hidden="1" customWidth="1" outlineLevel="1"/>
    <col min="14" max="15" width="8.625" style="80" hidden="1" customWidth="1" outlineLevel="1"/>
    <col min="16" max="16" width="9.125" style="80" customWidth="1" collapsed="1"/>
    <col min="17" max="28" width="8.375" style="80" hidden="1" customWidth="1" outlineLevel="1"/>
    <col min="29" max="29" width="9.125" style="80" customWidth="1" collapsed="1"/>
    <col min="30" max="30" width="9.125" style="80" customWidth="1"/>
    <col min="31" max="35" width="8.875" style="80" customWidth="1"/>
    <col min="36" max="16384" width="10.125" style="80" customWidth="1"/>
  </cols>
  <sheetData>
    <row r="1" spans="1:3" ht="21" customHeight="1">
      <c r="A1" s="60" t="s">
        <v>109</v>
      </c>
      <c r="B1" s="79"/>
      <c r="C1" s="79"/>
    </row>
    <row r="2" spans="1:3" ht="17.25" customHeight="1">
      <c r="A2" s="60"/>
      <c r="B2" s="12" t="str">
        <f>Исх!$C$9</f>
        <v>тыс.тг.</v>
      </c>
      <c r="C2" s="81"/>
    </row>
    <row r="3" spans="1:35" ht="12.75" customHeight="1">
      <c r="A3" s="290" t="s">
        <v>2</v>
      </c>
      <c r="B3" s="294" t="s">
        <v>85</v>
      </c>
      <c r="C3" s="85"/>
      <c r="D3" s="289">
        <v>2013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>
        <v>2014</v>
      </c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86">
        <f>Q3+1</f>
        <v>2015</v>
      </c>
      <c r="AE3" s="86">
        <f>AD3+1</f>
        <v>2016</v>
      </c>
      <c r="AF3" s="86">
        <f>AE3+1</f>
        <v>2017</v>
      </c>
      <c r="AG3" s="86">
        <f>AF3+1</f>
        <v>2018</v>
      </c>
      <c r="AH3" s="86">
        <f>AG3+1</f>
        <v>2019</v>
      </c>
      <c r="AI3" s="86">
        <f>AH3+1</f>
        <v>2020</v>
      </c>
    </row>
    <row r="4" spans="1:35" ht="12.75">
      <c r="A4" s="291"/>
      <c r="B4" s="294"/>
      <c r="C4" s="87"/>
      <c r="D4" s="88">
        <v>1</v>
      </c>
      <c r="E4" s="88">
        <f aca="true" t="shared" si="0" ref="E4:O4">D4+1</f>
        <v>2</v>
      </c>
      <c r="F4" s="88">
        <f t="shared" si="0"/>
        <v>3</v>
      </c>
      <c r="G4" s="88">
        <f t="shared" si="0"/>
        <v>4</v>
      </c>
      <c r="H4" s="88">
        <f t="shared" si="0"/>
        <v>5</v>
      </c>
      <c r="I4" s="88">
        <f t="shared" si="0"/>
        <v>6</v>
      </c>
      <c r="J4" s="88">
        <f t="shared" si="0"/>
        <v>7</v>
      </c>
      <c r="K4" s="88">
        <f t="shared" si="0"/>
        <v>8</v>
      </c>
      <c r="L4" s="88">
        <f t="shared" si="0"/>
        <v>9</v>
      </c>
      <c r="M4" s="88">
        <f t="shared" si="0"/>
        <v>10</v>
      </c>
      <c r="N4" s="88">
        <f t="shared" si="0"/>
        <v>11</v>
      </c>
      <c r="O4" s="88">
        <f t="shared" si="0"/>
        <v>12</v>
      </c>
      <c r="P4" s="84" t="s">
        <v>0</v>
      </c>
      <c r="Q4" s="88">
        <v>1</v>
      </c>
      <c r="R4" s="88">
        <f aca="true" t="shared" si="1" ref="R4:AB4">Q4+1</f>
        <v>2</v>
      </c>
      <c r="S4" s="88">
        <f t="shared" si="1"/>
        <v>3</v>
      </c>
      <c r="T4" s="88">
        <f t="shared" si="1"/>
        <v>4</v>
      </c>
      <c r="U4" s="88">
        <f t="shared" si="1"/>
        <v>5</v>
      </c>
      <c r="V4" s="88">
        <f t="shared" si="1"/>
        <v>6</v>
      </c>
      <c r="W4" s="88">
        <f t="shared" si="1"/>
        <v>7</v>
      </c>
      <c r="X4" s="88">
        <f t="shared" si="1"/>
        <v>8</v>
      </c>
      <c r="Y4" s="88">
        <f t="shared" si="1"/>
        <v>9</v>
      </c>
      <c r="Z4" s="88">
        <f t="shared" si="1"/>
        <v>10</v>
      </c>
      <c r="AA4" s="88">
        <f t="shared" si="1"/>
        <v>11</v>
      </c>
      <c r="AB4" s="88">
        <f t="shared" si="1"/>
        <v>12</v>
      </c>
      <c r="AC4" s="84" t="s">
        <v>0</v>
      </c>
      <c r="AD4" s="84" t="s">
        <v>110</v>
      </c>
      <c r="AE4" s="84" t="s">
        <v>110</v>
      </c>
      <c r="AF4" s="84" t="s">
        <v>110</v>
      </c>
      <c r="AG4" s="84" t="s">
        <v>110</v>
      </c>
      <c r="AH4" s="84" t="s">
        <v>110</v>
      </c>
      <c r="AI4" s="84" t="s">
        <v>110</v>
      </c>
    </row>
    <row r="5" spans="1:36" s="81" customFormat="1" ht="15" customHeight="1">
      <c r="A5" s="89" t="s">
        <v>304</v>
      </c>
      <c r="B5" s="90">
        <f>P5+AC5+AD5+AE5+AF5+AG5+AH5+AI5</f>
        <v>20956</v>
      </c>
      <c r="C5" s="91"/>
      <c r="D5" s="91">
        <f aca="true" t="shared" si="2" ref="D5:AI5">SUM(D6:D7)</f>
        <v>0</v>
      </c>
      <c r="E5" s="91">
        <f t="shared" si="2"/>
        <v>0</v>
      </c>
      <c r="F5" s="91">
        <f t="shared" si="2"/>
        <v>0</v>
      </c>
      <c r="G5" s="91">
        <f t="shared" si="2"/>
        <v>0</v>
      </c>
      <c r="H5" s="91">
        <f t="shared" si="2"/>
        <v>0</v>
      </c>
      <c r="I5" s="91">
        <f t="shared" si="2"/>
        <v>0</v>
      </c>
      <c r="J5" s="91">
        <f t="shared" si="2"/>
        <v>0</v>
      </c>
      <c r="K5" s="91">
        <f t="shared" si="2"/>
        <v>0</v>
      </c>
      <c r="L5" s="91">
        <f t="shared" si="2"/>
        <v>0</v>
      </c>
      <c r="M5" s="91">
        <f t="shared" si="2"/>
        <v>0</v>
      </c>
      <c r="N5" s="91">
        <f t="shared" si="2"/>
        <v>0</v>
      </c>
      <c r="O5" s="91">
        <f t="shared" si="2"/>
        <v>0</v>
      </c>
      <c r="P5" s="91">
        <f t="shared" si="2"/>
        <v>0</v>
      </c>
      <c r="Q5" s="91">
        <f t="shared" si="2"/>
        <v>0</v>
      </c>
      <c r="R5" s="91">
        <f t="shared" si="2"/>
        <v>0</v>
      </c>
      <c r="S5" s="91">
        <f t="shared" si="2"/>
        <v>0</v>
      </c>
      <c r="T5" s="91">
        <f t="shared" si="2"/>
        <v>0</v>
      </c>
      <c r="U5" s="91">
        <f t="shared" si="2"/>
        <v>338</v>
      </c>
      <c r="V5" s="91">
        <f t="shared" si="2"/>
        <v>338</v>
      </c>
      <c r="W5" s="91">
        <f t="shared" si="2"/>
        <v>338</v>
      </c>
      <c r="X5" s="91">
        <f t="shared" si="2"/>
        <v>338</v>
      </c>
      <c r="Y5" s="91">
        <f t="shared" si="2"/>
        <v>338</v>
      </c>
      <c r="Z5" s="91">
        <f t="shared" si="2"/>
        <v>338</v>
      </c>
      <c r="AA5" s="91">
        <f t="shared" si="2"/>
        <v>338</v>
      </c>
      <c r="AB5" s="91">
        <f t="shared" si="2"/>
        <v>338</v>
      </c>
      <c r="AC5" s="91">
        <f t="shared" si="2"/>
        <v>2704</v>
      </c>
      <c r="AD5" s="91">
        <f t="shared" si="2"/>
        <v>3042</v>
      </c>
      <c r="AE5" s="91">
        <f t="shared" si="2"/>
        <v>3042</v>
      </c>
      <c r="AF5" s="91">
        <f t="shared" si="2"/>
        <v>3042</v>
      </c>
      <c r="AG5" s="91">
        <f t="shared" si="2"/>
        <v>3042</v>
      </c>
      <c r="AH5" s="91">
        <f t="shared" si="2"/>
        <v>3042</v>
      </c>
      <c r="AI5" s="91">
        <f t="shared" si="2"/>
        <v>3042</v>
      </c>
      <c r="AJ5" s="92"/>
    </row>
    <row r="6" spans="1:36" s="81" customFormat="1" ht="12.75">
      <c r="A6" s="93" t="str">
        <f>Продукция!A10</f>
        <v>Мед</v>
      </c>
      <c r="B6" s="90">
        <f>P6+AC6+AD6+AE6+AF6+AG6+AH6</f>
        <v>15264</v>
      </c>
      <c r="C6" s="91"/>
      <c r="D6" s="94"/>
      <c r="E6" s="94"/>
      <c r="F6" s="94"/>
      <c r="G6" s="94"/>
      <c r="H6" s="94"/>
      <c r="I6" s="94"/>
      <c r="J6" s="94"/>
      <c r="K6" s="94">
        <f>Продукция!K10*Исх!$C29/1000</f>
        <v>0</v>
      </c>
      <c r="L6" s="94">
        <f>Продукция!L10*Исх!$C29/1000</f>
        <v>0</v>
      </c>
      <c r="M6" s="94">
        <f>Продукция!M10*Исх!$C29/1000</f>
        <v>0</v>
      </c>
      <c r="N6" s="94">
        <f>Продукция!N10*Исх!$C29/1000</f>
        <v>0</v>
      </c>
      <c r="O6" s="94">
        <f>Продукция!O10*Исх!$C29/1000</f>
        <v>0</v>
      </c>
      <c r="P6" s="91">
        <f>SUM(D6:O6)</f>
        <v>0</v>
      </c>
      <c r="Q6" s="94">
        <f>Продукция!Q10*Исх!$C29/1000</f>
        <v>0</v>
      </c>
      <c r="R6" s="94">
        <f>Продукция!R10*Исх!$C29/1000</f>
        <v>0</v>
      </c>
      <c r="S6" s="94">
        <f>Продукция!S10*Исх!$C29/1000</f>
        <v>0</v>
      </c>
      <c r="T6" s="94">
        <f>Продукция!T10*Исх!$C29/1000</f>
        <v>0</v>
      </c>
      <c r="U6" s="94">
        <f>Продукция!U10*Исх!$C29/1000</f>
        <v>288</v>
      </c>
      <c r="V6" s="94">
        <f>Продукция!V10*Исх!$C29/1000</f>
        <v>288</v>
      </c>
      <c r="W6" s="94">
        <f>Продукция!W10*Исх!$C29/1000</f>
        <v>288</v>
      </c>
      <c r="X6" s="94">
        <f>Продукция!X10*Исх!$C29/1000</f>
        <v>288</v>
      </c>
      <c r="Y6" s="94">
        <f>Продукция!Y10*Исх!$C29/1000</f>
        <v>288</v>
      </c>
      <c r="Z6" s="94">
        <f>Продукция!Z10*Исх!$C29/1000</f>
        <v>288</v>
      </c>
      <c r="AA6" s="94">
        <f>Продукция!AA10*Исх!$C29/1000</f>
        <v>288</v>
      </c>
      <c r="AB6" s="94">
        <f>Продукция!AB10*Исх!$C29/1000</f>
        <v>288</v>
      </c>
      <c r="AC6" s="91">
        <f>SUM(Q6:AB6)</f>
        <v>2304</v>
      </c>
      <c r="AD6" s="94">
        <f>Продукция!AD10*Исх!$C29/1000</f>
        <v>2592</v>
      </c>
      <c r="AE6" s="94">
        <f>Продукция!AE10*Исх!$C29/1000</f>
        <v>2592</v>
      </c>
      <c r="AF6" s="94">
        <f>Продукция!AF10*Исх!$C29/1000</f>
        <v>2592</v>
      </c>
      <c r="AG6" s="94">
        <f>Продукция!AG10*Исх!$C29/1000</f>
        <v>2592</v>
      </c>
      <c r="AH6" s="94">
        <f>Продукция!AH10*Исх!$C29/1000</f>
        <v>2592</v>
      </c>
      <c r="AI6" s="94">
        <f>Продукция!AI10*Исх!$C29/1000</f>
        <v>2592</v>
      </c>
      <c r="AJ6" s="92"/>
    </row>
    <row r="7" spans="1:36" s="81" customFormat="1" ht="12.75">
      <c r="A7" s="93" t="str">
        <f>Продукция!A11</f>
        <v>Пчелиный воск</v>
      </c>
      <c r="B7" s="90">
        <f>P7+AC7+AD7+AE7+AF7+AG7+AH7</f>
        <v>2650</v>
      </c>
      <c r="C7" s="91"/>
      <c r="D7" s="94"/>
      <c r="E7" s="94"/>
      <c r="F7" s="94"/>
      <c r="G7" s="94"/>
      <c r="H7" s="94"/>
      <c r="I7" s="94"/>
      <c r="J7" s="94"/>
      <c r="K7" s="94">
        <f>Продукция!K11*Исх!$C30/1000</f>
        <v>0</v>
      </c>
      <c r="L7" s="94">
        <f>Продукция!L11*Исх!$C30/1000</f>
        <v>0</v>
      </c>
      <c r="M7" s="94">
        <f>Продукция!M11*Исх!$C30/1000</f>
        <v>0</v>
      </c>
      <c r="N7" s="94">
        <f>Продукция!N11*Исх!$C30/1000</f>
        <v>0</v>
      </c>
      <c r="O7" s="94">
        <f>Продукция!O11*Исх!$C30/1000</f>
        <v>0</v>
      </c>
      <c r="P7" s="91">
        <f>SUM(D7:O7)</f>
        <v>0</v>
      </c>
      <c r="Q7" s="94">
        <f>Продукция!Q11*Исх!$C30/1000</f>
        <v>0</v>
      </c>
      <c r="R7" s="94">
        <f>Продукция!R11*Исх!$C30/1000</f>
        <v>0</v>
      </c>
      <c r="S7" s="94">
        <f>Продукция!S11*Исх!$C30/1000</f>
        <v>0</v>
      </c>
      <c r="T7" s="94">
        <f>Продукция!T11*Исх!$C30/1000</f>
        <v>0</v>
      </c>
      <c r="U7" s="94">
        <f>Продукция!U11*Исх!$C30/1000</f>
        <v>50</v>
      </c>
      <c r="V7" s="94">
        <f>Продукция!V11*Исх!$C30/1000</f>
        <v>50</v>
      </c>
      <c r="W7" s="94">
        <f>Продукция!W11*Исх!$C30/1000</f>
        <v>50</v>
      </c>
      <c r="X7" s="94">
        <f>Продукция!X11*Исх!$C30/1000</f>
        <v>50</v>
      </c>
      <c r="Y7" s="94">
        <f>Продукция!Y11*Исх!$C30/1000</f>
        <v>50</v>
      </c>
      <c r="Z7" s="94">
        <f>Продукция!Z11*Исх!$C30/1000</f>
        <v>50</v>
      </c>
      <c r="AA7" s="94">
        <f>Продукция!AA11*Исх!$C30/1000</f>
        <v>50</v>
      </c>
      <c r="AB7" s="94">
        <f>Продукция!AB11*Исх!$C30/1000</f>
        <v>50</v>
      </c>
      <c r="AC7" s="91">
        <f>SUM(Q7:AB7)</f>
        <v>400</v>
      </c>
      <c r="AD7" s="94">
        <f>Продукция!AD11*Исх!$C30/1000</f>
        <v>450</v>
      </c>
      <c r="AE7" s="94">
        <f>Продукция!AE11*Исх!$C30/1000</f>
        <v>450</v>
      </c>
      <c r="AF7" s="94">
        <f>Продукция!AF11*Исх!$C30/1000</f>
        <v>450</v>
      </c>
      <c r="AG7" s="94">
        <f>Продукция!AG11*Исх!$C30/1000</f>
        <v>450</v>
      </c>
      <c r="AH7" s="94">
        <f>Продукция!AH11*Исх!$C30/1000</f>
        <v>450</v>
      </c>
      <c r="AI7" s="94">
        <f>Продукция!AI11*Исх!$C30/1000</f>
        <v>450</v>
      </c>
      <c r="AJ7" s="92"/>
    </row>
    <row r="8" spans="1:35" ht="15" customHeight="1">
      <c r="A8" s="89" t="s">
        <v>305</v>
      </c>
      <c r="B8" s="90">
        <f aca="true" t="shared" si="3" ref="B8:B15">P8+AC8+AD8+AE8+AF8+AG8+AH8</f>
        <v>0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s="81" customFormat="1" ht="15" customHeight="1">
      <c r="A9" s="89" t="s">
        <v>15</v>
      </c>
      <c r="B9" s="90">
        <f t="shared" si="3"/>
        <v>17914</v>
      </c>
      <c r="C9" s="95"/>
      <c r="D9" s="91">
        <f aca="true" t="shared" si="4" ref="D9:AI9">D5-D8</f>
        <v>0</v>
      </c>
      <c r="E9" s="91">
        <f t="shared" si="4"/>
        <v>0</v>
      </c>
      <c r="F9" s="91">
        <f t="shared" si="4"/>
        <v>0</v>
      </c>
      <c r="G9" s="91">
        <f t="shared" si="4"/>
        <v>0</v>
      </c>
      <c r="H9" s="91">
        <f t="shared" si="4"/>
        <v>0</v>
      </c>
      <c r="I9" s="91">
        <f t="shared" si="4"/>
        <v>0</v>
      </c>
      <c r="J9" s="91">
        <f t="shared" si="4"/>
        <v>0</v>
      </c>
      <c r="K9" s="91">
        <f t="shared" si="4"/>
        <v>0</v>
      </c>
      <c r="L9" s="91">
        <f t="shared" si="4"/>
        <v>0</v>
      </c>
      <c r="M9" s="91">
        <f t="shared" si="4"/>
        <v>0</v>
      </c>
      <c r="N9" s="91">
        <f t="shared" si="4"/>
        <v>0</v>
      </c>
      <c r="O9" s="91">
        <f t="shared" si="4"/>
        <v>0</v>
      </c>
      <c r="P9" s="91">
        <f t="shared" si="4"/>
        <v>0</v>
      </c>
      <c r="Q9" s="91">
        <f t="shared" si="4"/>
        <v>0</v>
      </c>
      <c r="R9" s="91">
        <f t="shared" si="4"/>
        <v>0</v>
      </c>
      <c r="S9" s="91">
        <f t="shared" si="4"/>
        <v>0</v>
      </c>
      <c r="T9" s="91">
        <f t="shared" si="4"/>
        <v>0</v>
      </c>
      <c r="U9" s="91">
        <f t="shared" si="4"/>
        <v>338</v>
      </c>
      <c r="V9" s="91">
        <f t="shared" si="4"/>
        <v>338</v>
      </c>
      <c r="W9" s="91">
        <f t="shared" si="4"/>
        <v>338</v>
      </c>
      <c r="X9" s="91">
        <f t="shared" si="4"/>
        <v>338</v>
      </c>
      <c r="Y9" s="91">
        <f t="shared" si="4"/>
        <v>338</v>
      </c>
      <c r="Z9" s="91">
        <f t="shared" si="4"/>
        <v>338</v>
      </c>
      <c r="AA9" s="91">
        <f t="shared" si="4"/>
        <v>338</v>
      </c>
      <c r="AB9" s="91">
        <f t="shared" si="4"/>
        <v>338</v>
      </c>
      <c r="AC9" s="91">
        <f t="shared" si="4"/>
        <v>2704</v>
      </c>
      <c r="AD9" s="91">
        <f t="shared" si="4"/>
        <v>3042</v>
      </c>
      <c r="AE9" s="91">
        <f t="shared" si="4"/>
        <v>3042</v>
      </c>
      <c r="AF9" s="91">
        <f t="shared" si="4"/>
        <v>3042</v>
      </c>
      <c r="AG9" s="91">
        <f t="shared" si="4"/>
        <v>3042</v>
      </c>
      <c r="AH9" s="91">
        <f t="shared" si="4"/>
        <v>3042</v>
      </c>
      <c r="AI9" s="91">
        <f t="shared" si="4"/>
        <v>3042</v>
      </c>
    </row>
    <row r="10" spans="1:35" ht="15" customHeight="1">
      <c r="A10" s="96" t="s">
        <v>143</v>
      </c>
      <c r="B10" s="90">
        <f t="shared" si="3"/>
        <v>13584.61253</v>
      </c>
      <c r="C10" s="9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>
        <f>Пост!$C$13+Пост!$C$15+Пост!$C$18</f>
        <v>183.57584500000002</v>
      </c>
      <c r="O10" s="94">
        <f>Пост!$C$13+Пост!$C$15+Пост!$C$18</f>
        <v>183.57584500000002</v>
      </c>
      <c r="P10" s="91">
        <f aca="true" t="shared" si="5" ref="P10:P15">SUM(D10:O10)</f>
        <v>367.15169000000003</v>
      </c>
      <c r="Q10" s="94">
        <f>Пост!$D$13+Пост!$D$15+Пост!$D$18</f>
        <v>183.57584500000002</v>
      </c>
      <c r="R10" s="94">
        <f>Пост!$D$13+Пост!$D$15+Пост!$D$18</f>
        <v>183.57584500000002</v>
      </c>
      <c r="S10" s="94">
        <f>Пост!$D$13+Пост!$D$15+Пост!$D$18</f>
        <v>183.57584500000002</v>
      </c>
      <c r="T10" s="94">
        <f>Пост!$D$13+Пост!$D$15+Пост!$D$18</f>
        <v>183.57584500000002</v>
      </c>
      <c r="U10" s="94">
        <f>Пост!$D$13+Пост!$D$15+Пост!$D$18</f>
        <v>183.57584500000002</v>
      </c>
      <c r="V10" s="94">
        <f>Пост!$D$13+Пост!$D$15+Пост!$D$18</f>
        <v>183.57584500000002</v>
      </c>
      <c r="W10" s="94">
        <f>Пост!$D$13+Пост!$D$15+Пост!$D$18</f>
        <v>183.57584500000002</v>
      </c>
      <c r="X10" s="94">
        <f>Пост!$D$13+Пост!$D$15+Пост!$D$18</f>
        <v>183.57584500000002</v>
      </c>
      <c r="Y10" s="94">
        <f>Пост!$D$13+Пост!$D$15+Пост!$D$18</f>
        <v>183.57584500000002</v>
      </c>
      <c r="Z10" s="94">
        <f>Пост!$D$13+Пост!$D$15+Пост!$D$18</f>
        <v>183.57584500000002</v>
      </c>
      <c r="AA10" s="94">
        <f>Пост!$D$13+Пост!$D$15+Пост!$D$18</f>
        <v>183.57584500000002</v>
      </c>
      <c r="AB10" s="94">
        <f>Пост!$D$13+Пост!$D$15+Пост!$D$18</f>
        <v>183.57584500000002</v>
      </c>
      <c r="AC10" s="91">
        <f aca="true" t="shared" si="6" ref="AC10:AC15">SUM(Q10:AB10)</f>
        <v>2202.9101400000004</v>
      </c>
      <c r="AD10" s="94">
        <f>(Пост!E13+Пост!E15+Пост!E18)*12</f>
        <v>2202.91014</v>
      </c>
      <c r="AE10" s="94">
        <f>(Пост!F13+Пост!F15+Пост!F18)*12</f>
        <v>2202.91014</v>
      </c>
      <c r="AF10" s="94">
        <f>(Пост!G13+Пост!G15+Пост!G18)*12</f>
        <v>2202.91014</v>
      </c>
      <c r="AG10" s="94">
        <f>(Пост!H13+Пост!H15+Пост!H18)*12</f>
        <v>2202.91014</v>
      </c>
      <c r="AH10" s="94">
        <f>(Пост!I13+Пост!I15+Пост!I18)*12</f>
        <v>2202.91014</v>
      </c>
      <c r="AI10" s="94">
        <f>(Пост!J13+Пост!J15+Пост!J18)*12</f>
        <v>2202.91014</v>
      </c>
    </row>
    <row r="11" spans="1:35" ht="15" customHeight="1">
      <c r="A11" s="96" t="s">
        <v>74</v>
      </c>
      <c r="B11" s="90">
        <f t="shared" si="3"/>
        <v>1257.5392500000003</v>
      </c>
      <c r="C11" s="91"/>
      <c r="D11" s="94"/>
      <c r="E11" s="94"/>
      <c r="F11" s="94"/>
      <c r="G11" s="94"/>
      <c r="H11" s="94"/>
      <c r="I11" s="94"/>
      <c r="J11" s="94"/>
      <c r="K11" s="94"/>
      <c r="L11" s="94"/>
      <c r="M11" s="94">
        <f>Пост!$C$28/3</f>
        <v>0</v>
      </c>
      <c r="N11" s="94">
        <f>Пост!$C$28/3</f>
        <v>0</v>
      </c>
      <c r="O11" s="94">
        <f>Пост!$C$28/3</f>
        <v>0</v>
      </c>
      <c r="P11" s="91">
        <f t="shared" si="5"/>
        <v>0</v>
      </c>
      <c r="Q11" s="94">
        <f>Пост!$D$28/12</f>
        <v>17.465822916666667</v>
      </c>
      <c r="R11" s="94">
        <f>Пост!$D$28/12</f>
        <v>17.465822916666667</v>
      </c>
      <c r="S11" s="94">
        <f>Пост!$D$28/12</f>
        <v>17.465822916666667</v>
      </c>
      <c r="T11" s="94">
        <f>Пост!$D$28/12</f>
        <v>17.465822916666667</v>
      </c>
      <c r="U11" s="94">
        <f>Пост!$D$28/12</f>
        <v>17.465822916666667</v>
      </c>
      <c r="V11" s="94">
        <f>Пост!$D$28/12</f>
        <v>17.465822916666667</v>
      </c>
      <c r="W11" s="94">
        <f>Пост!$D$28/12</f>
        <v>17.465822916666667</v>
      </c>
      <c r="X11" s="94">
        <f>Пост!$D$28/12</f>
        <v>17.465822916666667</v>
      </c>
      <c r="Y11" s="94">
        <f>Пост!$D$28/12</f>
        <v>17.465822916666667</v>
      </c>
      <c r="Z11" s="94">
        <f>Пост!$D$28/12</f>
        <v>17.465822916666667</v>
      </c>
      <c r="AA11" s="94">
        <f>Пост!$D$28/12</f>
        <v>17.465822916666667</v>
      </c>
      <c r="AB11" s="94">
        <f>Пост!$D$28/12</f>
        <v>17.465822916666667</v>
      </c>
      <c r="AC11" s="91">
        <f t="shared" si="6"/>
        <v>209.589875</v>
      </c>
      <c r="AD11" s="94">
        <f>Пост!E28</f>
        <v>209.589875</v>
      </c>
      <c r="AE11" s="94">
        <f>Пост!F28</f>
        <v>209.589875</v>
      </c>
      <c r="AF11" s="94">
        <f>Пост!G28</f>
        <v>209.589875</v>
      </c>
      <c r="AG11" s="94">
        <f>Пост!H28</f>
        <v>209.589875</v>
      </c>
      <c r="AH11" s="94">
        <f>Пост!I28</f>
        <v>209.589875</v>
      </c>
      <c r="AI11" s="94">
        <f>Пост!J28</f>
        <v>209.589875</v>
      </c>
    </row>
    <row r="12" spans="1:35" ht="15" customHeight="1">
      <c r="A12" s="96" t="s">
        <v>25</v>
      </c>
      <c r="B12" s="90">
        <f t="shared" si="3"/>
        <v>491.5274422759623</v>
      </c>
      <c r="C12" s="91"/>
      <c r="D12" s="94">
        <f>кр!C9</f>
        <v>0</v>
      </c>
      <c r="E12" s="94">
        <f>кр!D9</f>
        <v>0</v>
      </c>
      <c r="F12" s="94">
        <f>кр!E9</f>
        <v>0</v>
      </c>
      <c r="G12" s="94">
        <f>кр!F9</f>
        <v>0</v>
      </c>
      <c r="H12" s="94">
        <f>кр!G9</f>
        <v>0</v>
      </c>
      <c r="I12" s="94">
        <f>кр!H9</f>
        <v>0</v>
      </c>
      <c r="J12" s="94">
        <f>кр!I9</f>
        <v>0</v>
      </c>
      <c r="K12" s="94">
        <f>кр!J9</f>
        <v>0</v>
      </c>
      <c r="L12" s="94">
        <f>кр!K9</f>
        <v>0</v>
      </c>
      <c r="M12" s="94">
        <f>кр!L9</f>
        <v>0</v>
      </c>
      <c r="N12" s="94">
        <f>кр!M9</f>
        <v>10.650027500000002</v>
      </c>
      <c r="O12" s="94">
        <f>кр!N9</f>
        <v>10.650027500000002</v>
      </c>
      <c r="P12" s="91">
        <f t="shared" si="5"/>
        <v>21.300055000000004</v>
      </c>
      <c r="Q12" s="94">
        <f>кр!P9</f>
        <v>10.650027500000002</v>
      </c>
      <c r="R12" s="94">
        <f>кр!Q9</f>
        <v>10.650027500000002</v>
      </c>
      <c r="S12" s="94">
        <f>кр!R9</f>
        <v>10.650027500000002</v>
      </c>
      <c r="T12" s="94">
        <f>кр!S9</f>
        <v>10.650027500000002</v>
      </c>
      <c r="U12" s="94">
        <f>кр!T9</f>
        <v>11.022778462500002</v>
      </c>
      <c r="V12" s="94">
        <f>кр!U9</f>
        <v>10.881460789903848</v>
      </c>
      <c r="W12" s="94">
        <f>кр!V9</f>
        <v>10.740143117307694</v>
      </c>
      <c r="X12" s="94">
        <f>кр!W9</f>
        <v>10.598825444711542</v>
      </c>
      <c r="Y12" s="94">
        <f>кр!X9</f>
        <v>10.457507772115388</v>
      </c>
      <c r="Z12" s="94">
        <f>кр!Y9</f>
        <v>10.316190099519234</v>
      </c>
      <c r="AA12" s="94">
        <f>кр!Z9</f>
        <v>10.17487242692308</v>
      </c>
      <c r="AB12" s="94">
        <f>кр!AA9</f>
        <v>10.033554754326927</v>
      </c>
      <c r="AC12" s="91">
        <f t="shared" si="6"/>
        <v>126.82544286730771</v>
      </c>
      <c r="AD12" s="94">
        <f>кр!AO9</f>
        <v>109.37987858942317</v>
      </c>
      <c r="AE12" s="94">
        <f>кр!BB9</f>
        <v>89.03013373557707</v>
      </c>
      <c r="AF12" s="94">
        <f>кр!BO9</f>
        <v>68.68038888173093</v>
      </c>
      <c r="AG12" s="94">
        <f>кр!CB9</f>
        <v>48.330644027884745</v>
      </c>
      <c r="AH12" s="94">
        <f>кр!CO9</f>
        <v>27.980899174038573</v>
      </c>
      <c r="AI12" s="94">
        <f>кр!DB9</f>
        <v>7.772471992788583</v>
      </c>
    </row>
    <row r="13" spans="1:35" ht="15" customHeight="1">
      <c r="A13" s="96" t="s">
        <v>220</v>
      </c>
      <c r="B13" s="90">
        <f t="shared" si="3"/>
        <v>2580.320777724038</v>
      </c>
      <c r="C13" s="95"/>
      <c r="D13" s="94">
        <f>D9-D10-D12-D11</f>
        <v>0</v>
      </c>
      <c r="E13" s="94">
        <f aca="true" t="shared" si="7" ref="E13:O13">E9-E10-E12-E11</f>
        <v>0</v>
      </c>
      <c r="F13" s="94">
        <f t="shared" si="7"/>
        <v>0</v>
      </c>
      <c r="G13" s="94">
        <f t="shared" si="7"/>
        <v>0</v>
      </c>
      <c r="H13" s="94">
        <f t="shared" si="7"/>
        <v>0</v>
      </c>
      <c r="I13" s="94">
        <f t="shared" si="7"/>
        <v>0</v>
      </c>
      <c r="J13" s="94">
        <f t="shared" si="7"/>
        <v>0</v>
      </c>
      <c r="K13" s="94">
        <f t="shared" si="7"/>
        <v>0</v>
      </c>
      <c r="L13" s="94">
        <f t="shared" si="7"/>
        <v>0</v>
      </c>
      <c r="M13" s="94">
        <f t="shared" si="7"/>
        <v>0</v>
      </c>
      <c r="N13" s="94">
        <f t="shared" si="7"/>
        <v>-194.2258725</v>
      </c>
      <c r="O13" s="94">
        <f t="shared" si="7"/>
        <v>-194.2258725</v>
      </c>
      <c r="P13" s="91">
        <f t="shared" si="5"/>
        <v>-388.451745</v>
      </c>
      <c r="Q13" s="94">
        <f aca="true" t="shared" si="8" ref="Q13:AB13">Q9-Q10-Q12-Q11</f>
        <v>-211.69169541666668</v>
      </c>
      <c r="R13" s="94">
        <f t="shared" si="8"/>
        <v>-211.69169541666668</v>
      </c>
      <c r="S13" s="94">
        <f t="shared" si="8"/>
        <v>-211.69169541666668</v>
      </c>
      <c r="T13" s="94">
        <f t="shared" si="8"/>
        <v>-211.69169541666668</v>
      </c>
      <c r="U13" s="94">
        <f t="shared" si="8"/>
        <v>125.9355536208333</v>
      </c>
      <c r="V13" s="94">
        <f t="shared" si="8"/>
        <v>126.07687129342946</v>
      </c>
      <c r="W13" s="94">
        <f t="shared" si="8"/>
        <v>126.21818896602562</v>
      </c>
      <c r="X13" s="94">
        <f t="shared" si="8"/>
        <v>126.35950663862178</v>
      </c>
      <c r="Y13" s="94">
        <f t="shared" si="8"/>
        <v>126.50082431121794</v>
      </c>
      <c r="Z13" s="94">
        <f t="shared" si="8"/>
        <v>126.64214198381407</v>
      </c>
      <c r="AA13" s="94">
        <f t="shared" si="8"/>
        <v>126.78345965641023</v>
      </c>
      <c r="AB13" s="94">
        <f t="shared" si="8"/>
        <v>126.92477732900639</v>
      </c>
      <c r="AC13" s="91">
        <f t="shared" si="6"/>
        <v>164.6745421326921</v>
      </c>
      <c r="AD13" s="94">
        <f aca="true" t="shared" si="9" ref="AD13:AI13">AD9-AD10-AD12-AD11</f>
        <v>520.1201064105769</v>
      </c>
      <c r="AE13" s="94">
        <f t="shared" si="9"/>
        <v>540.469851264423</v>
      </c>
      <c r="AF13" s="94">
        <f t="shared" si="9"/>
        <v>560.8195961182691</v>
      </c>
      <c r="AG13" s="94">
        <f t="shared" si="9"/>
        <v>581.1693409721153</v>
      </c>
      <c r="AH13" s="94">
        <f t="shared" si="9"/>
        <v>601.5190858259615</v>
      </c>
      <c r="AI13" s="94">
        <f t="shared" si="9"/>
        <v>621.7275130072114</v>
      </c>
    </row>
    <row r="14" spans="1:35" ht="15" customHeight="1">
      <c r="A14" s="96" t="s">
        <v>206</v>
      </c>
      <c r="B14" s="90">
        <f t="shared" si="3"/>
        <v>2.785277777777778</v>
      </c>
      <c r="C14" s="91"/>
      <c r="D14" s="94">
        <f>IF(D13+C16&lt;0,0,IF(C16&lt;0,(C16+D13)*Исх!$C$21,D13*Исх!$C$21))</f>
        <v>0</v>
      </c>
      <c r="E14" s="94">
        <f>IF(E13+D16&lt;0,0,IF(D16&lt;0,(D16+E13)*Исх!$C$21,E13*Исх!$C$21))</f>
        <v>0</v>
      </c>
      <c r="F14" s="94">
        <f>IF(F13+E16&lt;0,0,IF(E16&lt;0,(E16+F13)*Исх!$C$21,F13*Исх!$C$21))</f>
        <v>0</v>
      </c>
      <c r="G14" s="94">
        <f>IF(G13+F16&lt;0,0,IF(F16&lt;0,(F16+G13)*Исх!$C$21,G13*Исх!$C$21))</f>
        <v>0</v>
      </c>
      <c r="H14" s="94">
        <f>IF(H13+G16&lt;0,0,IF(G16&lt;0,(G16+H13)*Исх!$C$21,H13*Исх!$C$21))</f>
        <v>0</v>
      </c>
      <c r="I14" s="94">
        <f>IF(I13+H16&lt;0,0,IF(H16&lt;0,(H16+I13)*Исх!$C$21,I13*Исх!$C$21))</f>
        <v>0</v>
      </c>
      <c r="J14" s="94">
        <f>IF(J13+I16&lt;0,0,IF(I16&lt;0,(I16+J13)*Исх!$C$21,J13*Исх!$C$21))</f>
        <v>0</v>
      </c>
      <c r="K14" s="94"/>
      <c r="L14" s="94"/>
      <c r="M14" s="94"/>
      <c r="N14" s="94">
        <f>Исх!$E$46/12</f>
        <v>0.037638888888888895</v>
      </c>
      <c r="O14" s="94">
        <f>Исх!$E$46/12</f>
        <v>0.037638888888888895</v>
      </c>
      <c r="P14" s="91">
        <f t="shared" si="5"/>
        <v>0.07527777777777779</v>
      </c>
      <c r="Q14" s="94">
        <f>Исх!$E$46/12</f>
        <v>0.037638888888888895</v>
      </c>
      <c r="R14" s="94">
        <f>Исх!$E$46/12</f>
        <v>0.037638888888888895</v>
      </c>
      <c r="S14" s="94">
        <f>Исх!$E$46/12</f>
        <v>0.037638888888888895</v>
      </c>
      <c r="T14" s="94">
        <f>Исх!$E$46/12</f>
        <v>0.037638888888888895</v>
      </c>
      <c r="U14" s="94">
        <f>Исх!$E$46/12</f>
        <v>0.037638888888888895</v>
      </c>
      <c r="V14" s="94">
        <f>Исх!$E$46/12</f>
        <v>0.037638888888888895</v>
      </c>
      <c r="W14" s="94">
        <f>Исх!$E$46/12</f>
        <v>0.037638888888888895</v>
      </c>
      <c r="X14" s="94">
        <f>Исх!$E$46/12</f>
        <v>0.037638888888888895</v>
      </c>
      <c r="Y14" s="94">
        <f>Исх!$E$46/12</f>
        <v>0.037638888888888895</v>
      </c>
      <c r="Z14" s="94">
        <f>Исх!$E$46/12</f>
        <v>0.037638888888888895</v>
      </c>
      <c r="AA14" s="94">
        <f>Исх!$E$46/12</f>
        <v>0.037638888888888895</v>
      </c>
      <c r="AB14" s="94">
        <f>Исх!$E$46/12</f>
        <v>0.037638888888888895</v>
      </c>
      <c r="AC14" s="91">
        <f t="shared" si="6"/>
        <v>0.4516666666666667</v>
      </c>
      <c r="AD14" s="94">
        <f>Исх!$E$46</f>
        <v>0.4516666666666667</v>
      </c>
      <c r="AE14" s="94">
        <f>Исх!$E$46</f>
        <v>0.4516666666666667</v>
      </c>
      <c r="AF14" s="94">
        <f>Исх!$E$46</f>
        <v>0.4516666666666667</v>
      </c>
      <c r="AG14" s="94">
        <f>Исх!$E$46</f>
        <v>0.4516666666666667</v>
      </c>
      <c r="AH14" s="94">
        <f>Исх!$E$46</f>
        <v>0.4516666666666667</v>
      </c>
      <c r="AI14" s="94">
        <f>Исх!$E$46</f>
        <v>0.4516666666666667</v>
      </c>
    </row>
    <row r="15" spans="1:35" s="81" customFormat="1" ht="15" customHeight="1">
      <c r="A15" s="89" t="s">
        <v>232</v>
      </c>
      <c r="B15" s="90">
        <f t="shared" si="3"/>
        <v>2577.5354999462597</v>
      </c>
      <c r="C15" s="95"/>
      <c r="D15" s="91">
        <f aca="true" t="shared" si="10" ref="D15:Q15">D13-D14</f>
        <v>0</v>
      </c>
      <c r="E15" s="91">
        <f>E13-E14</f>
        <v>0</v>
      </c>
      <c r="F15" s="91">
        <f t="shared" si="10"/>
        <v>0</v>
      </c>
      <c r="G15" s="91">
        <f t="shared" si="10"/>
        <v>0</v>
      </c>
      <c r="H15" s="91">
        <f t="shared" si="10"/>
        <v>0</v>
      </c>
      <c r="I15" s="91">
        <f t="shared" si="10"/>
        <v>0</v>
      </c>
      <c r="J15" s="91">
        <f t="shared" si="10"/>
        <v>0</v>
      </c>
      <c r="K15" s="91">
        <f t="shared" si="10"/>
        <v>0</v>
      </c>
      <c r="L15" s="91">
        <f t="shared" si="10"/>
        <v>0</v>
      </c>
      <c r="M15" s="91">
        <f t="shared" si="10"/>
        <v>0</v>
      </c>
      <c r="N15" s="91">
        <f t="shared" si="10"/>
        <v>-194.2635113888889</v>
      </c>
      <c r="O15" s="91">
        <f t="shared" si="10"/>
        <v>-194.2635113888889</v>
      </c>
      <c r="P15" s="91">
        <f t="shared" si="5"/>
        <v>-388.5270227777778</v>
      </c>
      <c r="Q15" s="91">
        <f t="shared" si="10"/>
        <v>-211.72933430555557</v>
      </c>
      <c r="R15" s="91">
        <f aca="true" t="shared" si="11" ref="R15:AF15">R13-R14</f>
        <v>-211.72933430555557</v>
      </c>
      <c r="S15" s="91">
        <f t="shared" si="11"/>
        <v>-211.72933430555557</v>
      </c>
      <c r="T15" s="91">
        <f t="shared" si="11"/>
        <v>-211.72933430555557</v>
      </c>
      <c r="U15" s="91">
        <f t="shared" si="11"/>
        <v>125.89791473194441</v>
      </c>
      <c r="V15" s="91">
        <f t="shared" si="11"/>
        <v>126.03923240454057</v>
      </c>
      <c r="W15" s="91">
        <f t="shared" si="11"/>
        <v>126.18055007713673</v>
      </c>
      <c r="X15" s="91">
        <f t="shared" si="11"/>
        <v>126.32186774973289</v>
      </c>
      <c r="Y15" s="91">
        <f t="shared" si="11"/>
        <v>126.46318542232905</v>
      </c>
      <c r="Z15" s="91">
        <f t="shared" si="11"/>
        <v>126.60450309492518</v>
      </c>
      <c r="AA15" s="91">
        <f t="shared" si="11"/>
        <v>126.74582076752134</v>
      </c>
      <c r="AB15" s="91">
        <f t="shared" si="11"/>
        <v>126.8871384401175</v>
      </c>
      <c r="AC15" s="91">
        <f t="shared" si="6"/>
        <v>164.22287546602544</v>
      </c>
      <c r="AD15" s="91">
        <f t="shared" si="11"/>
        <v>519.6684397439102</v>
      </c>
      <c r="AE15" s="91">
        <f t="shared" si="11"/>
        <v>540.0181845977563</v>
      </c>
      <c r="AF15" s="91">
        <f t="shared" si="11"/>
        <v>560.3679294516024</v>
      </c>
      <c r="AG15" s="91">
        <f>AG13-AG14</f>
        <v>580.7176743054486</v>
      </c>
      <c r="AH15" s="91">
        <f>AH13-AH14</f>
        <v>601.0674191592948</v>
      </c>
      <c r="AI15" s="91">
        <f>AI13-AI14</f>
        <v>621.2758463405447</v>
      </c>
    </row>
    <row r="16" spans="1:35" ht="15" customHeight="1">
      <c r="A16" s="96" t="s">
        <v>233</v>
      </c>
      <c r="B16" s="97">
        <f>AH16</f>
        <v>2577.5354999462597</v>
      </c>
      <c r="C16" s="98"/>
      <c r="D16" s="94">
        <f>C16+D15</f>
        <v>0</v>
      </c>
      <c r="E16" s="94">
        <f>D16+E15</f>
        <v>0</v>
      </c>
      <c r="F16" s="94">
        <f aca="true" t="shared" si="12" ref="F16:O16">E16+F15</f>
        <v>0</v>
      </c>
      <c r="G16" s="94">
        <f t="shared" si="12"/>
        <v>0</v>
      </c>
      <c r="H16" s="94">
        <f t="shared" si="12"/>
        <v>0</v>
      </c>
      <c r="I16" s="94">
        <f t="shared" si="12"/>
        <v>0</v>
      </c>
      <c r="J16" s="94">
        <f t="shared" si="12"/>
        <v>0</v>
      </c>
      <c r="K16" s="94">
        <f t="shared" si="12"/>
        <v>0</v>
      </c>
      <c r="L16" s="94">
        <f t="shared" si="12"/>
        <v>0</v>
      </c>
      <c r="M16" s="94">
        <f t="shared" si="12"/>
        <v>0</v>
      </c>
      <c r="N16" s="94">
        <f t="shared" si="12"/>
        <v>-194.2635113888889</v>
      </c>
      <c r="O16" s="94">
        <f t="shared" si="12"/>
        <v>-388.5270227777778</v>
      </c>
      <c r="P16" s="91">
        <f>O16</f>
        <v>-388.5270227777778</v>
      </c>
      <c r="Q16" s="94">
        <f>P16+Q15</f>
        <v>-600.2563570833333</v>
      </c>
      <c r="R16" s="94">
        <f aca="true" t="shared" si="13" ref="R16:AA16">Q16+R15</f>
        <v>-811.9856913888889</v>
      </c>
      <c r="S16" s="94">
        <f t="shared" si="13"/>
        <v>-1023.7150256944444</v>
      </c>
      <c r="T16" s="94">
        <f t="shared" si="13"/>
        <v>-1235.44436</v>
      </c>
      <c r="U16" s="94">
        <f t="shared" si="13"/>
        <v>-1109.5464452680555</v>
      </c>
      <c r="V16" s="94">
        <f t="shared" si="13"/>
        <v>-983.507212863515</v>
      </c>
      <c r="W16" s="94">
        <f t="shared" si="13"/>
        <v>-857.3266627863782</v>
      </c>
      <c r="X16" s="94">
        <f t="shared" si="13"/>
        <v>-731.0047950366453</v>
      </c>
      <c r="Y16" s="94">
        <f t="shared" si="13"/>
        <v>-604.5416096143163</v>
      </c>
      <c r="Z16" s="94">
        <f t="shared" si="13"/>
        <v>-477.9371065193911</v>
      </c>
      <c r="AA16" s="94">
        <f t="shared" si="13"/>
        <v>-351.1912857518697</v>
      </c>
      <c r="AB16" s="94">
        <f>AA16+AB15</f>
        <v>-224.30414731175222</v>
      </c>
      <c r="AC16" s="91">
        <f>AB16</f>
        <v>-224.30414731175222</v>
      </c>
      <c r="AD16" s="94">
        <f aca="true" t="shared" si="14" ref="AD16:AI16">AC16+AD15</f>
        <v>295.364292432158</v>
      </c>
      <c r="AE16" s="94">
        <f t="shared" si="14"/>
        <v>835.3824770299143</v>
      </c>
      <c r="AF16" s="94">
        <f t="shared" si="14"/>
        <v>1395.7504064815166</v>
      </c>
      <c r="AG16" s="94">
        <f t="shared" si="14"/>
        <v>1976.4680807869652</v>
      </c>
      <c r="AH16" s="94">
        <f t="shared" si="14"/>
        <v>2577.5354999462597</v>
      </c>
      <c r="AI16" s="94">
        <f t="shared" si="14"/>
        <v>3198.8113462868046</v>
      </c>
    </row>
    <row r="17" spans="1:178" ht="15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</row>
    <row r="18" spans="1:178" ht="15" customHeight="1">
      <c r="A18" s="82"/>
      <c r="B18" s="100"/>
      <c r="C18" s="100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</row>
    <row r="19" spans="1:178" ht="1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</row>
    <row r="20" spans="1:35" ht="12.75" hidden="1">
      <c r="A20" s="101" t="s">
        <v>50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48" s="105" customFormat="1" ht="12.75" hidden="1">
      <c r="A21" s="292" t="s">
        <v>2</v>
      </c>
      <c r="B21" s="295" t="s">
        <v>0</v>
      </c>
      <c r="C21" s="102"/>
      <c r="D21" s="286">
        <f>D3</f>
        <v>2013</v>
      </c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8"/>
      <c r="Q21" s="286">
        <f>Q3</f>
        <v>2014</v>
      </c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8"/>
      <c r="AD21" s="103">
        <f aca="true" t="shared" si="15" ref="AD21:AI21">AD3</f>
        <v>2015</v>
      </c>
      <c r="AE21" s="103">
        <f t="shared" si="15"/>
        <v>2016</v>
      </c>
      <c r="AF21" s="103">
        <f t="shared" si="15"/>
        <v>2017</v>
      </c>
      <c r="AG21" s="103">
        <f t="shared" si="15"/>
        <v>2018</v>
      </c>
      <c r="AH21" s="103">
        <f t="shared" si="15"/>
        <v>2019</v>
      </c>
      <c r="AI21" s="103">
        <f t="shared" si="15"/>
        <v>2020</v>
      </c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</row>
    <row r="22" spans="1:48" s="105" customFormat="1" ht="19.5" customHeight="1" hidden="1">
      <c r="A22" s="293"/>
      <c r="B22" s="296"/>
      <c r="C22" s="106"/>
      <c r="D22" s="107">
        <f>D4</f>
        <v>1</v>
      </c>
      <c r="E22" s="107">
        <f aca="true" t="shared" si="16" ref="E22:O22">E4</f>
        <v>2</v>
      </c>
      <c r="F22" s="107">
        <f t="shared" si="16"/>
        <v>3</v>
      </c>
      <c r="G22" s="107">
        <f t="shared" si="16"/>
        <v>4</v>
      </c>
      <c r="H22" s="107">
        <f t="shared" si="16"/>
        <v>5</v>
      </c>
      <c r="I22" s="107">
        <f t="shared" si="16"/>
        <v>6</v>
      </c>
      <c r="J22" s="107">
        <f t="shared" si="16"/>
        <v>7</v>
      </c>
      <c r="K22" s="107">
        <f t="shared" si="16"/>
        <v>8</v>
      </c>
      <c r="L22" s="107">
        <f t="shared" si="16"/>
        <v>9</v>
      </c>
      <c r="M22" s="107">
        <f t="shared" si="16"/>
        <v>10</v>
      </c>
      <c r="N22" s="107">
        <f t="shared" si="16"/>
        <v>11</v>
      </c>
      <c r="O22" s="107">
        <f t="shared" si="16"/>
        <v>12</v>
      </c>
      <c r="P22" s="108" t="s">
        <v>0</v>
      </c>
      <c r="Q22" s="107">
        <f>Q4</f>
        <v>1</v>
      </c>
      <c r="R22" s="107">
        <f aca="true" t="shared" si="17" ref="R22:AB22">R4</f>
        <v>2</v>
      </c>
      <c r="S22" s="107">
        <f t="shared" si="17"/>
        <v>3</v>
      </c>
      <c r="T22" s="107">
        <f t="shared" si="17"/>
        <v>4</v>
      </c>
      <c r="U22" s="107">
        <f t="shared" si="17"/>
        <v>5</v>
      </c>
      <c r="V22" s="107">
        <f t="shared" si="17"/>
        <v>6</v>
      </c>
      <c r="W22" s="107">
        <f t="shared" si="17"/>
        <v>7</v>
      </c>
      <c r="X22" s="107">
        <f t="shared" si="17"/>
        <v>8</v>
      </c>
      <c r="Y22" s="107">
        <f t="shared" si="17"/>
        <v>9</v>
      </c>
      <c r="Z22" s="107">
        <f t="shared" si="17"/>
        <v>10</v>
      </c>
      <c r="AA22" s="107">
        <f t="shared" si="17"/>
        <v>11</v>
      </c>
      <c r="AB22" s="107">
        <f t="shared" si="17"/>
        <v>12</v>
      </c>
      <c r="AC22" s="108" t="s">
        <v>0</v>
      </c>
      <c r="AD22" s="108"/>
      <c r="AE22" s="108"/>
      <c r="AF22" s="108"/>
      <c r="AG22" s="108"/>
      <c r="AH22" s="108"/>
      <c r="AI22" s="108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</row>
    <row r="23" spans="1:48" s="105" customFormat="1" ht="12.75" hidden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</row>
    <row r="24" spans="1:48" s="105" customFormat="1" ht="12.75" hidden="1">
      <c r="A24" s="109" t="s">
        <v>161</v>
      </c>
      <c r="B24" s="97">
        <f>P24+AC24+AD24+AE24+AF24+AG24+AH24</f>
        <v>0</v>
      </c>
      <c r="C24" s="111"/>
      <c r="D24" s="111">
        <f aca="true" t="shared" si="18" ref="D24:O24">D5*ндс</f>
        <v>0</v>
      </c>
      <c r="E24" s="111">
        <f t="shared" si="18"/>
        <v>0</v>
      </c>
      <c r="F24" s="111">
        <f t="shared" si="18"/>
        <v>0</v>
      </c>
      <c r="G24" s="111">
        <f t="shared" si="18"/>
        <v>0</v>
      </c>
      <c r="H24" s="111">
        <f t="shared" si="18"/>
        <v>0</v>
      </c>
      <c r="I24" s="111">
        <f t="shared" si="18"/>
        <v>0</v>
      </c>
      <c r="J24" s="111">
        <f t="shared" si="18"/>
        <v>0</v>
      </c>
      <c r="K24" s="111">
        <f t="shared" si="18"/>
        <v>0</v>
      </c>
      <c r="L24" s="111">
        <f t="shared" si="18"/>
        <v>0</v>
      </c>
      <c r="M24" s="111">
        <f t="shared" si="18"/>
        <v>0</v>
      </c>
      <c r="N24" s="111">
        <f t="shared" si="18"/>
        <v>0</v>
      </c>
      <c r="O24" s="111">
        <f t="shared" si="18"/>
        <v>0</v>
      </c>
      <c r="P24" s="112">
        <f>SUM(D24:O24)</f>
        <v>0</v>
      </c>
      <c r="Q24" s="111">
        <f aca="true" t="shared" si="19" ref="Q24:AB24">Q5*ндс</f>
        <v>0</v>
      </c>
      <c r="R24" s="111">
        <f t="shared" si="19"/>
        <v>0</v>
      </c>
      <c r="S24" s="111">
        <f t="shared" si="19"/>
        <v>0</v>
      </c>
      <c r="T24" s="111">
        <f t="shared" si="19"/>
        <v>0</v>
      </c>
      <c r="U24" s="111">
        <f t="shared" si="19"/>
        <v>0</v>
      </c>
      <c r="V24" s="111">
        <f t="shared" si="19"/>
        <v>0</v>
      </c>
      <c r="W24" s="111">
        <f t="shared" si="19"/>
        <v>0</v>
      </c>
      <c r="X24" s="111">
        <f t="shared" si="19"/>
        <v>0</v>
      </c>
      <c r="Y24" s="111">
        <f t="shared" si="19"/>
        <v>0</v>
      </c>
      <c r="Z24" s="111">
        <f t="shared" si="19"/>
        <v>0</v>
      </c>
      <c r="AA24" s="111">
        <f t="shared" si="19"/>
        <v>0</v>
      </c>
      <c r="AB24" s="111">
        <f t="shared" si="19"/>
        <v>0</v>
      </c>
      <c r="AC24" s="112">
        <f>SUM(Q24:AB24)</f>
        <v>0</v>
      </c>
      <c r="AD24" s="111">
        <f aca="true" t="shared" si="20" ref="AD24:AI24">AD5*ндс</f>
        <v>0</v>
      </c>
      <c r="AE24" s="111">
        <f t="shared" si="20"/>
        <v>0</v>
      </c>
      <c r="AF24" s="111">
        <f t="shared" si="20"/>
        <v>0</v>
      </c>
      <c r="AG24" s="111">
        <f t="shared" si="20"/>
        <v>0</v>
      </c>
      <c r="AH24" s="111">
        <f t="shared" si="20"/>
        <v>0</v>
      </c>
      <c r="AI24" s="111">
        <f t="shared" si="20"/>
        <v>0</v>
      </c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</row>
    <row r="25" spans="1:48" s="105" customFormat="1" ht="12.75" hidden="1">
      <c r="A25" s="109" t="s">
        <v>162</v>
      </c>
      <c r="B25" s="97">
        <f>P25+AC25+AD25+AE25+AF25+AG25+AH25</f>
        <v>0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>
        <f>(N8+N10-Пост!$C$6-Пост!$C$15-Пост!$C$18)*ндс</f>
        <v>0</v>
      </c>
      <c r="O25" s="111"/>
      <c r="P25" s="112">
        <f>SUM(D25:O25)</f>
        <v>0</v>
      </c>
      <c r="Q25" s="111">
        <f>(Q8+Q10-Пост!$D$6-Пост!$D$15-Пост!$D$18)*ндс</f>
        <v>0</v>
      </c>
      <c r="R25" s="111">
        <f>(R8+R10-Пост!$D$6-Пост!$D$15-Пост!$D$18)*ндс</f>
        <v>0</v>
      </c>
      <c r="S25" s="111">
        <f>(S8+S10-Пост!$D$6-Пост!$D$15-Пост!$D$18)*ндс</f>
        <v>0</v>
      </c>
      <c r="T25" s="111">
        <f>(T8+T10-Пост!$D$6-Пост!$D$15-Пост!$D$18)*ндс</f>
        <v>0</v>
      </c>
      <c r="U25" s="111">
        <f>(U8+U10-Пост!$D$6-Пост!$D$15-Пост!$D$18)*ндс</f>
        <v>0</v>
      </c>
      <c r="V25" s="111">
        <f>(V8+V10-Пост!$D$6-Пост!$D$15-Пост!$D$18)*ндс</f>
        <v>0</v>
      </c>
      <c r="W25" s="111">
        <f>(W8+W10-Пост!$D$6-Пост!$D$15-Пост!$D$18)*ндс</f>
        <v>0</v>
      </c>
      <c r="X25" s="111">
        <f>(X8+X10-Пост!$D$6-Пост!$D$15-Пост!$D$18)*ндс</f>
        <v>0</v>
      </c>
      <c r="Y25" s="111">
        <f>(Y8+Y10-Пост!$D$6-Пост!$D$15-Пост!$D$18)*ндс</f>
        <v>0</v>
      </c>
      <c r="Z25" s="111">
        <f>(Z8+Z10-Пост!$D$6-Пост!$D$15-Пост!$D$18)*ндс</f>
        <v>0</v>
      </c>
      <c r="AA25" s="111">
        <f>(AA8+AA10-Пост!$D$6-Пост!$D$15-Пост!$D$18)*ндс</f>
        <v>0</v>
      </c>
      <c r="AB25" s="111">
        <f>(AB8+AB10-Пост!$D$6-Пост!$D$15-Пост!$D$18)*ндс</f>
        <v>0</v>
      </c>
      <c r="AC25" s="112">
        <f>SUM(Q25:AB25)</f>
        <v>0</v>
      </c>
      <c r="AD25" s="111">
        <f>(AD8+AD10-(Пост!E6+Пост!E15+Пост!E18)*12)*ндс</f>
        <v>0</v>
      </c>
      <c r="AE25" s="111">
        <f>(AE8+AE10-(Пост!F6+Пост!F15+Пост!F18)*12)*ндс</f>
        <v>0</v>
      </c>
      <c r="AF25" s="111">
        <f>(AF8+AF10-(Пост!G6+Пост!G15+Пост!G18)*12)*ндс</f>
        <v>0</v>
      </c>
      <c r="AG25" s="111">
        <f>(AG8+AG10-(Пост!H6+Пост!H15+Пост!H18)*12)*ндс</f>
        <v>0</v>
      </c>
      <c r="AH25" s="111">
        <f>(AH8+AH10-(Пост!I6+Пост!I15+Пост!I18)*12)*ндс</f>
        <v>0</v>
      </c>
      <c r="AI25" s="111">
        <f>(AI8+AI10-(Пост!J6+Пост!J15+Пост!J18)*12)*ндс</f>
        <v>0</v>
      </c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</row>
    <row r="26" spans="1:48" s="105" customFormat="1" ht="12.75" hidden="1">
      <c r="A26" s="109" t="s">
        <v>163</v>
      </c>
      <c r="B26" s="97">
        <f>P26+AC26+AD26+AE26+AF26+AG26+AH26</f>
        <v>0</v>
      </c>
      <c r="C26" s="111"/>
      <c r="D26" s="111">
        <f>Инв!E25/Исх!$C$20*ндс</f>
        <v>0</v>
      </c>
      <c r="E26" s="111">
        <f>Инв!F25/Исх!$C$20*ндс</f>
        <v>0</v>
      </c>
      <c r="F26" s="111">
        <f>Инв!G25/Исх!$C$20*ндс</f>
        <v>0</v>
      </c>
      <c r="G26" s="111">
        <f>Инв!H25/Исх!$C$20*ндс</f>
        <v>0</v>
      </c>
      <c r="H26" s="111">
        <f>Инв!I25/Исх!$C$20*ндс</f>
        <v>0</v>
      </c>
      <c r="I26" s="111">
        <f>Инв!J25/Исх!$C$20*ндс</f>
        <v>0</v>
      </c>
      <c r="J26" s="111">
        <f>Инв!K25/Исх!$C$20*ндс</f>
        <v>0</v>
      </c>
      <c r="K26" s="111">
        <f>Инв!L25/Исх!$C$20*ндс</f>
        <v>0</v>
      </c>
      <c r="L26" s="111">
        <f>Инв!M25/Исх!$C$20*ндс</f>
        <v>0</v>
      </c>
      <c r="M26" s="111">
        <f>Инв!N25/Исх!$C$20*ндс</f>
        <v>0</v>
      </c>
      <c r="N26" s="111">
        <f>Инв!O25/Исх!$C$20*ндс</f>
        <v>0</v>
      </c>
      <c r="O26" s="111">
        <f>Инв!P25/Исх!$C$20*ндс</f>
        <v>0</v>
      </c>
      <c r="P26" s="112">
        <f>SUM(D26:O26)</f>
        <v>0</v>
      </c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112"/>
      <c r="AE26" s="112"/>
      <c r="AF26" s="112"/>
      <c r="AG26" s="112"/>
      <c r="AH26" s="112"/>
      <c r="AI26" s="112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48" s="105" customFormat="1" ht="12.75" hidden="1">
      <c r="A27" s="109" t="s">
        <v>28</v>
      </c>
      <c r="B27" s="97">
        <f>P27+AC27+AD27+AE27+AF27+AG27+AH27</f>
        <v>0</v>
      </c>
      <c r="C27" s="111"/>
      <c r="D27" s="111">
        <f>D24-D25-D26</f>
        <v>0</v>
      </c>
      <c r="E27" s="111">
        <f aca="true" t="shared" si="21" ref="E27:O27">E24-E25-E26</f>
        <v>0</v>
      </c>
      <c r="F27" s="111">
        <f t="shared" si="21"/>
        <v>0</v>
      </c>
      <c r="G27" s="111">
        <f t="shared" si="21"/>
        <v>0</v>
      </c>
      <c r="H27" s="111">
        <f t="shared" si="21"/>
        <v>0</v>
      </c>
      <c r="I27" s="111">
        <f t="shared" si="21"/>
        <v>0</v>
      </c>
      <c r="J27" s="111">
        <f t="shared" si="21"/>
        <v>0</v>
      </c>
      <c r="K27" s="111">
        <f t="shared" si="21"/>
        <v>0</v>
      </c>
      <c r="L27" s="111">
        <f t="shared" si="21"/>
        <v>0</v>
      </c>
      <c r="M27" s="111">
        <f t="shared" si="21"/>
        <v>0</v>
      </c>
      <c r="N27" s="111">
        <f t="shared" si="21"/>
        <v>0</v>
      </c>
      <c r="O27" s="111">
        <f t="shared" si="21"/>
        <v>0</v>
      </c>
      <c r="P27" s="112">
        <f>SUM(D27:O27)</f>
        <v>0</v>
      </c>
      <c r="Q27" s="111">
        <f aca="true" t="shared" si="22" ref="Q27:AB27">Q24-Q25-Q26</f>
        <v>0</v>
      </c>
      <c r="R27" s="111">
        <f t="shared" si="22"/>
        <v>0</v>
      </c>
      <c r="S27" s="111">
        <f t="shared" si="22"/>
        <v>0</v>
      </c>
      <c r="T27" s="111">
        <f t="shared" si="22"/>
        <v>0</v>
      </c>
      <c r="U27" s="111">
        <f t="shared" si="22"/>
        <v>0</v>
      </c>
      <c r="V27" s="111">
        <f t="shared" si="22"/>
        <v>0</v>
      </c>
      <c r="W27" s="111">
        <f t="shared" si="22"/>
        <v>0</v>
      </c>
      <c r="X27" s="111">
        <f t="shared" si="22"/>
        <v>0</v>
      </c>
      <c r="Y27" s="111">
        <f t="shared" si="22"/>
        <v>0</v>
      </c>
      <c r="Z27" s="111">
        <f t="shared" si="22"/>
        <v>0</v>
      </c>
      <c r="AA27" s="111">
        <f t="shared" si="22"/>
        <v>0</v>
      </c>
      <c r="AB27" s="111">
        <f t="shared" si="22"/>
        <v>0</v>
      </c>
      <c r="AC27" s="112">
        <f>SUM(Q27:AB27)</f>
        <v>0</v>
      </c>
      <c r="AD27" s="111">
        <f aca="true" t="shared" si="23" ref="AD27:AI27">AD24-AD25-AD26</f>
        <v>0</v>
      </c>
      <c r="AE27" s="111">
        <f t="shared" si="23"/>
        <v>0</v>
      </c>
      <c r="AF27" s="111">
        <f t="shared" si="23"/>
        <v>0</v>
      </c>
      <c r="AG27" s="111">
        <f t="shared" si="23"/>
        <v>0</v>
      </c>
      <c r="AH27" s="111">
        <f t="shared" si="23"/>
        <v>0</v>
      </c>
      <c r="AI27" s="111">
        <f t="shared" si="23"/>
        <v>0</v>
      </c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</row>
    <row r="28" spans="1:48" s="105" customFormat="1" ht="12.75" hidden="1">
      <c r="A28" s="109" t="s">
        <v>164</v>
      </c>
      <c r="B28" s="97">
        <f>AH28</f>
        <v>0</v>
      </c>
      <c r="C28" s="111"/>
      <c r="D28" s="111">
        <f>D27</f>
        <v>0</v>
      </c>
      <c r="E28" s="111">
        <f>D28+E27</f>
        <v>0</v>
      </c>
      <c r="F28" s="111">
        <f aca="true" t="shared" si="24" ref="F28:O28">E28+F27</f>
        <v>0</v>
      </c>
      <c r="G28" s="111">
        <f t="shared" si="24"/>
        <v>0</v>
      </c>
      <c r="H28" s="111">
        <f t="shared" si="24"/>
        <v>0</v>
      </c>
      <c r="I28" s="111">
        <f t="shared" si="24"/>
        <v>0</v>
      </c>
      <c r="J28" s="111">
        <f t="shared" si="24"/>
        <v>0</v>
      </c>
      <c r="K28" s="111">
        <f t="shared" si="24"/>
        <v>0</v>
      </c>
      <c r="L28" s="111">
        <f t="shared" si="24"/>
        <v>0</v>
      </c>
      <c r="M28" s="111">
        <f t="shared" si="24"/>
        <v>0</v>
      </c>
      <c r="N28" s="111">
        <f t="shared" si="24"/>
        <v>0</v>
      </c>
      <c r="O28" s="111">
        <f t="shared" si="24"/>
        <v>0</v>
      </c>
      <c r="P28" s="112">
        <f>O28</f>
        <v>0</v>
      </c>
      <c r="Q28" s="111">
        <f aca="true" t="shared" si="25" ref="Q28:AB28">P28+Q27</f>
        <v>0</v>
      </c>
      <c r="R28" s="111">
        <f t="shared" si="25"/>
        <v>0</v>
      </c>
      <c r="S28" s="111">
        <f t="shared" si="25"/>
        <v>0</v>
      </c>
      <c r="T28" s="111">
        <f t="shared" si="25"/>
        <v>0</v>
      </c>
      <c r="U28" s="111">
        <f t="shared" si="25"/>
        <v>0</v>
      </c>
      <c r="V28" s="111">
        <f t="shared" si="25"/>
        <v>0</v>
      </c>
      <c r="W28" s="111">
        <f t="shared" si="25"/>
        <v>0</v>
      </c>
      <c r="X28" s="111">
        <f t="shared" si="25"/>
        <v>0</v>
      </c>
      <c r="Y28" s="111">
        <f t="shared" si="25"/>
        <v>0</v>
      </c>
      <c r="Z28" s="111">
        <f t="shared" si="25"/>
        <v>0</v>
      </c>
      <c r="AA28" s="111">
        <f t="shared" si="25"/>
        <v>0</v>
      </c>
      <c r="AB28" s="111">
        <f t="shared" si="25"/>
        <v>0</v>
      </c>
      <c r="AC28" s="112">
        <f>AB28</f>
        <v>0</v>
      </c>
      <c r="AD28" s="111">
        <f aca="true" t="shared" si="26" ref="AD28:AI28">AC28+AD27</f>
        <v>0</v>
      </c>
      <c r="AE28" s="111">
        <f t="shared" si="26"/>
        <v>0</v>
      </c>
      <c r="AF28" s="111">
        <f t="shared" si="26"/>
        <v>0</v>
      </c>
      <c r="AG28" s="111">
        <f t="shared" si="26"/>
        <v>0</v>
      </c>
      <c r="AH28" s="111">
        <f t="shared" si="26"/>
        <v>0</v>
      </c>
      <c r="AI28" s="111">
        <f t="shared" si="26"/>
        <v>0</v>
      </c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</row>
    <row r="29" spans="1:48" s="105" customFormat="1" ht="12.75" hidden="1">
      <c r="A29" s="109" t="s">
        <v>165</v>
      </c>
      <c r="B29" s="97">
        <f>P29+AC29+AD29+AE29+AF29+AG29+AH29</f>
        <v>0</v>
      </c>
      <c r="C29" s="111"/>
      <c r="D29" s="111">
        <f>IF(C28+D27&gt;=0,IF(C28&lt;0,C28+D27,D27),0)</f>
        <v>0</v>
      </c>
      <c r="E29" s="111">
        <f aca="true" t="shared" si="27" ref="E29:AI29">IF(D28+E27&gt;=0,IF(D28&lt;0,D28+E27,E27),0)</f>
        <v>0</v>
      </c>
      <c r="F29" s="111">
        <f t="shared" si="27"/>
        <v>0</v>
      </c>
      <c r="G29" s="111">
        <f t="shared" si="27"/>
        <v>0</v>
      </c>
      <c r="H29" s="111">
        <f t="shared" si="27"/>
        <v>0</v>
      </c>
      <c r="I29" s="111">
        <f t="shared" si="27"/>
        <v>0</v>
      </c>
      <c r="J29" s="111">
        <f t="shared" si="27"/>
        <v>0</v>
      </c>
      <c r="K29" s="111">
        <f t="shared" si="27"/>
        <v>0</v>
      </c>
      <c r="L29" s="111">
        <f t="shared" si="27"/>
        <v>0</v>
      </c>
      <c r="M29" s="111">
        <f t="shared" si="27"/>
        <v>0</v>
      </c>
      <c r="N29" s="111">
        <f t="shared" si="27"/>
        <v>0</v>
      </c>
      <c r="O29" s="111">
        <f t="shared" si="27"/>
        <v>0</v>
      </c>
      <c r="P29" s="112">
        <f>SUM(D29:O29)</f>
        <v>0</v>
      </c>
      <c r="Q29" s="111">
        <f t="shared" si="27"/>
        <v>0</v>
      </c>
      <c r="R29" s="111">
        <f t="shared" si="27"/>
        <v>0</v>
      </c>
      <c r="S29" s="111">
        <f t="shared" si="27"/>
        <v>0</v>
      </c>
      <c r="T29" s="111">
        <f t="shared" si="27"/>
        <v>0</v>
      </c>
      <c r="U29" s="111">
        <f t="shared" si="27"/>
        <v>0</v>
      </c>
      <c r="V29" s="111">
        <f t="shared" si="27"/>
        <v>0</v>
      </c>
      <c r="W29" s="111">
        <f t="shared" si="27"/>
        <v>0</v>
      </c>
      <c r="X29" s="111">
        <f t="shared" si="27"/>
        <v>0</v>
      </c>
      <c r="Y29" s="111">
        <f t="shared" si="27"/>
        <v>0</v>
      </c>
      <c r="Z29" s="111">
        <f t="shared" si="27"/>
        <v>0</v>
      </c>
      <c r="AA29" s="111">
        <f t="shared" si="27"/>
        <v>0</v>
      </c>
      <c r="AB29" s="111">
        <f t="shared" si="27"/>
        <v>0</v>
      </c>
      <c r="AC29" s="112">
        <f>SUM(Q29:AB29)</f>
        <v>0</v>
      </c>
      <c r="AD29" s="111">
        <f t="shared" si="27"/>
        <v>0</v>
      </c>
      <c r="AE29" s="111">
        <f t="shared" si="27"/>
        <v>0</v>
      </c>
      <c r="AF29" s="111">
        <f t="shared" si="27"/>
        <v>0</v>
      </c>
      <c r="AG29" s="111">
        <f t="shared" si="27"/>
        <v>0</v>
      </c>
      <c r="AH29" s="111">
        <f t="shared" si="27"/>
        <v>0</v>
      </c>
      <c r="AI29" s="111">
        <f t="shared" si="27"/>
        <v>0</v>
      </c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</row>
    <row r="31" ht="12.75">
      <c r="B31" s="113"/>
    </row>
  </sheetData>
  <sheetProtection/>
  <mergeCells count="8">
    <mergeCell ref="Q21:AC21"/>
    <mergeCell ref="Q3:AC3"/>
    <mergeCell ref="A3:A4"/>
    <mergeCell ref="A21:A22"/>
    <mergeCell ref="B3:B4"/>
    <mergeCell ref="D21:P21"/>
    <mergeCell ref="B21:B22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P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L24" sqref="AL24"/>
    </sheetView>
  </sheetViews>
  <sheetFormatPr defaultColWidth="10.125" defaultRowHeight="12.75" outlineLevelCol="1"/>
  <cols>
    <col min="1" max="1" width="38.125" style="115" customWidth="1"/>
    <col min="2" max="2" width="2.375" style="115" customWidth="1"/>
    <col min="3" max="3" width="7.125" style="115" customWidth="1"/>
    <col min="4" max="4" width="11.375" style="115" hidden="1" customWidth="1" outlineLevel="1"/>
    <col min="5" max="11" width="7.375" style="115" hidden="1" customWidth="1" outlineLevel="1"/>
    <col min="12" max="12" width="8.00390625" style="115" hidden="1" customWidth="1" outlineLevel="1"/>
    <col min="13" max="13" width="7.875" style="115" hidden="1" customWidth="1" outlineLevel="1"/>
    <col min="14" max="15" width="8.125" style="115" hidden="1" customWidth="1" outlineLevel="1"/>
    <col min="16" max="16" width="9.875" style="115" customWidth="1" collapsed="1"/>
    <col min="17" max="23" width="8.375" style="115" hidden="1" customWidth="1" outlineLevel="1"/>
    <col min="24" max="25" width="8.75390625" style="115" hidden="1" customWidth="1" outlineLevel="1"/>
    <col min="26" max="26" width="8.625" style="115" hidden="1" customWidth="1" outlineLevel="1"/>
    <col min="27" max="27" width="9.00390625" style="115" hidden="1" customWidth="1" outlineLevel="1"/>
    <col min="28" max="28" width="9.125" style="115" hidden="1" customWidth="1" outlineLevel="1"/>
    <col min="29" max="29" width="10.125" style="115" customWidth="1" collapsed="1"/>
    <col min="30" max="30" width="9.875" style="115" customWidth="1"/>
    <col min="31" max="31" width="9.75390625" style="115" customWidth="1"/>
    <col min="32" max="32" width="9.625" style="115" customWidth="1"/>
    <col min="33" max="35" width="9.75390625" style="115" customWidth="1"/>
    <col min="36" max="16384" width="10.125" style="115" customWidth="1"/>
  </cols>
  <sheetData>
    <row r="1" spans="1:3" ht="12.75">
      <c r="A1" s="60" t="s">
        <v>112</v>
      </c>
      <c r="B1" s="114"/>
      <c r="C1" s="114"/>
    </row>
    <row r="2" spans="1:35" ht="17.25" customHeight="1">
      <c r="A2" s="60"/>
      <c r="C2" s="12" t="str">
        <f>Исх!$C$9</f>
        <v>тыс.тг.</v>
      </c>
      <c r="P2" s="116"/>
      <c r="AC2" s="116"/>
      <c r="AD2" s="116"/>
      <c r="AE2" s="116"/>
      <c r="AF2" s="116"/>
      <c r="AG2" s="116"/>
      <c r="AH2" s="116"/>
      <c r="AI2" s="116"/>
    </row>
    <row r="3" spans="1:35" ht="12.75" customHeight="1">
      <c r="A3" s="297" t="s">
        <v>2</v>
      </c>
      <c r="B3" s="299"/>
      <c r="C3" s="118"/>
      <c r="D3" s="300">
        <v>2013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>
        <v>2014</v>
      </c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119">
        <f>Q3+1</f>
        <v>2015</v>
      </c>
      <c r="AE3" s="119">
        <f>AD3+1</f>
        <v>2016</v>
      </c>
      <c r="AF3" s="119">
        <f>AE3+1</f>
        <v>2017</v>
      </c>
      <c r="AG3" s="119">
        <f>AF3+1</f>
        <v>2018</v>
      </c>
      <c r="AH3" s="119">
        <f>AG3+1</f>
        <v>2019</v>
      </c>
      <c r="AI3" s="119">
        <f>AH3+1</f>
        <v>2020</v>
      </c>
    </row>
    <row r="4" spans="1:35" ht="12.75">
      <c r="A4" s="298"/>
      <c r="B4" s="299"/>
      <c r="C4" s="120"/>
      <c r="D4" s="121">
        <v>1</v>
      </c>
      <c r="E4" s="121">
        <f>D4+1</f>
        <v>2</v>
      </c>
      <c r="F4" s="121">
        <f aca="true" t="shared" si="0" ref="F4:O4">E4+1</f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 t="shared" si="0"/>
        <v>10</v>
      </c>
      <c r="N4" s="121">
        <f t="shared" si="0"/>
        <v>11</v>
      </c>
      <c r="O4" s="121">
        <f t="shared" si="0"/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</row>
    <row r="5" spans="1:42" s="126" customFormat="1" ht="15" customHeight="1">
      <c r="A5" s="122" t="s">
        <v>113</v>
      </c>
      <c r="B5" s="123"/>
      <c r="C5" s="124">
        <f>C11+C6</f>
        <v>0</v>
      </c>
      <c r="D5" s="124">
        <f>D11+D6</f>
        <v>0</v>
      </c>
      <c r="E5" s="124">
        <f aca="true" t="shared" si="2" ref="E5:AH5">E11+E6</f>
        <v>0</v>
      </c>
      <c r="F5" s="124">
        <f t="shared" si="2"/>
        <v>0</v>
      </c>
      <c r="G5" s="124">
        <f t="shared" si="2"/>
        <v>0</v>
      </c>
      <c r="H5" s="124">
        <f t="shared" si="2"/>
        <v>0</v>
      </c>
      <c r="I5" s="124">
        <f t="shared" si="2"/>
        <v>0</v>
      </c>
      <c r="J5" s="124">
        <f t="shared" si="2"/>
        <v>0</v>
      </c>
      <c r="K5" s="124">
        <f t="shared" si="2"/>
        <v>0</v>
      </c>
      <c r="L5" s="124">
        <f t="shared" si="2"/>
        <v>0</v>
      </c>
      <c r="M5" s="124">
        <f t="shared" si="2"/>
        <v>1825.719</v>
      </c>
      <c r="N5" s="124">
        <f t="shared" si="2"/>
        <v>1825.719</v>
      </c>
      <c r="O5" s="124">
        <f t="shared" si="2"/>
        <v>1825.719</v>
      </c>
      <c r="P5" s="124">
        <f t="shared" si="2"/>
        <v>1825.719</v>
      </c>
      <c r="Q5" s="124">
        <f t="shared" si="2"/>
        <v>1808.2531770833334</v>
      </c>
      <c r="R5" s="124">
        <f t="shared" si="2"/>
        <v>1790.7873541666668</v>
      </c>
      <c r="S5" s="124">
        <f t="shared" si="2"/>
        <v>1773.3215312500001</v>
      </c>
      <c r="T5" s="124">
        <f t="shared" si="2"/>
        <v>1755.8557083333335</v>
      </c>
      <c r="U5" s="124">
        <f t="shared" si="2"/>
        <v>1857.5277363345087</v>
      </c>
      <c r="V5" s="124">
        <f t="shared" si="2"/>
        <v>1959.34108200828</v>
      </c>
      <c r="W5" s="124">
        <f t="shared" si="2"/>
        <v>2061.295745354648</v>
      </c>
      <c r="X5" s="124">
        <f t="shared" si="2"/>
        <v>2163.391726373611</v>
      </c>
      <c r="Y5" s="124">
        <f t="shared" si="2"/>
        <v>2265.629025065171</v>
      </c>
      <c r="Z5" s="124">
        <f t="shared" si="2"/>
        <v>2368.007641429327</v>
      </c>
      <c r="AA5" s="124">
        <f t="shared" si="2"/>
        <v>2470.5275754660793</v>
      </c>
      <c r="AB5" s="124">
        <f t="shared" si="2"/>
        <v>2573.1888271754274</v>
      </c>
      <c r="AC5" s="124">
        <f t="shared" si="2"/>
        <v>2573.1888271754274</v>
      </c>
      <c r="AD5" s="124">
        <f t="shared" si="2"/>
        <v>2802.1466261501064</v>
      </c>
      <c r="AE5" s="124">
        <f t="shared" si="2"/>
        <v>3051.4541699786314</v>
      </c>
      <c r="AF5" s="124">
        <f t="shared" si="2"/>
        <v>3321.111458661003</v>
      </c>
      <c r="AG5" s="124">
        <f t="shared" si="2"/>
        <v>3611.118492197221</v>
      </c>
      <c r="AH5" s="124">
        <f t="shared" si="2"/>
        <v>3921.4752705872843</v>
      </c>
      <c r="AI5" s="124">
        <f>AI11+AI6</f>
        <v>4300.492249620136</v>
      </c>
      <c r="AJ5" s="125"/>
      <c r="AK5" s="125"/>
      <c r="AL5" s="125"/>
      <c r="AM5" s="125"/>
      <c r="AN5" s="125"/>
      <c r="AO5" s="125"/>
      <c r="AP5" s="125"/>
    </row>
    <row r="6" spans="1:35" s="126" customFormat="1" ht="15" customHeight="1">
      <c r="A6" s="122" t="s">
        <v>114</v>
      </c>
      <c r="B6" s="123"/>
      <c r="C6" s="124">
        <f>SUM(C7:C10)</f>
        <v>0</v>
      </c>
      <c r="D6" s="124">
        <f>SUM(D7:D10)</f>
        <v>0</v>
      </c>
      <c r="E6" s="124">
        <f aca="true" t="shared" si="3" ref="E6:AH6">SUM(E7:E10)</f>
        <v>0</v>
      </c>
      <c r="F6" s="124">
        <f t="shared" si="3"/>
        <v>0</v>
      </c>
      <c r="G6" s="124">
        <f t="shared" si="3"/>
        <v>0</v>
      </c>
      <c r="H6" s="124">
        <f t="shared" si="3"/>
        <v>0</v>
      </c>
      <c r="I6" s="124">
        <f t="shared" si="3"/>
        <v>0</v>
      </c>
      <c r="J6" s="124">
        <f t="shared" si="3"/>
        <v>0</v>
      </c>
      <c r="K6" s="124">
        <f t="shared" si="3"/>
        <v>0</v>
      </c>
      <c r="L6" s="124">
        <f t="shared" si="3"/>
        <v>0</v>
      </c>
      <c r="M6" s="124">
        <f t="shared" si="3"/>
        <v>0</v>
      </c>
      <c r="N6" s="124">
        <f t="shared" si="3"/>
        <v>0</v>
      </c>
      <c r="O6" s="124">
        <f t="shared" si="3"/>
        <v>0</v>
      </c>
      <c r="P6" s="124">
        <f t="shared" si="3"/>
        <v>0</v>
      </c>
      <c r="Q6" s="124">
        <f t="shared" si="3"/>
        <v>0</v>
      </c>
      <c r="R6" s="124">
        <f t="shared" si="3"/>
        <v>0</v>
      </c>
      <c r="S6" s="124">
        <f t="shared" si="3"/>
        <v>0</v>
      </c>
      <c r="T6" s="124">
        <f t="shared" si="3"/>
        <v>0</v>
      </c>
      <c r="U6" s="124">
        <f t="shared" si="3"/>
        <v>119.13785091784185</v>
      </c>
      <c r="V6" s="124">
        <f t="shared" si="3"/>
        <v>238.41701950827985</v>
      </c>
      <c r="W6" s="124">
        <f t="shared" si="3"/>
        <v>357.83750577131406</v>
      </c>
      <c r="X6" s="124">
        <f t="shared" si="3"/>
        <v>477.3993097069444</v>
      </c>
      <c r="Y6" s="124">
        <f t="shared" si="3"/>
        <v>597.1024313151709</v>
      </c>
      <c r="Z6" s="124">
        <f t="shared" si="3"/>
        <v>716.9468705959935</v>
      </c>
      <c r="AA6" s="124">
        <f t="shared" si="3"/>
        <v>836.9326275494121</v>
      </c>
      <c r="AB6" s="124">
        <f t="shared" si="3"/>
        <v>957.059702175427</v>
      </c>
      <c r="AC6" s="124">
        <f t="shared" si="3"/>
        <v>957.059702175427</v>
      </c>
      <c r="AD6" s="124">
        <f t="shared" si="3"/>
        <v>1395.6073761501061</v>
      </c>
      <c r="AE6" s="124">
        <f t="shared" si="3"/>
        <v>1854.5047949786313</v>
      </c>
      <c r="AF6" s="124">
        <f t="shared" si="3"/>
        <v>2333.751958661003</v>
      </c>
      <c r="AG6" s="124">
        <f t="shared" si="3"/>
        <v>2833.3488671972204</v>
      </c>
      <c r="AH6" s="124">
        <f t="shared" si="3"/>
        <v>3353.295520587284</v>
      </c>
      <c r="AI6" s="124">
        <f>SUM(AI7:AI10)</f>
        <v>3941.9023746201356</v>
      </c>
    </row>
    <row r="7" spans="1:35" ht="15" customHeight="1">
      <c r="A7" s="127" t="s">
        <v>115</v>
      </c>
      <c r="B7" s="123"/>
      <c r="C7" s="128"/>
      <c r="D7" s="128">
        <f>'1-Ф3'!D34</f>
        <v>0</v>
      </c>
      <c r="E7" s="128">
        <f>'1-Ф3'!E34</f>
        <v>0</v>
      </c>
      <c r="F7" s="128">
        <f>'1-Ф3'!F34</f>
        <v>0</v>
      </c>
      <c r="G7" s="128">
        <f>'1-Ф3'!G34</f>
        <v>0</v>
      </c>
      <c r="H7" s="128">
        <f>'1-Ф3'!H34</f>
        <v>0</v>
      </c>
      <c r="I7" s="128">
        <f>'1-Ф3'!I34</f>
        <v>0</v>
      </c>
      <c r="J7" s="128">
        <f>'1-Ф3'!J34</f>
        <v>0</v>
      </c>
      <c r="K7" s="128">
        <f>'1-Ф3'!K34</f>
        <v>0</v>
      </c>
      <c r="L7" s="128">
        <f>'1-Ф3'!L34</f>
        <v>0</v>
      </c>
      <c r="M7" s="128">
        <f>'1-Ф3'!M34</f>
        <v>0</v>
      </c>
      <c r="N7" s="128">
        <f>'1-Ф3'!N34</f>
        <v>0</v>
      </c>
      <c r="O7" s="128">
        <f>'1-Ф3'!O34</f>
        <v>0</v>
      </c>
      <c r="P7" s="128">
        <f>'1-Ф3'!P34</f>
        <v>0</v>
      </c>
      <c r="Q7" s="128">
        <f>'1-Ф3'!Q34</f>
        <v>0</v>
      </c>
      <c r="R7" s="128">
        <f>'1-Ф3'!R34</f>
        <v>0</v>
      </c>
      <c r="S7" s="128">
        <f>'1-Ф3'!S34</f>
        <v>0</v>
      </c>
      <c r="T7" s="128">
        <f>'1-Ф3'!T34</f>
        <v>0</v>
      </c>
      <c r="U7" s="128">
        <f>'1-Ф3'!U34</f>
        <v>119.13785091784185</v>
      </c>
      <c r="V7" s="128">
        <f>'1-Ф3'!V34</f>
        <v>238.41701950827985</v>
      </c>
      <c r="W7" s="128">
        <f>'1-Ф3'!W34</f>
        <v>357.83750577131406</v>
      </c>
      <c r="X7" s="128">
        <f>'1-Ф3'!X34</f>
        <v>477.3993097069444</v>
      </c>
      <c r="Y7" s="128">
        <f>'1-Ф3'!Y34</f>
        <v>597.1024313151709</v>
      </c>
      <c r="Z7" s="128">
        <f>'1-Ф3'!Z34</f>
        <v>716.9468705959935</v>
      </c>
      <c r="AA7" s="128">
        <f>'1-Ф3'!AA34</f>
        <v>836.9326275494121</v>
      </c>
      <c r="AB7" s="128">
        <f>'1-Ф3'!AB34</f>
        <v>957.059702175427</v>
      </c>
      <c r="AC7" s="128">
        <f>'1-Ф3'!AC34</f>
        <v>957.059702175427</v>
      </c>
      <c r="AD7" s="128">
        <f>'1-Ф3'!AD34</f>
        <v>1395.6073761501061</v>
      </c>
      <c r="AE7" s="128">
        <f>'1-Ф3'!AE34</f>
        <v>1854.5047949786313</v>
      </c>
      <c r="AF7" s="128">
        <f>'1-Ф3'!AF34</f>
        <v>2333.751958661003</v>
      </c>
      <c r="AG7" s="128">
        <f>'1-Ф3'!AG34</f>
        <v>2833.3488671972204</v>
      </c>
      <c r="AH7" s="128">
        <f>'1-Ф3'!AH34</f>
        <v>3353.295520587284</v>
      </c>
      <c r="AI7" s="128">
        <f>'1-Ф3'!AI34</f>
        <v>3941.9023746201356</v>
      </c>
    </row>
    <row r="8" spans="1:35" ht="15" customHeight="1">
      <c r="A8" s="127" t="s">
        <v>116</v>
      </c>
      <c r="B8" s="123"/>
      <c r="C8" s="128"/>
      <c r="D8" s="128">
        <f>C8+'2-ф2'!D5-'1-Ф3'!D9/Исх!$C$20</f>
        <v>0</v>
      </c>
      <c r="E8" s="128">
        <f>D8+'2-ф2'!E5-'1-Ф3'!E9/Исх!$C$20</f>
        <v>0</v>
      </c>
      <c r="F8" s="128">
        <f>E8+'2-ф2'!F5-'1-Ф3'!F9/Исх!$C$20</f>
        <v>0</v>
      </c>
      <c r="G8" s="128">
        <f>F8+'2-ф2'!G5-'1-Ф3'!G9/Исх!$C$20</f>
        <v>0</v>
      </c>
      <c r="H8" s="128">
        <f>G8+'2-ф2'!H5-'1-Ф3'!H9/Исх!$C$20</f>
        <v>0</v>
      </c>
      <c r="I8" s="128">
        <f>H8+'2-ф2'!I5-'1-Ф3'!I9/Исх!$C$20</f>
        <v>0</v>
      </c>
      <c r="J8" s="128">
        <f>I8+'2-ф2'!J5-'1-Ф3'!J9/Исх!$C$20</f>
        <v>0</v>
      </c>
      <c r="K8" s="128">
        <f>J8+'2-ф2'!K5-'1-Ф3'!K9/Исх!$C$20</f>
        <v>0</v>
      </c>
      <c r="L8" s="128">
        <f>K8+'2-ф2'!L5-'1-Ф3'!L9/Исх!$C$20</f>
        <v>0</v>
      </c>
      <c r="M8" s="128">
        <f>L8+'2-ф2'!M5-'1-Ф3'!M9/Исх!$C$20</f>
        <v>0</v>
      </c>
      <c r="N8" s="128">
        <f>M8+'2-ф2'!N5-'1-Ф3'!N9/Исх!$C$20</f>
        <v>0</v>
      </c>
      <c r="O8" s="128">
        <f>N8+'2-ф2'!O5-'1-Ф3'!O9/Исх!$C$20</f>
        <v>0</v>
      </c>
      <c r="P8" s="128">
        <f>O8</f>
        <v>0</v>
      </c>
      <c r="Q8" s="128">
        <f>P8+'2-ф2'!Q5-'1-Ф3'!Q9/Исх!$C$20</f>
        <v>0</v>
      </c>
      <c r="R8" s="128">
        <f>Q8+'2-ф2'!R5-'1-Ф3'!R9/Исх!$C$20</f>
        <v>0</v>
      </c>
      <c r="S8" s="128">
        <f>R8+'2-ф2'!S5-'1-Ф3'!S9/Исх!$C$20</f>
        <v>0</v>
      </c>
      <c r="T8" s="128">
        <f>S8+'2-ф2'!T5-'1-Ф3'!T9/Исх!$C$20</f>
        <v>0</v>
      </c>
      <c r="U8" s="128">
        <f>T8+'2-ф2'!U5-'1-Ф3'!U9/Исх!$C$20</f>
        <v>0</v>
      </c>
      <c r="V8" s="128">
        <f>U8+'2-ф2'!V5-'1-Ф3'!V9/Исх!$C$20</f>
        <v>0</v>
      </c>
      <c r="W8" s="128">
        <f>V8+'2-ф2'!W5-'1-Ф3'!W9/Исх!$C$20</f>
        <v>0</v>
      </c>
      <c r="X8" s="128">
        <f>W8+'2-ф2'!X5-'1-Ф3'!X9/Исх!$C$20</f>
        <v>0</v>
      </c>
      <c r="Y8" s="128">
        <f>X8+'2-ф2'!Y5-'1-Ф3'!Y9/Исх!$C$20</f>
        <v>0</v>
      </c>
      <c r="Z8" s="128">
        <f>Y8+'2-ф2'!Z5-'1-Ф3'!Z9/Исх!$C$20</f>
        <v>0</v>
      </c>
      <c r="AA8" s="128">
        <f>Z8+'2-ф2'!AA5-'1-Ф3'!AA9/Исх!$C$20</f>
        <v>0</v>
      </c>
      <c r="AB8" s="128">
        <f>AA8+'2-ф2'!AB5-'1-Ф3'!AB9/Исх!$C$20</f>
        <v>0</v>
      </c>
      <c r="AC8" s="128">
        <f>AB8</f>
        <v>0</v>
      </c>
      <c r="AD8" s="128">
        <f>AC8+'2-ф2'!AD5-'1-Ф3'!AD9/Исх!$C$20</f>
        <v>0</v>
      </c>
      <c r="AE8" s="128">
        <f>AD8+'2-ф2'!AE5-'1-Ф3'!AE9/Исх!$C$20</f>
        <v>0</v>
      </c>
      <c r="AF8" s="128">
        <f>AE8+'2-ф2'!AF5-'1-Ф3'!AF9/Исх!$C$20</f>
        <v>0</v>
      </c>
      <c r="AG8" s="128">
        <f>AF8+'2-ф2'!AG5-'1-Ф3'!AG9/Исх!$C$20</f>
        <v>0</v>
      </c>
      <c r="AH8" s="128">
        <f>AG8+'2-ф2'!AH5-'1-Ф3'!AH9/Исх!$C$20</f>
        <v>0</v>
      </c>
      <c r="AI8" s="128">
        <f>AH8+'2-ф2'!AI5-'1-Ф3'!AI9/Исх!$C$20</f>
        <v>0</v>
      </c>
    </row>
    <row r="9" spans="1:35" ht="15" customHeight="1">
      <c r="A9" s="127" t="s">
        <v>117</v>
      </c>
      <c r="B9" s="123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>
        <f>O9</f>
        <v>0</v>
      </c>
      <c r="Q9" s="128">
        <f>O9</f>
        <v>0</v>
      </c>
      <c r="R9" s="128">
        <f aca="true" t="shared" si="4" ref="R9:AB9">P9</f>
        <v>0</v>
      </c>
      <c r="S9" s="128">
        <f t="shared" si="4"/>
        <v>0</v>
      </c>
      <c r="T9" s="128">
        <f t="shared" si="4"/>
        <v>0</v>
      </c>
      <c r="U9" s="128">
        <f t="shared" si="4"/>
        <v>0</v>
      </c>
      <c r="V9" s="128">
        <f t="shared" si="4"/>
        <v>0</v>
      </c>
      <c r="W9" s="128">
        <f t="shared" si="4"/>
        <v>0</v>
      </c>
      <c r="X9" s="128">
        <f t="shared" si="4"/>
        <v>0</v>
      </c>
      <c r="Y9" s="128">
        <f t="shared" si="4"/>
        <v>0</v>
      </c>
      <c r="Z9" s="128">
        <f t="shared" si="4"/>
        <v>0</v>
      </c>
      <c r="AA9" s="128">
        <f t="shared" si="4"/>
        <v>0</v>
      </c>
      <c r="AB9" s="128">
        <f t="shared" si="4"/>
        <v>0</v>
      </c>
      <c r="AC9" s="128">
        <f>AB9</f>
        <v>0</v>
      </c>
      <c r="AD9" s="128">
        <f aca="true" t="shared" si="5" ref="AD9:AI9">AB9</f>
        <v>0</v>
      </c>
      <c r="AE9" s="128">
        <f t="shared" si="5"/>
        <v>0</v>
      </c>
      <c r="AF9" s="128">
        <f t="shared" si="5"/>
        <v>0</v>
      </c>
      <c r="AG9" s="128">
        <f t="shared" si="5"/>
        <v>0</v>
      </c>
      <c r="AH9" s="128">
        <f t="shared" si="5"/>
        <v>0</v>
      </c>
      <c r="AI9" s="128">
        <f t="shared" si="5"/>
        <v>0</v>
      </c>
    </row>
    <row r="10" spans="1:35" ht="25.5">
      <c r="A10" s="127" t="s">
        <v>243</v>
      </c>
      <c r="B10" s="12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>
        <f>O10</f>
        <v>0</v>
      </c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>
        <f>AB10</f>
        <v>0</v>
      </c>
      <c r="AD10" s="128"/>
      <c r="AE10" s="128"/>
      <c r="AF10" s="128"/>
      <c r="AG10" s="128"/>
      <c r="AH10" s="128"/>
      <c r="AI10" s="128"/>
    </row>
    <row r="11" spans="1:35" ht="15" customHeight="1">
      <c r="A11" s="122" t="s">
        <v>118</v>
      </c>
      <c r="B11" s="123"/>
      <c r="C11" s="124">
        <f aca="true" t="shared" si="6" ref="C11:AH11">SUM(C12:C14)</f>
        <v>0</v>
      </c>
      <c r="D11" s="124">
        <f t="shared" si="6"/>
        <v>0</v>
      </c>
      <c r="E11" s="124">
        <f t="shared" si="6"/>
        <v>0</v>
      </c>
      <c r="F11" s="124">
        <f t="shared" si="6"/>
        <v>0</v>
      </c>
      <c r="G11" s="124">
        <f t="shared" si="6"/>
        <v>0</v>
      </c>
      <c r="H11" s="124">
        <f t="shared" si="6"/>
        <v>0</v>
      </c>
      <c r="I11" s="124">
        <f t="shared" si="6"/>
        <v>0</v>
      </c>
      <c r="J11" s="124">
        <f t="shared" si="6"/>
        <v>0</v>
      </c>
      <c r="K11" s="124">
        <f t="shared" si="6"/>
        <v>0</v>
      </c>
      <c r="L11" s="124">
        <f t="shared" si="6"/>
        <v>0</v>
      </c>
      <c r="M11" s="124">
        <f t="shared" si="6"/>
        <v>1825.719</v>
      </c>
      <c r="N11" s="124">
        <f t="shared" si="6"/>
        <v>1825.719</v>
      </c>
      <c r="O11" s="124">
        <f t="shared" si="6"/>
        <v>1825.719</v>
      </c>
      <c r="P11" s="124">
        <f t="shared" si="6"/>
        <v>1825.719</v>
      </c>
      <c r="Q11" s="124">
        <f t="shared" si="6"/>
        <v>1808.2531770833334</v>
      </c>
      <c r="R11" s="124">
        <f t="shared" si="6"/>
        <v>1790.7873541666668</v>
      </c>
      <c r="S11" s="124">
        <f t="shared" si="6"/>
        <v>1773.3215312500001</v>
      </c>
      <c r="T11" s="124">
        <f t="shared" si="6"/>
        <v>1755.8557083333335</v>
      </c>
      <c r="U11" s="124">
        <f t="shared" si="6"/>
        <v>1738.3898854166669</v>
      </c>
      <c r="V11" s="124">
        <f t="shared" si="6"/>
        <v>1720.9240625000002</v>
      </c>
      <c r="W11" s="124">
        <f t="shared" si="6"/>
        <v>1703.4582395833336</v>
      </c>
      <c r="X11" s="124">
        <f t="shared" si="6"/>
        <v>1685.992416666667</v>
      </c>
      <c r="Y11" s="124">
        <f t="shared" si="6"/>
        <v>1668.5265937500003</v>
      </c>
      <c r="Z11" s="124">
        <f t="shared" si="6"/>
        <v>1651.0607708333337</v>
      </c>
      <c r="AA11" s="124">
        <f t="shared" si="6"/>
        <v>1633.594947916667</v>
      </c>
      <c r="AB11" s="124">
        <f t="shared" si="6"/>
        <v>1616.1291250000004</v>
      </c>
      <c r="AC11" s="124">
        <f t="shared" si="6"/>
        <v>1616.1291250000004</v>
      </c>
      <c r="AD11" s="124">
        <f t="shared" si="6"/>
        <v>1406.5392500000003</v>
      </c>
      <c r="AE11" s="124">
        <f t="shared" si="6"/>
        <v>1196.9493750000001</v>
      </c>
      <c r="AF11" s="124">
        <f t="shared" si="6"/>
        <v>987.3595000000001</v>
      </c>
      <c r="AG11" s="124">
        <f t="shared" si="6"/>
        <v>777.7696250000001</v>
      </c>
      <c r="AH11" s="124">
        <f t="shared" si="6"/>
        <v>568.1797500000001</v>
      </c>
      <c r="AI11" s="124">
        <f>SUM(AI12:AI14)</f>
        <v>358.5898750000001</v>
      </c>
    </row>
    <row r="12" spans="1:35" ht="12.75">
      <c r="A12" s="127" t="s">
        <v>119</v>
      </c>
      <c r="B12" s="129"/>
      <c r="C12" s="128"/>
      <c r="D12" s="128">
        <f>C12+'1-Ф3'!D20/Исх!$C$20-'2-ф2'!D11</f>
        <v>0</v>
      </c>
      <c r="E12" s="128">
        <f>D12+'1-Ф3'!E20/Исх!$C$20-'2-ф2'!E11</f>
        <v>0</v>
      </c>
      <c r="F12" s="128">
        <f>E12+'1-Ф3'!F20/Исх!$C$20-'2-ф2'!F11</f>
        <v>0</v>
      </c>
      <c r="G12" s="128">
        <f>F12+'1-Ф3'!G20/Исх!$C$20-'2-ф2'!G11</f>
        <v>0</v>
      </c>
      <c r="H12" s="128">
        <f>G12+'1-Ф3'!H20/Исх!$C$20-'2-ф2'!H11</f>
        <v>0</v>
      </c>
      <c r="I12" s="128">
        <f>H12+'1-Ф3'!I20/Исх!$C$20-'2-ф2'!I11</f>
        <v>0</v>
      </c>
      <c r="J12" s="128">
        <f>I12+'1-Ф3'!J20/Исх!$C$20-'2-ф2'!J11</f>
        <v>0</v>
      </c>
      <c r="K12" s="128">
        <f>J12+'1-Ф3'!K20/Исх!$C$20-'2-ф2'!K11</f>
        <v>0</v>
      </c>
      <c r="L12" s="128">
        <f>K12+'1-Ф3'!L20/Исх!$C$20-'2-ф2'!L11</f>
        <v>0</v>
      </c>
      <c r="M12" s="128">
        <f>L12+'1-Ф3'!M20/Исх!$C$20-'2-ф2'!M11</f>
        <v>1825.719</v>
      </c>
      <c r="N12" s="128">
        <f>M12+'1-Ф3'!N20/Исх!$C$20-'2-ф2'!N11</f>
        <v>1825.719</v>
      </c>
      <c r="O12" s="128">
        <f>N12+'1-Ф3'!O20/Исх!$C$20-'2-ф2'!O11</f>
        <v>1825.719</v>
      </c>
      <c r="P12" s="128">
        <f>O12</f>
        <v>1825.719</v>
      </c>
      <c r="Q12" s="128">
        <f>P12+'1-Ф3'!Q20/Исх!$C$20-'2-ф2'!Q11</f>
        <v>1808.2531770833334</v>
      </c>
      <c r="R12" s="128">
        <f>Q12+'1-Ф3'!R20/Исх!$C$20-'2-ф2'!R11</f>
        <v>1790.7873541666668</v>
      </c>
      <c r="S12" s="128">
        <f>R12+'1-Ф3'!S20/Исх!$C$20-'2-ф2'!S11</f>
        <v>1773.3215312500001</v>
      </c>
      <c r="T12" s="128">
        <f>S12+'1-Ф3'!T20/Исх!$C$20-'2-ф2'!T11</f>
        <v>1755.8557083333335</v>
      </c>
      <c r="U12" s="128">
        <f>T12+'1-Ф3'!U20/Исх!$C$20-'2-ф2'!U11</f>
        <v>1738.3898854166669</v>
      </c>
      <c r="V12" s="128">
        <f>U12+'1-Ф3'!V20/Исх!$C$20-'2-ф2'!V11</f>
        <v>1720.9240625000002</v>
      </c>
      <c r="W12" s="128">
        <f>V12+'1-Ф3'!W20/Исх!$C$20-'2-ф2'!W11</f>
        <v>1703.4582395833336</v>
      </c>
      <c r="X12" s="128">
        <f>W12+'1-Ф3'!X20/Исх!$C$20-'2-ф2'!X11</f>
        <v>1685.992416666667</v>
      </c>
      <c r="Y12" s="128">
        <f>X12+'1-Ф3'!Y20/Исх!$C$20-'2-ф2'!Y11</f>
        <v>1668.5265937500003</v>
      </c>
      <c r="Z12" s="128">
        <f>Y12+'1-Ф3'!Z20/Исх!$C$20-'2-ф2'!Z11</f>
        <v>1651.0607708333337</v>
      </c>
      <c r="AA12" s="128">
        <f>Z12+'1-Ф3'!AA20/Исх!$C$20-'2-ф2'!AA11</f>
        <v>1633.594947916667</v>
      </c>
      <c r="AB12" s="128">
        <f>AA12+'1-Ф3'!AB20/Исх!$C$20-'2-ф2'!AB11</f>
        <v>1616.1291250000004</v>
      </c>
      <c r="AC12" s="128">
        <f>AB12</f>
        <v>1616.1291250000004</v>
      </c>
      <c r="AD12" s="128">
        <f>AC12+'1-Ф3'!AD20/Исх!$C$20-'2-ф2'!AD11</f>
        <v>1406.5392500000003</v>
      </c>
      <c r="AE12" s="128">
        <f>AD12+'1-Ф3'!AE20/Исх!$C$20-'2-ф2'!AE11</f>
        <v>1196.9493750000001</v>
      </c>
      <c r="AF12" s="128">
        <f>AE12+'1-Ф3'!AF20/Исх!$C$20-'2-ф2'!AF11</f>
        <v>987.3595000000001</v>
      </c>
      <c r="AG12" s="128">
        <f>AF12+'1-Ф3'!AG20/Исх!$C$20-'2-ф2'!AG11</f>
        <v>777.7696250000001</v>
      </c>
      <c r="AH12" s="128">
        <f>AG12+'1-Ф3'!AH20/Исх!$C$20-'2-ф2'!AH11</f>
        <v>568.1797500000001</v>
      </c>
      <c r="AI12" s="128">
        <f>AH12+'1-Ф3'!AI20/Исх!$C$20-'2-ф2'!AI11</f>
        <v>358.5898750000001</v>
      </c>
    </row>
    <row r="13" spans="1:35" ht="15" customHeight="1" hidden="1">
      <c r="A13" s="127" t="s">
        <v>120</v>
      </c>
      <c r="B13" s="129"/>
      <c r="C13" s="128"/>
      <c r="D13" s="128">
        <f>C13</f>
        <v>0</v>
      </c>
      <c r="E13" s="128">
        <f>D13</f>
        <v>0</v>
      </c>
      <c r="F13" s="128">
        <f aca="true" t="shared" si="7" ref="F13:AI14">E13</f>
        <v>0</v>
      </c>
      <c r="G13" s="128">
        <f t="shared" si="7"/>
        <v>0</v>
      </c>
      <c r="H13" s="128">
        <f t="shared" si="7"/>
        <v>0</v>
      </c>
      <c r="I13" s="128">
        <f t="shared" si="7"/>
        <v>0</v>
      </c>
      <c r="J13" s="128">
        <f t="shared" si="7"/>
        <v>0</v>
      </c>
      <c r="K13" s="128">
        <f t="shared" si="7"/>
        <v>0</v>
      </c>
      <c r="L13" s="128">
        <f t="shared" si="7"/>
        <v>0</v>
      </c>
      <c r="M13" s="128">
        <f t="shared" si="7"/>
        <v>0</v>
      </c>
      <c r="N13" s="128">
        <f t="shared" si="7"/>
        <v>0</v>
      </c>
      <c r="O13" s="128">
        <f t="shared" si="7"/>
        <v>0</v>
      </c>
      <c r="P13" s="128">
        <f t="shared" si="7"/>
        <v>0</v>
      </c>
      <c r="Q13" s="128">
        <f t="shared" si="7"/>
        <v>0</v>
      </c>
      <c r="R13" s="128">
        <f t="shared" si="7"/>
        <v>0</v>
      </c>
      <c r="S13" s="128">
        <f t="shared" si="7"/>
        <v>0</v>
      </c>
      <c r="T13" s="128">
        <f t="shared" si="7"/>
        <v>0</v>
      </c>
      <c r="U13" s="128">
        <f t="shared" si="7"/>
        <v>0</v>
      </c>
      <c r="V13" s="128">
        <f t="shared" si="7"/>
        <v>0</v>
      </c>
      <c r="W13" s="128">
        <f t="shared" si="7"/>
        <v>0</v>
      </c>
      <c r="X13" s="128">
        <f t="shared" si="7"/>
        <v>0</v>
      </c>
      <c r="Y13" s="128">
        <f t="shared" si="7"/>
        <v>0</v>
      </c>
      <c r="Z13" s="128">
        <f t="shared" si="7"/>
        <v>0</v>
      </c>
      <c r="AA13" s="128">
        <f t="shared" si="7"/>
        <v>0</v>
      </c>
      <c r="AB13" s="128">
        <f t="shared" si="7"/>
        <v>0</v>
      </c>
      <c r="AC13" s="128">
        <f t="shared" si="7"/>
        <v>0</v>
      </c>
      <c r="AD13" s="128">
        <f t="shared" si="7"/>
        <v>0</v>
      </c>
      <c r="AE13" s="128">
        <f t="shared" si="7"/>
        <v>0</v>
      </c>
      <c r="AF13" s="128">
        <f t="shared" si="7"/>
        <v>0</v>
      </c>
      <c r="AG13" s="128">
        <f t="shared" si="7"/>
        <v>0</v>
      </c>
      <c r="AH13" s="128">
        <f t="shared" si="7"/>
        <v>0</v>
      </c>
      <c r="AI13" s="128">
        <f t="shared" si="7"/>
        <v>0</v>
      </c>
    </row>
    <row r="14" spans="1:35" ht="12.75">
      <c r="A14" s="127" t="s">
        <v>121</v>
      </c>
      <c r="B14" s="129"/>
      <c r="C14" s="128"/>
      <c r="D14" s="128">
        <f>IF('2-ф2'!D28&lt;0,-'2-ф2'!D28,0)</f>
        <v>0</v>
      </c>
      <c r="E14" s="128">
        <f>IF('2-ф2'!E28&lt;0,-'2-ф2'!E28,0)</f>
        <v>0</v>
      </c>
      <c r="F14" s="128">
        <f>IF('2-ф2'!F28&lt;0,-'2-ф2'!F28,0)</f>
        <v>0</v>
      </c>
      <c r="G14" s="128">
        <f>IF('2-ф2'!G28&lt;0,-'2-ф2'!G28,0)</f>
        <v>0</v>
      </c>
      <c r="H14" s="128">
        <f>IF('2-ф2'!H28&lt;0,-'2-ф2'!H28,0)</f>
        <v>0</v>
      </c>
      <c r="I14" s="128">
        <f>IF('2-ф2'!I28&lt;0,-'2-ф2'!I28,0)</f>
        <v>0</v>
      </c>
      <c r="J14" s="128">
        <f>IF('2-ф2'!J28&lt;0,-'2-ф2'!J28,0)</f>
        <v>0</v>
      </c>
      <c r="K14" s="128">
        <f>IF('2-ф2'!K28&lt;0,-'2-ф2'!K28,0)</f>
        <v>0</v>
      </c>
      <c r="L14" s="128">
        <f>IF('2-ф2'!L28&lt;0,-'2-ф2'!L28,0)</f>
        <v>0</v>
      </c>
      <c r="M14" s="128">
        <f>IF('2-ф2'!M28&lt;0,-'2-ф2'!M28,0)</f>
        <v>0</v>
      </c>
      <c r="N14" s="128">
        <f>IF('2-ф2'!N28&lt;0,-'2-ф2'!N28,0)</f>
        <v>0</v>
      </c>
      <c r="O14" s="128">
        <f>IF('2-ф2'!O28&lt;0,-'2-ф2'!O28,0)</f>
        <v>0</v>
      </c>
      <c r="P14" s="128">
        <f t="shared" si="7"/>
        <v>0</v>
      </c>
      <c r="Q14" s="128">
        <f>IF('2-ф2'!Q28&lt;0,-'2-ф2'!Q28,0)</f>
        <v>0</v>
      </c>
      <c r="R14" s="128">
        <f>IF('2-ф2'!R28&lt;0,-'2-ф2'!R28,0)</f>
        <v>0</v>
      </c>
      <c r="S14" s="128">
        <f>IF('2-ф2'!S28&lt;0,-'2-ф2'!S28,0)</f>
        <v>0</v>
      </c>
      <c r="T14" s="128">
        <f>IF('2-ф2'!T28&lt;0,-'2-ф2'!T28,0)</f>
        <v>0</v>
      </c>
      <c r="U14" s="128">
        <f>IF('2-ф2'!U28&lt;0,-'2-ф2'!U28,0)</f>
        <v>0</v>
      </c>
      <c r="V14" s="128">
        <f>IF('2-ф2'!V28&lt;0,-'2-ф2'!V28,0)</f>
        <v>0</v>
      </c>
      <c r="W14" s="128">
        <f>IF('2-ф2'!W28&lt;0,-'2-ф2'!W28,0)</f>
        <v>0</v>
      </c>
      <c r="X14" s="128">
        <f>IF('2-ф2'!X28&lt;0,-'2-ф2'!X28,0)</f>
        <v>0</v>
      </c>
      <c r="Y14" s="128">
        <f>IF('2-ф2'!Y28&lt;0,-'2-ф2'!Y28,0)</f>
        <v>0</v>
      </c>
      <c r="Z14" s="128">
        <f>IF('2-ф2'!Z28&lt;0,-'2-ф2'!Z28,0)</f>
        <v>0</v>
      </c>
      <c r="AA14" s="128">
        <f>IF('2-ф2'!AA28&lt;0,-'2-ф2'!AA28,0)</f>
        <v>0</v>
      </c>
      <c r="AB14" s="128">
        <f>IF('2-ф2'!AB28&lt;0,-'2-ф2'!AB28,0)</f>
        <v>0</v>
      </c>
      <c r="AC14" s="128">
        <f t="shared" si="7"/>
        <v>0</v>
      </c>
      <c r="AD14" s="128">
        <f>IF('2-ф2'!AD28&lt;0,-'2-ф2'!AD28,0)</f>
        <v>0</v>
      </c>
      <c r="AE14" s="128">
        <f>IF('2-ф2'!AE28&lt;0,-'2-ф2'!AE28,0)</f>
        <v>0</v>
      </c>
      <c r="AF14" s="128">
        <f>IF('2-ф2'!AF28&lt;0,-'2-ф2'!AF28,0)</f>
        <v>0</v>
      </c>
      <c r="AG14" s="128">
        <f>IF('2-ф2'!AG28&lt;0,-'2-ф2'!AG28,0)</f>
        <v>0</v>
      </c>
      <c r="AH14" s="128">
        <f>IF('2-ф2'!AH28&lt;0,-'2-ф2'!AH28,0)</f>
        <v>0</v>
      </c>
      <c r="AI14" s="128">
        <f>IF('2-ф2'!AI28&lt;0,-'2-ф2'!AI28,0)</f>
        <v>0</v>
      </c>
    </row>
    <row r="15" spans="1:184" ht="12.75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</row>
    <row r="16" spans="1:42" s="126" customFormat="1" ht="15" customHeight="1">
      <c r="A16" s="122" t="s">
        <v>122</v>
      </c>
      <c r="B16" s="123"/>
      <c r="C16" s="123">
        <f aca="true" t="shared" si="8" ref="C16:AH16">C21+C24+C17</f>
        <v>0</v>
      </c>
      <c r="D16" s="123">
        <f t="shared" si="8"/>
        <v>0</v>
      </c>
      <c r="E16" s="123">
        <f t="shared" si="8"/>
        <v>0</v>
      </c>
      <c r="F16" s="123">
        <f t="shared" si="8"/>
        <v>0</v>
      </c>
      <c r="G16" s="123">
        <f t="shared" si="8"/>
        <v>0</v>
      </c>
      <c r="H16" s="123">
        <f t="shared" si="8"/>
        <v>0</v>
      </c>
      <c r="I16" s="123">
        <f t="shared" si="8"/>
        <v>0</v>
      </c>
      <c r="J16" s="123">
        <f t="shared" si="8"/>
        <v>0</v>
      </c>
      <c r="K16" s="123">
        <f t="shared" si="8"/>
        <v>0</v>
      </c>
      <c r="L16" s="123">
        <f t="shared" si="8"/>
        <v>0</v>
      </c>
      <c r="M16" s="123">
        <f t="shared" si="8"/>
        <v>1825.719</v>
      </c>
      <c r="N16" s="123">
        <f t="shared" si="8"/>
        <v>1825.719</v>
      </c>
      <c r="O16" s="123">
        <f t="shared" si="8"/>
        <v>1825.719</v>
      </c>
      <c r="P16" s="123">
        <f t="shared" si="8"/>
        <v>1825.719</v>
      </c>
      <c r="Q16" s="123">
        <f t="shared" si="8"/>
        <v>1808.2531770833334</v>
      </c>
      <c r="R16" s="123">
        <f t="shared" si="8"/>
        <v>1790.787354166667</v>
      </c>
      <c r="S16" s="123">
        <f t="shared" si="8"/>
        <v>1773.3215312500001</v>
      </c>
      <c r="T16" s="123">
        <f t="shared" si="8"/>
        <v>1755.8557083333335</v>
      </c>
      <c r="U16" s="123">
        <f t="shared" si="8"/>
        <v>1857.5277363345087</v>
      </c>
      <c r="V16" s="123">
        <f t="shared" si="8"/>
        <v>1959.3410820082802</v>
      </c>
      <c r="W16" s="123">
        <f t="shared" si="8"/>
        <v>2061.295745354648</v>
      </c>
      <c r="X16" s="123">
        <f t="shared" si="8"/>
        <v>2163.3917263736116</v>
      </c>
      <c r="Y16" s="123">
        <f t="shared" si="8"/>
        <v>2265.6290250651714</v>
      </c>
      <c r="Z16" s="123">
        <f t="shared" si="8"/>
        <v>2368.007641429327</v>
      </c>
      <c r="AA16" s="123">
        <f t="shared" si="8"/>
        <v>2470.5275754660797</v>
      </c>
      <c r="AB16" s="123">
        <f t="shared" si="8"/>
        <v>2573.188827175428</v>
      </c>
      <c r="AC16" s="123">
        <f t="shared" si="8"/>
        <v>2573.188827175428</v>
      </c>
      <c r="AD16" s="123">
        <f t="shared" si="8"/>
        <v>2802.146626150108</v>
      </c>
      <c r="AE16" s="123">
        <f t="shared" si="8"/>
        <v>3051.4541699786346</v>
      </c>
      <c r="AF16" s="123">
        <f t="shared" si="8"/>
        <v>3321.111458661006</v>
      </c>
      <c r="AG16" s="123">
        <f t="shared" si="8"/>
        <v>3611.118492197223</v>
      </c>
      <c r="AH16" s="123">
        <f t="shared" si="8"/>
        <v>3921.475270587287</v>
      </c>
      <c r="AI16" s="123">
        <f>AI21+AI24+AI17</f>
        <v>4300.49224962014</v>
      </c>
      <c r="AJ16" s="125"/>
      <c r="AK16" s="125"/>
      <c r="AL16" s="125"/>
      <c r="AM16" s="125"/>
      <c r="AN16" s="125"/>
      <c r="AO16" s="125"/>
      <c r="AP16" s="125"/>
    </row>
    <row r="17" spans="1:35" ht="15" customHeight="1">
      <c r="A17" s="122" t="s">
        <v>123</v>
      </c>
      <c r="B17" s="123"/>
      <c r="C17" s="123">
        <f aca="true" t="shared" si="9" ref="C17:AH17">SUM(C18:C20)</f>
        <v>0</v>
      </c>
      <c r="D17" s="123">
        <f t="shared" si="9"/>
        <v>0</v>
      </c>
      <c r="E17" s="123">
        <f t="shared" si="9"/>
        <v>0</v>
      </c>
      <c r="F17" s="123">
        <f t="shared" si="9"/>
        <v>0</v>
      </c>
      <c r="G17" s="123">
        <f t="shared" si="9"/>
        <v>0</v>
      </c>
      <c r="H17" s="123">
        <f t="shared" si="9"/>
        <v>0</v>
      </c>
      <c r="I17" s="123">
        <f t="shared" si="9"/>
        <v>0</v>
      </c>
      <c r="J17" s="123">
        <f t="shared" si="9"/>
        <v>0</v>
      </c>
      <c r="K17" s="123">
        <f t="shared" si="9"/>
        <v>0</v>
      </c>
      <c r="L17" s="123">
        <f t="shared" si="9"/>
        <v>0</v>
      </c>
      <c r="M17" s="123">
        <f t="shared" si="9"/>
        <v>0</v>
      </c>
      <c r="N17" s="123">
        <f t="shared" si="9"/>
        <v>10.650027500000002</v>
      </c>
      <c r="O17" s="123">
        <f t="shared" si="9"/>
        <v>21.300055000000004</v>
      </c>
      <c r="P17" s="123">
        <f t="shared" si="9"/>
        <v>21.300055000000004</v>
      </c>
      <c r="Q17" s="123">
        <f t="shared" si="9"/>
        <v>31.950082500000008</v>
      </c>
      <c r="R17" s="123">
        <f t="shared" si="9"/>
        <v>42.60011000000001</v>
      </c>
      <c r="S17" s="123">
        <f t="shared" si="9"/>
        <v>53.25013750000001</v>
      </c>
      <c r="T17" s="123">
        <f t="shared" si="9"/>
        <v>0</v>
      </c>
      <c r="U17" s="123">
        <f t="shared" si="9"/>
        <v>0</v>
      </c>
      <c r="V17" s="123">
        <f t="shared" si="9"/>
        <v>0</v>
      </c>
      <c r="W17" s="123">
        <f t="shared" si="9"/>
        <v>0</v>
      </c>
      <c r="X17" s="123">
        <f t="shared" si="9"/>
        <v>0</v>
      </c>
      <c r="Y17" s="123">
        <f t="shared" si="9"/>
        <v>0</v>
      </c>
      <c r="Z17" s="123">
        <f t="shared" si="9"/>
        <v>0</v>
      </c>
      <c r="AA17" s="123">
        <f t="shared" si="9"/>
        <v>0</v>
      </c>
      <c r="AB17" s="123">
        <f t="shared" si="9"/>
        <v>0</v>
      </c>
      <c r="AC17" s="123">
        <f t="shared" si="9"/>
        <v>0</v>
      </c>
      <c r="AD17" s="123">
        <f t="shared" si="9"/>
        <v>0</v>
      </c>
      <c r="AE17" s="123">
        <f t="shared" si="9"/>
        <v>0</v>
      </c>
      <c r="AF17" s="123">
        <f t="shared" si="9"/>
        <v>0</v>
      </c>
      <c r="AG17" s="123">
        <f t="shared" si="9"/>
        <v>0</v>
      </c>
      <c r="AH17" s="123">
        <f t="shared" si="9"/>
        <v>0</v>
      </c>
      <c r="AI17" s="123">
        <f>SUM(AI18:AI20)</f>
        <v>0</v>
      </c>
    </row>
    <row r="18" spans="1:35" ht="12.75" hidden="1">
      <c r="A18" s="127" t="s">
        <v>124</v>
      </c>
      <c r="B18" s="129"/>
      <c r="C18" s="129"/>
      <c r="D18" s="129">
        <f>C18</f>
        <v>0</v>
      </c>
      <c r="E18" s="129">
        <f>D18</f>
        <v>0</v>
      </c>
      <c r="F18" s="129">
        <f aca="true" t="shared" si="10" ref="F18:O18">E18</f>
        <v>0</v>
      </c>
      <c r="G18" s="129">
        <f t="shared" si="10"/>
        <v>0</v>
      </c>
      <c r="H18" s="129">
        <f t="shared" si="10"/>
        <v>0</v>
      </c>
      <c r="I18" s="129">
        <f t="shared" si="10"/>
        <v>0</v>
      </c>
      <c r="J18" s="129">
        <f t="shared" si="10"/>
        <v>0</v>
      </c>
      <c r="K18" s="129">
        <f t="shared" si="10"/>
        <v>0</v>
      </c>
      <c r="L18" s="129">
        <f t="shared" si="10"/>
        <v>0</v>
      </c>
      <c r="M18" s="129">
        <f t="shared" si="10"/>
        <v>0</v>
      </c>
      <c r="N18" s="129">
        <f t="shared" si="10"/>
        <v>0</v>
      </c>
      <c r="O18" s="129">
        <f t="shared" si="10"/>
        <v>0</v>
      </c>
      <c r="P18" s="129">
        <f>O18</f>
        <v>0</v>
      </c>
      <c r="Q18" s="129">
        <f>P18</f>
        <v>0</v>
      </c>
      <c r="R18" s="129">
        <f>Q18</f>
        <v>0</v>
      </c>
      <c r="S18" s="129">
        <f>R18</f>
        <v>0</v>
      </c>
      <c r="T18" s="129">
        <f>S18</f>
        <v>0</v>
      </c>
      <c r="U18" s="129">
        <f aca="true" t="shared" si="11" ref="U18:AF18">T18</f>
        <v>0</v>
      </c>
      <c r="V18" s="129">
        <f t="shared" si="11"/>
        <v>0</v>
      </c>
      <c r="W18" s="129">
        <f t="shared" si="11"/>
        <v>0</v>
      </c>
      <c r="X18" s="129">
        <f t="shared" si="11"/>
        <v>0</v>
      </c>
      <c r="Y18" s="129">
        <f t="shared" si="11"/>
        <v>0</v>
      </c>
      <c r="Z18" s="129">
        <f t="shared" si="11"/>
        <v>0</v>
      </c>
      <c r="AA18" s="129">
        <f t="shared" si="11"/>
        <v>0</v>
      </c>
      <c r="AB18" s="129">
        <f t="shared" si="11"/>
        <v>0</v>
      </c>
      <c r="AC18" s="129">
        <f t="shared" si="11"/>
        <v>0</v>
      </c>
      <c r="AD18" s="129">
        <f t="shared" si="11"/>
        <v>0</v>
      </c>
      <c r="AE18" s="129">
        <f t="shared" si="11"/>
        <v>0</v>
      </c>
      <c r="AF18" s="129">
        <f t="shared" si="11"/>
        <v>0</v>
      </c>
      <c r="AG18" s="129">
        <f>AF18</f>
        <v>0</v>
      </c>
      <c r="AH18" s="129">
        <f>AG18</f>
        <v>0</v>
      </c>
      <c r="AI18" s="129">
        <f>AH18</f>
        <v>0</v>
      </c>
    </row>
    <row r="19" spans="1:36" ht="25.5">
      <c r="A19" s="127" t="s">
        <v>125</v>
      </c>
      <c r="B19" s="129"/>
      <c r="C19" s="129"/>
      <c r="D19" s="129">
        <f>C19+'2-ф2'!D12-'1-Ф3'!D14-кр!C8</f>
        <v>0</v>
      </c>
      <c r="E19" s="129">
        <f>D19+'2-ф2'!E12-'1-Ф3'!E14-кр!D8</f>
        <v>0</v>
      </c>
      <c r="F19" s="129">
        <f>E19+'2-ф2'!F12-'1-Ф3'!F14-кр!E8</f>
        <v>0</v>
      </c>
      <c r="G19" s="129">
        <f>F19+'2-ф2'!G12-'1-Ф3'!G14-кр!F8</f>
        <v>0</v>
      </c>
      <c r="H19" s="129">
        <f>G19+'2-ф2'!H12-'1-Ф3'!H14-кр!G8</f>
        <v>0</v>
      </c>
      <c r="I19" s="129">
        <f>H19+'2-ф2'!I12-'1-Ф3'!I14-кр!H8</f>
        <v>0</v>
      </c>
      <c r="J19" s="129">
        <f>I19+'2-ф2'!J12-'1-Ф3'!J14-кр!I8</f>
        <v>0</v>
      </c>
      <c r="K19" s="129">
        <f>J19+'2-ф2'!K12-'1-Ф3'!K14-кр!J8</f>
        <v>0</v>
      </c>
      <c r="L19" s="129">
        <f>K19+'2-ф2'!L12-'1-Ф3'!L14-кр!K8</f>
        <v>0</v>
      </c>
      <c r="M19" s="129">
        <f>L19+'2-ф2'!M12-'1-Ф3'!M14-кр!L8</f>
        <v>0</v>
      </c>
      <c r="N19" s="129">
        <f>M19+'2-ф2'!N12-'1-Ф3'!N14-кр!M8</f>
        <v>10.650027500000002</v>
      </c>
      <c r="O19" s="129">
        <f>N19+'2-ф2'!O12-'1-Ф3'!O14-кр!N8</f>
        <v>21.300055000000004</v>
      </c>
      <c r="P19" s="129">
        <f>O19</f>
        <v>21.300055000000004</v>
      </c>
      <c r="Q19" s="129">
        <f>P19+'2-ф2'!Q12-'1-Ф3'!Q14-кр!P8</f>
        <v>31.950082500000008</v>
      </c>
      <c r="R19" s="129">
        <f>Q19+'2-ф2'!R12-'1-Ф3'!R14-кр!Q8</f>
        <v>42.60011000000001</v>
      </c>
      <c r="S19" s="129">
        <f>R19+'2-ф2'!S12-'1-Ф3'!S14-кр!R8</f>
        <v>53.25013750000001</v>
      </c>
      <c r="T19" s="129">
        <f>S19+'2-ф2'!T12-'1-Ф3'!T14-кр!S8</f>
        <v>0</v>
      </c>
      <c r="U19" s="129">
        <f>T19+'2-ф2'!U12-'1-Ф3'!U14-кр!T8</f>
        <v>0</v>
      </c>
      <c r="V19" s="129">
        <f>U19+'2-ф2'!V12-'1-Ф3'!V14-кр!U8</f>
        <v>0</v>
      </c>
      <c r="W19" s="129">
        <f>V19+'2-ф2'!W12-'1-Ф3'!W14-кр!V8</f>
        <v>0</v>
      </c>
      <c r="X19" s="129">
        <f>W19+'2-ф2'!X12-'1-Ф3'!X14-кр!W8</f>
        <v>0</v>
      </c>
      <c r="Y19" s="129">
        <f>X19+'2-ф2'!Y12-'1-Ф3'!Y14-кр!X8</f>
        <v>0</v>
      </c>
      <c r="Z19" s="129">
        <f>Y19+'2-ф2'!Z12-'1-Ф3'!Z14-кр!Y8</f>
        <v>0</v>
      </c>
      <c r="AA19" s="129">
        <f>Z19+'2-ф2'!AA12-'1-Ф3'!AA14-кр!Z8</f>
        <v>0</v>
      </c>
      <c r="AB19" s="129">
        <f>AA19+'2-ф2'!AB12-'1-Ф3'!AB14-кр!AA8</f>
        <v>0</v>
      </c>
      <c r="AC19" s="129">
        <f>AB19</f>
        <v>0</v>
      </c>
      <c r="AD19" s="129">
        <f>AC19+'2-ф2'!AD12-'1-Ф3'!AD14</f>
        <v>0</v>
      </c>
      <c r="AE19" s="129">
        <f>AD19+'2-ф2'!AE12-'1-Ф3'!AE14</f>
        <v>0</v>
      </c>
      <c r="AF19" s="129">
        <f>AE19+'2-ф2'!AF12-'1-Ф3'!AF14</f>
        <v>0</v>
      </c>
      <c r="AG19" s="129">
        <f>AF19+'2-ф2'!AG12-'1-Ф3'!AG14</f>
        <v>0</v>
      </c>
      <c r="AH19" s="129">
        <f>AG19+'2-ф2'!AH12-'1-Ф3'!AH14</f>
        <v>0</v>
      </c>
      <c r="AI19" s="129">
        <f>AH19+'2-ф2'!AI12-'1-Ф3'!AI14</f>
        <v>0</v>
      </c>
      <c r="AJ19" s="116"/>
    </row>
    <row r="20" spans="1:35" ht="12.75">
      <c r="A20" s="127" t="s">
        <v>127</v>
      </c>
      <c r="B20" s="129"/>
      <c r="C20" s="129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9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9">
        <f>AB20</f>
        <v>0</v>
      </c>
      <c r="AD20" s="129"/>
      <c r="AE20" s="129"/>
      <c r="AF20" s="129"/>
      <c r="AG20" s="129"/>
      <c r="AH20" s="129"/>
      <c r="AI20" s="129"/>
    </row>
    <row r="21" spans="1:35" ht="15" customHeight="1">
      <c r="A21" s="122" t="s">
        <v>128</v>
      </c>
      <c r="B21" s="123"/>
      <c r="C21" s="123">
        <f aca="true" t="shared" si="12" ref="C21:AH21">SUM(C22:C23)</f>
        <v>0</v>
      </c>
      <c r="D21" s="123">
        <f t="shared" si="12"/>
        <v>0</v>
      </c>
      <c r="E21" s="123">
        <f t="shared" si="12"/>
        <v>0</v>
      </c>
      <c r="F21" s="123">
        <f t="shared" si="12"/>
        <v>0</v>
      </c>
      <c r="G21" s="123">
        <f t="shared" si="12"/>
        <v>0</v>
      </c>
      <c r="H21" s="123">
        <f t="shared" si="12"/>
        <v>0</v>
      </c>
      <c r="I21" s="123">
        <f t="shared" si="12"/>
        <v>0</v>
      </c>
      <c r="J21" s="123">
        <f t="shared" si="12"/>
        <v>0</v>
      </c>
      <c r="K21" s="123">
        <f t="shared" si="12"/>
        <v>0</v>
      </c>
      <c r="L21" s="123">
        <f t="shared" si="12"/>
        <v>0</v>
      </c>
      <c r="M21" s="123">
        <f t="shared" si="12"/>
        <v>1825.719</v>
      </c>
      <c r="N21" s="123">
        <f t="shared" si="12"/>
        <v>1825.719</v>
      </c>
      <c r="O21" s="123">
        <f t="shared" si="12"/>
        <v>1825.719</v>
      </c>
      <c r="P21" s="123">
        <f t="shared" si="12"/>
        <v>1825.719</v>
      </c>
      <c r="Q21" s="123">
        <f t="shared" si="12"/>
        <v>1825.719</v>
      </c>
      <c r="R21" s="123">
        <f t="shared" si="12"/>
        <v>1825.719</v>
      </c>
      <c r="S21" s="123">
        <f t="shared" si="12"/>
        <v>1825.719</v>
      </c>
      <c r="T21" s="123">
        <f t="shared" si="12"/>
        <v>1889.619165</v>
      </c>
      <c r="U21" s="123">
        <f t="shared" si="12"/>
        <v>1865.393278269231</v>
      </c>
      <c r="V21" s="123">
        <f t="shared" si="12"/>
        <v>1841.1673915384617</v>
      </c>
      <c r="W21" s="123">
        <f t="shared" si="12"/>
        <v>1816.9415048076926</v>
      </c>
      <c r="X21" s="123">
        <f t="shared" si="12"/>
        <v>1792.7156180769234</v>
      </c>
      <c r="Y21" s="123">
        <f t="shared" si="12"/>
        <v>1768.4897313461543</v>
      </c>
      <c r="Z21" s="123">
        <f t="shared" si="12"/>
        <v>1744.263844615385</v>
      </c>
      <c r="AA21" s="123">
        <f t="shared" si="12"/>
        <v>1720.037957884616</v>
      </c>
      <c r="AB21" s="123">
        <f t="shared" si="12"/>
        <v>1695.8120711538468</v>
      </c>
      <c r="AC21" s="123">
        <f t="shared" si="12"/>
        <v>1695.8120711538468</v>
      </c>
      <c r="AD21" s="123">
        <f t="shared" si="12"/>
        <v>1405.1014303846168</v>
      </c>
      <c r="AE21" s="123">
        <f t="shared" si="12"/>
        <v>1114.390789615387</v>
      </c>
      <c r="AF21" s="123">
        <f t="shared" si="12"/>
        <v>823.6801488461559</v>
      </c>
      <c r="AG21" s="123">
        <f t="shared" si="12"/>
        <v>532.9695080769246</v>
      </c>
      <c r="AH21" s="123">
        <f t="shared" si="12"/>
        <v>242.258867307694</v>
      </c>
      <c r="AI21" s="123">
        <f>SUM(AI22:AI23)</f>
        <v>1.7337242752546445E-12</v>
      </c>
    </row>
    <row r="22" spans="1:35" ht="12.75">
      <c r="A22" s="127" t="s">
        <v>126</v>
      </c>
      <c r="B22" s="129"/>
      <c r="C22" s="123"/>
      <c r="D22" s="129">
        <f>кр!C12</f>
        <v>0</v>
      </c>
      <c r="E22" s="129">
        <f>кр!D12</f>
        <v>0</v>
      </c>
      <c r="F22" s="129">
        <f>кр!E12</f>
        <v>0</v>
      </c>
      <c r="G22" s="129">
        <f>кр!F12</f>
        <v>0</v>
      </c>
      <c r="H22" s="129">
        <f>кр!G12</f>
        <v>0</v>
      </c>
      <c r="I22" s="129">
        <f>кр!H12</f>
        <v>0</v>
      </c>
      <c r="J22" s="129">
        <f>кр!I12</f>
        <v>0</v>
      </c>
      <c r="K22" s="129">
        <f>кр!J12</f>
        <v>0</v>
      </c>
      <c r="L22" s="129">
        <f>кр!K12</f>
        <v>0</v>
      </c>
      <c r="M22" s="129">
        <f>кр!L12</f>
        <v>1825.719</v>
      </c>
      <c r="N22" s="129">
        <f>кр!M12</f>
        <v>1825.719</v>
      </c>
      <c r="O22" s="129">
        <f>кр!N12</f>
        <v>1825.719</v>
      </c>
      <c r="P22" s="129">
        <f>кр!O12</f>
        <v>1825.719</v>
      </c>
      <c r="Q22" s="129">
        <f>кр!P12</f>
        <v>1825.719</v>
      </c>
      <c r="R22" s="129">
        <f>кр!Q12</f>
        <v>1825.719</v>
      </c>
      <c r="S22" s="129">
        <f>кр!R12</f>
        <v>1825.719</v>
      </c>
      <c r="T22" s="129">
        <f>кр!S12</f>
        <v>1889.619165</v>
      </c>
      <c r="U22" s="129">
        <f>кр!T12</f>
        <v>1865.393278269231</v>
      </c>
      <c r="V22" s="129">
        <f>кр!U12</f>
        <v>1841.1673915384617</v>
      </c>
      <c r="W22" s="129">
        <f>кр!V12</f>
        <v>1816.9415048076926</v>
      </c>
      <c r="X22" s="129">
        <f>кр!W12</f>
        <v>1792.7156180769234</v>
      </c>
      <c r="Y22" s="129">
        <f>кр!X12</f>
        <v>1768.4897313461543</v>
      </c>
      <c r="Z22" s="129">
        <f>кр!Y12</f>
        <v>1744.263844615385</v>
      </c>
      <c r="AA22" s="129">
        <f>кр!Z12</f>
        <v>1720.037957884616</v>
      </c>
      <c r="AB22" s="129">
        <f>кр!AA12</f>
        <v>1695.8120711538468</v>
      </c>
      <c r="AC22" s="129">
        <f>кр!AB12</f>
        <v>1695.8120711538468</v>
      </c>
      <c r="AD22" s="129">
        <f>кр!AO12</f>
        <v>1405.1014303846168</v>
      </c>
      <c r="AE22" s="129">
        <f>кр!BB12</f>
        <v>1114.390789615387</v>
      </c>
      <c r="AF22" s="129">
        <f>кр!BO12</f>
        <v>823.6801488461559</v>
      </c>
      <c r="AG22" s="129">
        <f>кр!CB12</f>
        <v>532.9695080769246</v>
      </c>
      <c r="AH22" s="129">
        <f>кр!CO12</f>
        <v>242.258867307694</v>
      </c>
      <c r="AI22" s="129">
        <f>кр!DB12</f>
        <v>1.7337242752546445E-12</v>
      </c>
    </row>
    <row r="23" spans="1:35" ht="15" customHeight="1" hidden="1">
      <c r="A23" s="127" t="s">
        <v>129</v>
      </c>
      <c r="B23" s="129"/>
      <c r="C23" s="129"/>
      <c r="D23" s="129">
        <f>C23</f>
        <v>0</v>
      </c>
      <c r="E23" s="129">
        <f>D23</f>
        <v>0</v>
      </c>
      <c r="F23" s="129">
        <f aca="true" t="shared" si="13" ref="F23:AI23">E23</f>
        <v>0</v>
      </c>
      <c r="G23" s="129">
        <f t="shared" si="13"/>
        <v>0</v>
      </c>
      <c r="H23" s="129">
        <f t="shared" si="13"/>
        <v>0</v>
      </c>
      <c r="I23" s="129">
        <f t="shared" si="13"/>
        <v>0</v>
      </c>
      <c r="J23" s="129">
        <f t="shared" si="13"/>
        <v>0</v>
      </c>
      <c r="K23" s="129">
        <f t="shared" si="13"/>
        <v>0</v>
      </c>
      <c r="L23" s="129">
        <f t="shared" si="13"/>
        <v>0</v>
      </c>
      <c r="M23" s="129">
        <f t="shared" si="13"/>
        <v>0</v>
      </c>
      <c r="N23" s="129">
        <f t="shared" si="13"/>
        <v>0</v>
      </c>
      <c r="O23" s="129">
        <f t="shared" si="13"/>
        <v>0</v>
      </c>
      <c r="P23" s="129">
        <f t="shared" si="13"/>
        <v>0</v>
      </c>
      <c r="Q23" s="129">
        <f t="shared" si="13"/>
        <v>0</v>
      </c>
      <c r="R23" s="129">
        <f t="shared" si="13"/>
        <v>0</v>
      </c>
      <c r="S23" s="129">
        <f t="shared" si="13"/>
        <v>0</v>
      </c>
      <c r="T23" s="129">
        <f t="shared" si="13"/>
        <v>0</v>
      </c>
      <c r="U23" s="129">
        <f t="shared" si="13"/>
        <v>0</v>
      </c>
      <c r="V23" s="129">
        <f t="shared" si="13"/>
        <v>0</v>
      </c>
      <c r="W23" s="129">
        <f t="shared" si="13"/>
        <v>0</v>
      </c>
      <c r="X23" s="129">
        <f t="shared" si="13"/>
        <v>0</v>
      </c>
      <c r="Y23" s="129">
        <f t="shared" si="13"/>
        <v>0</v>
      </c>
      <c r="Z23" s="129">
        <f t="shared" si="13"/>
        <v>0</v>
      </c>
      <c r="AA23" s="129">
        <f t="shared" si="13"/>
        <v>0</v>
      </c>
      <c r="AB23" s="129">
        <f t="shared" si="13"/>
        <v>0</v>
      </c>
      <c r="AC23" s="123">
        <f>AB23</f>
        <v>0</v>
      </c>
      <c r="AD23" s="129">
        <f t="shared" si="13"/>
        <v>0</v>
      </c>
      <c r="AE23" s="129">
        <f t="shared" si="13"/>
        <v>0</v>
      </c>
      <c r="AF23" s="129">
        <f t="shared" si="13"/>
        <v>0</v>
      </c>
      <c r="AG23" s="129">
        <f t="shared" si="13"/>
        <v>0</v>
      </c>
      <c r="AH23" s="129">
        <f t="shared" si="13"/>
        <v>0</v>
      </c>
      <c r="AI23" s="129">
        <f t="shared" si="13"/>
        <v>0</v>
      </c>
    </row>
    <row r="24" spans="1:35" s="126" customFormat="1" ht="15" customHeight="1">
      <c r="A24" s="122" t="s">
        <v>130</v>
      </c>
      <c r="B24" s="123"/>
      <c r="C24" s="123">
        <f aca="true" t="shared" si="14" ref="C24:AH24">SUM(C25:C26)</f>
        <v>0</v>
      </c>
      <c r="D24" s="123">
        <f t="shared" si="14"/>
        <v>0</v>
      </c>
      <c r="E24" s="123">
        <f t="shared" si="14"/>
        <v>0</v>
      </c>
      <c r="F24" s="123">
        <f t="shared" si="14"/>
        <v>0</v>
      </c>
      <c r="G24" s="123">
        <f t="shared" si="14"/>
        <v>0</v>
      </c>
      <c r="H24" s="123">
        <f t="shared" si="14"/>
        <v>0</v>
      </c>
      <c r="I24" s="123">
        <f t="shared" si="14"/>
        <v>0</v>
      </c>
      <c r="J24" s="123">
        <f t="shared" si="14"/>
        <v>0</v>
      </c>
      <c r="K24" s="123">
        <f t="shared" si="14"/>
        <v>0</v>
      </c>
      <c r="L24" s="123">
        <f t="shared" si="14"/>
        <v>0</v>
      </c>
      <c r="M24" s="123">
        <f t="shared" si="14"/>
        <v>0</v>
      </c>
      <c r="N24" s="123">
        <f t="shared" si="14"/>
        <v>-10.650027499999993</v>
      </c>
      <c r="O24" s="123">
        <f t="shared" si="14"/>
        <v>-21.300054999999986</v>
      </c>
      <c r="P24" s="123">
        <f t="shared" si="14"/>
        <v>-21.300054999999986</v>
      </c>
      <c r="Q24" s="123">
        <f t="shared" si="14"/>
        <v>-49.41590541666665</v>
      </c>
      <c r="R24" s="123">
        <f t="shared" si="14"/>
        <v>-77.53175583333325</v>
      </c>
      <c r="S24" s="123">
        <f t="shared" si="14"/>
        <v>-105.64760624999985</v>
      </c>
      <c r="T24" s="123">
        <f t="shared" si="14"/>
        <v>-133.76345666666657</v>
      </c>
      <c r="U24" s="123">
        <f t="shared" si="14"/>
        <v>-7.86554193472216</v>
      </c>
      <c r="V24" s="123">
        <f t="shared" si="14"/>
        <v>118.17369046981844</v>
      </c>
      <c r="W24" s="123">
        <f t="shared" si="14"/>
        <v>244.35424054695522</v>
      </c>
      <c r="X24" s="123">
        <f t="shared" si="14"/>
        <v>370.6761082966881</v>
      </c>
      <c r="Y24" s="123">
        <f t="shared" si="14"/>
        <v>497.13929371901713</v>
      </c>
      <c r="Z24" s="123">
        <f t="shared" si="14"/>
        <v>623.7437968139423</v>
      </c>
      <c r="AA24" s="123">
        <f t="shared" si="14"/>
        <v>750.4896175814637</v>
      </c>
      <c r="AB24" s="123">
        <f t="shared" si="14"/>
        <v>877.3767560215812</v>
      </c>
      <c r="AC24" s="123">
        <f t="shared" si="14"/>
        <v>877.3767560215812</v>
      </c>
      <c r="AD24" s="123">
        <f t="shared" si="14"/>
        <v>1397.0451957654914</v>
      </c>
      <c r="AE24" s="123">
        <f t="shared" si="14"/>
        <v>1937.0633803632477</v>
      </c>
      <c r="AF24" s="123">
        <f t="shared" si="14"/>
        <v>2497.43130981485</v>
      </c>
      <c r="AG24" s="123">
        <f t="shared" si="14"/>
        <v>3078.1489841202983</v>
      </c>
      <c r="AH24" s="123">
        <f t="shared" si="14"/>
        <v>3679.216403279593</v>
      </c>
      <c r="AI24" s="123">
        <f>SUM(AI25:AI26)</f>
        <v>4300.492249620138</v>
      </c>
    </row>
    <row r="25" spans="1:35" ht="15" customHeight="1">
      <c r="A25" s="127" t="s">
        <v>131</v>
      </c>
      <c r="B25" s="123"/>
      <c r="C25" s="129"/>
      <c r="D25" s="129">
        <f>C25+'1-Ф3'!D27</f>
        <v>0</v>
      </c>
      <c r="E25" s="129">
        <f>D25+'1-Ф3'!E27</f>
        <v>0</v>
      </c>
      <c r="F25" s="129">
        <f>E25+'1-Ф3'!F27</f>
        <v>0</v>
      </c>
      <c r="G25" s="129">
        <f>F25+'1-Ф3'!G27</f>
        <v>0</v>
      </c>
      <c r="H25" s="129">
        <f>G25+'1-Ф3'!H27</f>
        <v>0</v>
      </c>
      <c r="I25" s="129">
        <f>H25+'1-Ф3'!I27</f>
        <v>0</v>
      </c>
      <c r="J25" s="129">
        <f>I25+'1-Ф3'!J27</f>
        <v>0</v>
      </c>
      <c r="K25" s="129">
        <f>J25+'1-Ф3'!K27</f>
        <v>0</v>
      </c>
      <c r="L25" s="129">
        <f>K25+'1-Ф3'!L27</f>
        <v>0</v>
      </c>
      <c r="M25" s="129">
        <f>L25+'1-Ф3'!M27</f>
        <v>0</v>
      </c>
      <c r="N25" s="129">
        <f>M25+'1-Ф3'!N27</f>
        <v>183.6134838888889</v>
      </c>
      <c r="O25" s="129">
        <f>N25+'1-Ф3'!O27</f>
        <v>367.2269677777778</v>
      </c>
      <c r="P25" s="129">
        <f>O25</f>
        <v>367.2269677777778</v>
      </c>
      <c r="Q25" s="129">
        <f>P25+'1-Ф3'!Q27</f>
        <v>550.8404516666667</v>
      </c>
      <c r="R25" s="129">
        <f>Q25+'1-Ф3'!R27</f>
        <v>734.4539355555556</v>
      </c>
      <c r="S25" s="129">
        <f>R25+'1-Ф3'!S27</f>
        <v>918.0674194444446</v>
      </c>
      <c r="T25" s="129">
        <f>S25+'1-Ф3'!T27</f>
        <v>1101.6809033333334</v>
      </c>
      <c r="U25" s="129">
        <f>T25+'1-Ф3'!U27</f>
        <v>1101.6809033333334</v>
      </c>
      <c r="V25" s="129">
        <f>U25+'1-Ф3'!V27</f>
        <v>1101.6809033333334</v>
      </c>
      <c r="W25" s="129">
        <f>V25+'1-Ф3'!W27</f>
        <v>1101.6809033333334</v>
      </c>
      <c r="X25" s="129">
        <f>W25+'1-Ф3'!X27</f>
        <v>1101.6809033333334</v>
      </c>
      <c r="Y25" s="129">
        <f>X25+'1-Ф3'!Y27</f>
        <v>1101.6809033333334</v>
      </c>
      <c r="Z25" s="129">
        <f>Y25+'1-Ф3'!Z27</f>
        <v>1101.6809033333334</v>
      </c>
      <c r="AA25" s="129">
        <f>Z25+'1-Ф3'!AA27</f>
        <v>1101.6809033333334</v>
      </c>
      <c r="AB25" s="129">
        <f>AA25+'1-Ф3'!AB27</f>
        <v>1101.6809033333334</v>
      </c>
      <c r="AC25" s="129">
        <f>AB25</f>
        <v>1101.6809033333334</v>
      </c>
      <c r="AD25" s="129">
        <f>AC25+'1-Ф3'!AD27</f>
        <v>1101.6809033333334</v>
      </c>
      <c r="AE25" s="129">
        <f>AD25+'1-Ф3'!AE27</f>
        <v>1101.6809033333334</v>
      </c>
      <c r="AF25" s="129">
        <f>AE25+'1-Ф3'!AF27</f>
        <v>1101.6809033333334</v>
      </c>
      <c r="AG25" s="129">
        <f>AF25+'1-Ф3'!AG27</f>
        <v>1101.6809033333334</v>
      </c>
      <c r="AH25" s="129">
        <f>AG25+'1-Ф3'!AH27</f>
        <v>1101.6809033333334</v>
      </c>
      <c r="AI25" s="129">
        <f>AH25+'1-Ф3'!AI27</f>
        <v>1101.6809033333334</v>
      </c>
    </row>
    <row r="26" spans="1:35" ht="15" customHeight="1">
      <c r="A26" s="127" t="s">
        <v>132</v>
      </c>
      <c r="B26" s="123"/>
      <c r="C26" s="129"/>
      <c r="D26" s="129">
        <f>'2-ф2'!D16</f>
        <v>0</v>
      </c>
      <c r="E26" s="129">
        <f>'2-ф2'!E16</f>
        <v>0</v>
      </c>
      <c r="F26" s="129">
        <f>'2-ф2'!F16</f>
        <v>0</v>
      </c>
      <c r="G26" s="129">
        <f>'2-ф2'!G16</f>
        <v>0</v>
      </c>
      <c r="H26" s="129">
        <f>'2-ф2'!H16</f>
        <v>0</v>
      </c>
      <c r="I26" s="129">
        <f>'2-ф2'!I16</f>
        <v>0</v>
      </c>
      <c r="J26" s="129">
        <f>'2-ф2'!J16</f>
        <v>0</v>
      </c>
      <c r="K26" s="129">
        <f>'2-ф2'!K16</f>
        <v>0</v>
      </c>
      <c r="L26" s="129">
        <f>'2-ф2'!L16</f>
        <v>0</v>
      </c>
      <c r="M26" s="129">
        <f>'2-ф2'!M16</f>
        <v>0</v>
      </c>
      <c r="N26" s="129">
        <f>'2-ф2'!N16</f>
        <v>-194.2635113888889</v>
      </c>
      <c r="O26" s="129">
        <f>'2-ф2'!O16</f>
        <v>-388.5270227777778</v>
      </c>
      <c r="P26" s="129">
        <f>'2-ф2'!P16</f>
        <v>-388.5270227777778</v>
      </c>
      <c r="Q26" s="129">
        <f>'2-ф2'!Q16</f>
        <v>-600.2563570833333</v>
      </c>
      <c r="R26" s="129">
        <f>'2-ф2'!R16</f>
        <v>-811.9856913888889</v>
      </c>
      <c r="S26" s="129">
        <f>'2-ф2'!S16</f>
        <v>-1023.7150256944444</v>
      </c>
      <c r="T26" s="129">
        <f>'2-ф2'!T16</f>
        <v>-1235.44436</v>
      </c>
      <c r="U26" s="129">
        <f>'2-ф2'!U16</f>
        <v>-1109.5464452680555</v>
      </c>
      <c r="V26" s="129">
        <f>'2-ф2'!V16</f>
        <v>-983.507212863515</v>
      </c>
      <c r="W26" s="129">
        <f>'2-ф2'!W16</f>
        <v>-857.3266627863782</v>
      </c>
      <c r="X26" s="129">
        <f>'2-ф2'!X16</f>
        <v>-731.0047950366453</v>
      </c>
      <c r="Y26" s="129">
        <f>'2-ф2'!Y16</f>
        <v>-604.5416096143163</v>
      </c>
      <c r="Z26" s="129">
        <f>'2-ф2'!Z16</f>
        <v>-477.9371065193911</v>
      </c>
      <c r="AA26" s="129">
        <f>'2-ф2'!AA16</f>
        <v>-351.1912857518697</v>
      </c>
      <c r="AB26" s="129">
        <f>'2-ф2'!AB16</f>
        <v>-224.30414731175222</v>
      </c>
      <c r="AC26" s="129">
        <f>'2-ф2'!AC16</f>
        <v>-224.30414731175222</v>
      </c>
      <c r="AD26" s="129">
        <f>'2-ф2'!AD16</f>
        <v>295.364292432158</v>
      </c>
      <c r="AE26" s="129">
        <f>'2-ф2'!AE16</f>
        <v>835.3824770299143</v>
      </c>
      <c r="AF26" s="129">
        <f>'2-ф2'!AF16</f>
        <v>1395.7504064815166</v>
      </c>
      <c r="AG26" s="129">
        <f>'2-ф2'!AG16</f>
        <v>1976.4680807869652</v>
      </c>
      <c r="AH26" s="129">
        <f>'2-ф2'!AH16</f>
        <v>2577.5354999462597</v>
      </c>
      <c r="AI26" s="129">
        <f>'2-ф2'!AI16</f>
        <v>3198.8113462868046</v>
      </c>
    </row>
    <row r="28" spans="1:35" ht="12.75">
      <c r="A28" s="132" t="s">
        <v>133</v>
      </c>
      <c r="B28" s="133"/>
      <c r="C28" s="134">
        <f aca="true" t="shared" si="15" ref="C28:AH28">C5-C16</f>
        <v>0</v>
      </c>
      <c r="D28" s="135">
        <f t="shared" si="15"/>
        <v>0</v>
      </c>
      <c r="E28" s="135">
        <f t="shared" si="15"/>
        <v>0</v>
      </c>
      <c r="F28" s="135">
        <f t="shared" si="15"/>
        <v>0</v>
      </c>
      <c r="G28" s="135">
        <f t="shared" si="15"/>
        <v>0</v>
      </c>
      <c r="H28" s="135">
        <f t="shared" si="15"/>
        <v>0</v>
      </c>
      <c r="I28" s="135">
        <f t="shared" si="15"/>
        <v>0</v>
      </c>
      <c r="J28" s="135">
        <f t="shared" si="15"/>
        <v>0</v>
      </c>
      <c r="K28" s="135">
        <f t="shared" si="15"/>
        <v>0</v>
      </c>
      <c r="L28" s="135">
        <f t="shared" si="15"/>
        <v>0</v>
      </c>
      <c r="M28" s="135">
        <f t="shared" si="15"/>
        <v>0</v>
      </c>
      <c r="N28" s="135">
        <f t="shared" si="15"/>
        <v>0</v>
      </c>
      <c r="O28" s="135">
        <f t="shared" si="15"/>
        <v>0</v>
      </c>
      <c r="P28" s="135">
        <f>P5-P16</f>
        <v>0</v>
      </c>
      <c r="Q28" s="135">
        <f t="shared" si="15"/>
        <v>0</v>
      </c>
      <c r="R28" s="135">
        <f t="shared" si="15"/>
        <v>0</v>
      </c>
      <c r="S28" s="135">
        <f t="shared" si="15"/>
        <v>0</v>
      </c>
      <c r="T28" s="135">
        <f t="shared" si="15"/>
        <v>0</v>
      </c>
      <c r="U28" s="135">
        <f t="shared" si="15"/>
        <v>0</v>
      </c>
      <c r="V28" s="135">
        <f t="shared" si="15"/>
        <v>0</v>
      </c>
      <c r="W28" s="135">
        <f t="shared" si="15"/>
        <v>0</v>
      </c>
      <c r="X28" s="135">
        <f t="shared" si="15"/>
        <v>0</v>
      </c>
      <c r="Y28" s="135">
        <f t="shared" si="15"/>
        <v>0</v>
      </c>
      <c r="Z28" s="135">
        <f t="shared" si="15"/>
        <v>0</v>
      </c>
      <c r="AA28" s="135">
        <f t="shared" si="15"/>
        <v>0</v>
      </c>
      <c r="AB28" s="135">
        <f t="shared" si="15"/>
        <v>0</v>
      </c>
      <c r="AC28" s="135">
        <f t="shared" si="15"/>
        <v>0</v>
      </c>
      <c r="AD28" s="135">
        <f t="shared" si="15"/>
        <v>0</v>
      </c>
      <c r="AE28" s="135">
        <f t="shared" si="15"/>
        <v>0</v>
      </c>
      <c r="AF28" s="135">
        <f t="shared" si="15"/>
        <v>0</v>
      </c>
      <c r="AG28" s="135">
        <f t="shared" si="15"/>
        <v>0</v>
      </c>
      <c r="AH28" s="135">
        <f t="shared" si="15"/>
        <v>0</v>
      </c>
      <c r="AI28" s="135">
        <f>AI5-AI16</f>
        <v>0</v>
      </c>
    </row>
    <row r="29" ht="12.75" hidden="1"/>
    <row r="30" spans="1:35" ht="12.75" hidden="1">
      <c r="A30" s="115" t="s">
        <v>132</v>
      </c>
      <c r="P30" s="116">
        <f>P26</f>
        <v>-388.5270227777778</v>
      </c>
      <c r="Q30" s="116">
        <f>'[45]ф2'!Q32</f>
        <v>109.48954266069855</v>
      </c>
      <c r="R30" s="116">
        <f>'[45]ф2'!R32</f>
        <v>109.48954266069855</v>
      </c>
      <c r="S30" s="116">
        <f>'[45]ф2'!S32</f>
        <v>108.45296951069854</v>
      </c>
      <c r="T30" s="116">
        <f>'[45]ф2'!T32</f>
        <v>106.37982321069852</v>
      </c>
      <c r="U30" s="116">
        <f>'[45]ф2'!U32</f>
        <v>103.27010376069849</v>
      </c>
      <c r="V30" s="116">
        <f>'[45]ф2'!V32</f>
        <v>103.27010376069849</v>
      </c>
      <c r="W30" s="116">
        <f>'[45]ф2'!W32</f>
        <v>103.27010376069849</v>
      </c>
      <c r="X30" s="116">
        <f>'[45]ф2'!X32</f>
        <v>99.20125340855881</v>
      </c>
      <c r="Y30" s="116">
        <f>'[45]ф2'!Y32</f>
        <v>99.20125340855881</v>
      </c>
      <c r="Z30" s="116">
        <f>'[45]ф2'!Z32</f>
        <v>99.20125340855881</v>
      </c>
      <c r="AA30" s="116">
        <f>'[45]ф2'!AA32</f>
        <v>99.20125340855881</v>
      </c>
      <c r="AB30" s="116">
        <f>'[45]ф2'!AB32</f>
        <v>82.61608300855879</v>
      </c>
      <c r="AC30" s="116">
        <f>AC26-P26</f>
        <v>164.22287546602558</v>
      </c>
      <c r="AD30" s="116">
        <f aca="true" t="shared" si="16" ref="AD30:AI30">AD26-AC26</f>
        <v>519.6684397439102</v>
      </c>
      <c r="AE30" s="116">
        <f t="shared" si="16"/>
        <v>540.0181845977563</v>
      </c>
      <c r="AF30" s="116">
        <f t="shared" si="16"/>
        <v>560.3679294516023</v>
      </c>
      <c r="AG30" s="116">
        <f t="shared" si="16"/>
        <v>580.7176743054486</v>
      </c>
      <c r="AH30" s="116">
        <f t="shared" si="16"/>
        <v>601.0674191592946</v>
      </c>
      <c r="AI30" s="116">
        <f t="shared" si="16"/>
        <v>621.2758463405448</v>
      </c>
    </row>
    <row r="31" spans="1:35" ht="12.75" hidden="1">
      <c r="A31" s="115" t="s">
        <v>134</v>
      </c>
      <c r="P31" s="116">
        <f>(P8+P10+P13+P14)-(C8+C10+C13+C14)</f>
        <v>0</v>
      </c>
      <c r="AC31" s="116">
        <f>(AC8+AC10+AC13+AC14)-(P8+P10+P13+P14)</f>
        <v>0</v>
      </c>
      <c r="AD31" s="116">
        <f aca="true" t="shared" si="17" ref="AD31:AI31">(AD8+AD10+AD13+AD14)-(AC8+AC10+AC13+AC14)</f>
        <v>0</v>
      </c>
      <c r="AE31" s="116">
        <f t="shared" si="17"/>
        <v>0</v>
      </c>
      <c r="AF31" s="116">
        <f t="shared" si="17"/>
        <v>0</v>
      </c>
      <c r="AG31" s="116">
        <f t="shared" si="17"/>
        <v>0</v>
      </c>
      <c r="AH31" s="116">
        <f t="shared" si="17"/>
        <v>0</v>
      </c>
      <c r="AI31" s="116">
        <f t="shared" si="17"/>
        <v>0</v>
      </c>
    </row>
    <row r="32" spans="1:35" ht="12.75" hidden="1">
      <c r="A32" s="115" t="s">
        <v>135</v>
      </c>
      <c r="P32" s="116">
        <f>P9-C9</f>
        <v>0</v>
      </c>
      <c r="AC32" s="116">
        <f>AC9-P9</f>
        <v>0</v>
      </c>
      <c r="AD32" s="116">
        <f aca="true" t="shared" si="18" ref="AD32:AI32">AD9-AC9</f>
        <v>0</v>
      </c>
      <c r="AE32" s="116">
        <f t="shared" si="18"/>
        <v>0</v>
      </c>
      <c r="AF32" s="116">
        <f t="shared" si="18"/>
        <v>0</v>
      </c>
      <c r="AG32" s="116">
        <f t="shared" si="18"/>
        <v>0</v>
      </c>
      <c r="AH32" s="116">
        <f t="shared" si="18"/>
        <v>0</v>
      </c>
      <c r="AI32" s="116">
        <f t="shared" si="18"/>
        <v>0</v>
      </c>
    </row>
    <row r="33" spans="1:35" ht="12.75" hidden="1">
      <c r="A33" s="115" t="s">
        <v>136</v>
      </c>
      <c r="P33" s="116">
        <f>(P21+P17)-(C21+C17)</f>
        <v>1847.019055</v>
      </c>
      <c r="AC33" s="116">
        <f>(AC21+AC17)-(P21+P17)</f>
        <v>-151.2069838461532</v>
      </c>
      <c r="AD33" s="116">
        <f aca="true" t="shared" si="19" ref="AD33:AI33">(AD21+AD17)-(AC21+AC17)</f>
        <v>-290.71064076922994</v>
      </c>
      <c r="AE33" s="116">
        <f t="shared" si="19"/>
        <v>-290.71064076922994</v>
      </c>
      <c r="AF33" s="116">
        <f t="shared" si="19"/>
        <v>-290.71064076923096</v>
      </c>
      <c r="AG33" s="116">
        <f t="shared" si="19"/>
        <v>-290.7106407692313</v>
      </c>
      <c r="AH33" s="116">
        <f t="shared" si="19"/>
        <v>-290.7106407692306</v>
      </c>
      <c r="AI33" s="116">
        <f t="shared" si="19"/>
        <v>-242.25886730769227</v>
      </c>
    </row>
    <row r="34" spans="1:35" ht="12.75" hidden="1">
      <c r="A34" s="115" t="s">
        <v>137</v>
      </c>
      <c r="P34" s="116">
        <f>-P31+P32+P33</f>
        <v>1847.019055</v>
      </c>
      <c r="Q34" s="116">
        <f aca="true" t="shared" si="20" ref="Q34:AB34">Q31+Q32+Q33</f>
        <v>0</v>
      </c>
      <c r="R34" s="116">
        <f t="shared" si="20"/>
        <v>0</v>
      </c>
      <c r="S34" s="116">
        <f t="shared" si="20"/>
        <v>0</v>
      </c>
      <c r="T34" s="116">
        <f t="shared" si="20"/>
        <v>0</v>
      </c>
      <c r="U34" s="116">
        <f t="shared" si="20"/>
        <v>0</v>
      </c>
      <c r="V34" s="116">
        <f t="shared" si="20"/>
        <v>0</v>
      </c>
      <c r="W34" s="116">
        <f t="shared" si="20"/>
        <v>0</v>
      </c>
      <c r="X34" s="116">
        <f t="shared" si="20"/>
        <v>0</v>
      </c>
      <c r="Y34" s="116">
        <f t="shared" si="20"/>
        <v>0</v>
      </c>
      <c r="Z34" s="116">
        <f t="shared" si="20"/>
        <v>0</v>
      </c>
      <c r="AA34" s="116">
        <f t="shared" si="20"/>
        <v>0</v>
      </c>
      <c r="AB34" s="116">
        <f t="shared" si="20"/>
        <v>0</v>
      </c>
      <c r="AC34" s="116">
        <f aca="true" t="shared" si="21" ref="AC34:AH34">-AC31+AC32+AC33</f>
        <v>-151.2069838461532</v>
      </c>
      <c r="AD34" s="116">
        <f t="shared" si="21"/>
        <v>-290.71064076922994</v>
      </c>
      <c r="AE34" s="116">
        <f t="shared" si="21"/>
        <v>-290.71064076922994</v>
      </c>
      <c r="AF34" s="116">
        <f t="shared" si="21"/>
        <v>-290.71064076923096</v>
      </c>
      <c r="AG34" s="116">
        <f t="shared" si="21"/>
        <v>-290.7106407692313</v>
      </c>
      <c r="AH34" s="116">
        <f t="shared" si="21"/>
        <v>-290.7106407692306</v>
      </c>
      <c r="AI34" s="116">
        <f>-AI31+AI32+AI33</f>
        <v>-242.25886730769227</v>
      </c>
    </row>
    <row r="35" spans="1:35" ht="12.75" hidden="1">
      <c r="A35" s="115" t="s">
        <v>74</v>
      </c>
      <c r="P35" s="116">
        <f>'2-ф2'!P11</f>
        <v>0</v>
      </c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>
        <f>'2-ф2'!AC11</f>
        <v>209.589875</v>
      </c>
      <c r="AD35" s="116">
        <f>'2-ф2'!AD11</f>
        <v>209.589875</v>
      </c>
      <c r="AE35" s="116">
        <f>'2-ф2'!AE11</f>
        <v>209.589875</v>
      </c>
      <c r="AF35" s="116">
        <f>'2-ф2'!AF11</f>
        <v>209.589875</v>
      </c>
      <c r="AG35" s="116">
        <f>'2-ф2'!AG11</f>
        <v>209.589875</v>
      </c>
      <c r="AH35" s="116">
        <f>'2-ф2'!AH11</f>
        <v>209.589875</v>
      </c>
      <c r="AI35" s="116">
        <f>'2-ф2'!AI11</f>
        <v>209.589875</v>
      </c>
    </row>
    <row r="36" spans="1:35" ht="12.75" hidden="1">
      <c r="A36" s="115" t="s">
        <v>138</v>
      </c>
      <c r="P36" s="116">
        <f>-'1-Ф3'!P20</f>
        <v>-1825.719</v>
      </c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>
        <f>-'1-Ф3'!AC20</f>
        <v>0</v>
      </c>
      <c r="AD36" s="116">
        <f>-'1-Ф3'!AD20</f>
        <v>0</v>
      </c>
      <c r="AE36" s="116">
        <f>-'1-Ф3'!AE20</f>
        <v>0</v>
      </c>
      <c r="AF36" s="116">
        <f>-'1-Ф3'!AF20</f>
        <v>0</v>
      </c>
      <c r="AG36" s="116">
        <f>-'1-Ф3'!AG20</f>
        <v>0</v>
      </c>
      <c r="AH36" s="116">
        <f>-'1-Ф3'!AH20</f>
        <v>0</v>
      </c>
      <c r="AI36" s="116">
        <f>-'1-Ф3'!AI20</f>
        <v>0</v>
      </c>
    </row>
    <row r="37" spans="1:35" ht="12.75" hidden="1">
      <c r="A37" s="115" t="s">
        <v>139</v>
      </c>
      <c r="P37" s="116">
        <f>P30+P34+P35+P36+P25</f>
        <v>0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>
        <f aca="true" t="shared" si="22" ref="AC37:AH37">AC30+AC34+AC35+AC36</f>
        <v>222.60576661987238</v>
      </c>
      <c r="AD37" s="116">
        <f t="shared" si="22"/>
        <v>438.54767397468027</v>
      </c>
      <c r="AE37" s="116">
        <f t="shared" si="22"/>
        <v>458.8974188285264</v>
      </c>
      <c r="AF37" s="116">
        <f t="shared" si="22"/>
        <v>479.24716368237137</v>
      </c>
      <c r="AG37" s="116">
        <f t="shared" si="22"/>
        <v>499.59690853621726</v>
      </c>
      <c r="AH37" s="116">
        <f t="shared" si="22"/>
        <v>519.946653390064</v>
      </c>
      <c r="AI37" s="116">
        <f>AI30+AI34+AI35+AI36</f>
        <v>588.6068540328525</v>
      </c>
    </row>
    <row r="38" ht="12.75" hidden="1"/>
    <row r="39" spans="1:35" ht="12.75" hidden="1">
      <c r="A39" s="115" t="s">
        <v>145</v>
      </c>
      <c r="P39" s="116">
        <f>'1-Ф3'!P33</f>
        <v>0</v>
      </c>
      <c r="AC39" s="116">
        <f>'1-Ф3'!AC33</f>
        <v>957.0597021754268</v>
      </c>
      <c r="AD39" s="116">
        <f>'1-Ф3'!AD33</f>
        <v>438.54767397467924</v>
      </c>
      <c r="AE39" s="116">
        <f>'1-Ф3'!AE33</f>
        <v>458.89741882852525</v>
      </c>
      <c r="AF39" s="116">
        <f>'1-Ф3'!AF33</f>
        <v>479.2471636823717</v>
      </c>
      <c r="AG39" s="116">
        <f>'1-Ф3'!AG33</f>
        <v>499.5969085362177</v>
      </c>
      <c r="AH39" s="116">
        <f>'1-Ф3'!AH33</f>
        <v>519.9466533900637</v>
      </c>
      <c r="AI39" s="116">
        <f>'1-Ф3'!AI33</f>
        <v>588.6068540328522</v>
      </c>
    </row>
    <row r="40" spans="1:35" ht="12.75" hidden="1">
      <c r="A40" s="132" t="s">
        <v>133</v>
      </c>
      <c r="B40" s="133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>
        <f>P39-P37</f>
        <v>0</v>
      </c>
      <c r="Q40" s="135">
        <f aca="true" t="shared" si="23" ref="Q40:AB40">Q39-Q37</f>
        <v>0</v>
      </c>
      <c r="R40" s="135">
        <f t="shared" si="23"/>
        <v>0</v>
      </c>
      <c r="S40" s="135">
        <f t="shared" si="23"/>
        <v>0</v>
      </c>
      <c r="T40" s="135">
        <f t="shared" si="23"/>
        <v>0</v>
      </c>
      <c r="U40" s="135">
        <f t="shared" si="23"/>
        <v>0</v>
      </c>
      <c r="V40" s="135">
        <f t="shared" si="23"/>
        <v>0</v>
      </c>
      <c r="W40" s="135">
        <f t="shared" si="23"/>
        <v>0</v>
      </c>
      <c r="X40" s="135">
        <f t="shared" si="23"/>
        <v>0</v>
      </c>
      <c r="Y40" s="135">
        <f t="shared" si="23"/>
        <v>0</v>
      </c>
      <c r="Z40" s="135">
        <f t="shared" si="23"/>
        <v>0</v>
      </c>
      <c r="AA40" s="135">
        <f t="shared" si="23"/>
        <v>0</v>
      </c>
      <c r="AB40" s="135">
        <f t="shared" si="23"/>
        <v>0</v>
      </c>
      <c r="AC40" s="135">
        <f aca="true" t="shared" si="24" ref="AC40:AH40">AC39-AC37</f>
        <v>734.4539355555544</v>
      </c>
      <c r="AD40" s="135">
        <f t="shared" si="24"/>
        <v>-1.0231815394945443E-12</v>
      </c>
      <c r="AE40" s="135">
        <f t="shared" si="24"/>
        <v>-1.1368683772161603E-12</v>
      </c>
      <c r="AF40" s="135">
        <f t="shared" si="24"/>
        <v>0</v>
      </c>
      <c r="AG40" s="135">
        <f t="shared" si="24"/>
        <v>4.547473508864641E-13</v>
      </c>
      <c r="AH40" s="135">
        <f t="shared" si="24"/>
        <v>0</v>
      </c>
      <c r="AI40" s="135">
        <f>AI39-AI37</f>
        <v>0</v>
      </c>
    </row>
    <row r="41" spans="11:14" ht="12.75">
      <c r="K41" s="229">
        <f>K28-J28</f>
        <v>0</v>
      </c>
      <c r="L41" s="229">
        <f>L28-K28</f>
        <v>0</v>
      </c>
      <c r="M41" s="229">
        <f>M28-L28</f>
        <v>0</v>
      </c>
      <c r="N41" s="229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6"/>
  <sheetViews>
    <sheetView showGridLines="0" zoomScalePageLayoutView="0" workbookViewId="0" topLeftCell="A1">
      <pane ySplit="3" topLeftCell="A24" activePane="bottomLeft" state="frozen"/>
      <selection pane="topLeft" activeCell="A34" sqref="A34"/>
      <selection pane="bottomLeft" activeCell="H22" sqref="H22"/>
    </sheetView>
  </sheetViews>
  <sheetFormatPr defaultColWidth="9.00390625" defaultRowHeight="12.75"/>
  <cols>
    <col min="1" max="1" width="29.875" style="70" customWidth="1"/>
    <col min="2" max="2" width="18.75390625" style="70" customWidth="1"/>
    <col min="3" max="3" width="20.00390625" style="70" customWidth="1"/>
    <col min="4" max="4" width="19.00390625" style="70" customWidth="1"/>
    <col min="5" max="13" width="9.125" style="70" customWidth="1"/>
    <col min="14" max="14" width="14.375" style="70" customWidth="1"/>
    <col min="15" max="16384" width="9.125" style="70" customWidth="1"/>
  </cols>
  <sheetData>
    <row r="1" spans="1:3" ht="15.75" customHeight="1">
      <c r="A1" s="301" t="s">
        <v>36</v>
      </c>
      <c r="B1" s="301"/>
      <c r="C1" s="301"/>
    </row>
    <row r="2" spans="1:7" ht="12" customHeight="1">
      <c r="A2" s="60"/>
      <c r="G2" s="233">
        <f>'1-Ф3'!B34</f>
        <v>3941.9023746201383</v>
      </c>
    </row>
    <row r="3" spans="1:3" ht="12.75">
      <c r="A3" s="71" t="s">
        <v>26</v>
      </c>
      <c r="B3" s="72" t="s">
        <v>37</v>
      </c>
      <c r="C3" s="72" t="s">
        <v>7</v>
      </c>
    </row>
    <row r="4" ht="12.75">
      <c r="A4" s="60" t="s">
        <v>147</v>
      </c>
    </row>
    <row r="5" spans="1:3" ht="12.75">
      <c r="A5" s="73" t="s">
        <v>100</v>
      </c>
      <c r="B5" s="73"/>
      <c r="C5" s="141">
        <v>151.54</v>
      </c>
    </row>
    <row r="6" spans="1:3" ht="12.75">
      <c r="A6" s="73" t="s">
        <v>157</v>
      </c>
      <c r="B6" s="73"/>
      <c r="C6" s="220">
        <v>4.61</v>
      </c>
    </row>
    <row r="7" spans="1:4" ht="12.75">
      <c r="A7" s="73" t="s">
        <v>70</v>
      </c>
      <c r="B7" s="73"/>
      <c r="C7" s="153">
        <f>(20%*C8+C39*(1-C21)*(1-C8))*0+10%</f>
        <v>0.1</v>
      </c>
      <c r="D7" s="70" t="s">
        <v>203</v>
      </c>
    </row>
    <row r="8" spans="1:3" ht="12.75" hidden="1">
      <c r="A8" s="73" t="s">
        <v>200</v>
      </c>
      <c r="B8" s="73"/>
      <c r="C8" s="76">
        <v>0</v>
      </c>
    </row>
    <row r="9" spans="1:3" ht="12.75">
      <c r="A9" s="73" t="s">
        <v>140</v>
      </c>
      <c r="B9" s="73"/>
      <c r="C9" s="77" t="s">
        <v>56</v>
      </c>
    </row>
    <row r="10" ht="12.75">
      <c r="A10" s="60" t="s">
        <v>141</v>
      </c>
    </row>
    <row r="11" spans="1:3" ht="12.75">
      <c r="A11" s="73" t="s">
        <v>44</v>
      </c>
      <c r="B11" s="75" t="s">
        <v>39</v>
      </c>
      <c r="C11" s="76">
        <v>0.1</v>
      </c>
    </row>
    <row r="12" spans="1:3" ht="12.75">
      <c r="A12" s="73" t="s">
        <v>49</v>
      </c>
      <c r="B12" s="75" t="s">
        <v>39</v>
      </c>
      <c r="C12" s="76">
        <v>0.05</v>
      </c>
    </row>
    <row r="13" spans="1:3" ht="12.75">
      <c r="A13" s="73" t="s">
        <v>205</v>
      </c>
      <c r="B13" s="75" t="s">
        <v>39</v>
      </c>
      <c r="C13" s="76">
        <v>0.1</v>
      </c>
    </row>
    <row r="14" spans="1:3" ht="12.75" hidden="1">
      <c r="A14" s="73" t="s">
        <v>47</v>
      </c>
      <c r="B14" s="75" t="s">
        <v>39</v>
      </c>
      <c r="C14" s="76">
        <f>11%*0</f>
        <v>0</v>
      </c>
    </row>
    <row r="15" spans="1:3" ht="12.75">
      <c r="A15" s="73" t="s">
        <v>111</v>
      </c>
      <c r="B15" s="75" t="s">
        <v>56</v>
      </c>
      <c r="C15" s="78">
        <v>18.66</v>
      </c>
    </row>
    <row r="16" spans="1:4" ht="12.75">
      <c r="A16" s="73" t="s">
        <v>206</v>
      </c>
      <c r="B16" s="75"/>
      <c r="C16" s="259"/>
      <c r="D16" s="70" t="s">
        <v>204</v>
      </c>
    </row>
    <row r="17" spans="1:4" ht="12.75">
      <c r="A17" s="73" t="s">
        <v>241</v>
      </c>
      <c r="B17" s="75"/>
      <c r="C17" s="231">
        <v>0.001</v>
      </c>
      <c r="D17" s="70" t="s">
        <v>210</v>
      </c>
    </row>
    <row r="18" spans="1:4" ht="12.75">
      <c r="A18" s="73" t="s">
        <v>1</v>
      </c>
      <c r="B18" s="75"/>
      <c r="C18" s="231">
        <f>1.5%*0</f>
        <v>0</v>
      </c>
      <c r="D18" s="70" t="s">
        <v>204</v>
      </c>
    </row>
    <row r="19" spans="1:4" ht="12.75" hidden="1">
      <c r="A19" s="73" t="s">
        <v>38</v>
      </c>
      <c r="B19" s="75" t="s">
        <v>39</v>
      </c>
      <c r="C19" s="76">
        <f>12%*0</f>
        <v>0</v>
      </c>
      <c r="D19" s="70" t="s">
        <v>204</v>
      </c>
    </row>
    <row r="20" spans="1:4" ht="12.75" hidden="1">
      <c r="A20" s="73" t="s">
        <v>57</v>
      </c>
      <c r="B20" s="73"/>
      <c r="C20" s="74">
        <v>1</v>
      </c>
      <c r="D20" s="70" t="s">
        <v>204</v>
      </c>
    </row>
    <row r="21" spans="1:4" ht="12.75">
      <c r="A21" s="73" t="s">
        <v>186</v>
      </c>
      <c r="B21" s="73"/>
      <c r="C21" s="76">
        <v>0</v>
      </c>
      <c r="D21" s="70" t="s">
        <v>204</v>
      </c>
    </row>
    <row r="23" spans="1:10" ht="12.75">
      <c r="A23" s="60" t="s">
        <v>239</v>
      </c>
      <c r="C23" s="143"/>
      <c r="D23" s="143"/>
      <c r="E23" s="143"/>
      <c r="F23" s="143"/>
      <c r="G23" s="143"/>
      <c r="H23" s="143"/>
      <c r="I23" s="143"/>
      <c r="J23" s="143"/>
    </row>
    <row r="24" spans="1:10" ht="12.75">
      <c r="A24" s="73" t="s">
        <v>263</v>
      </c>
      <c r="B24" s="75" t="s">
        <v>264</v>
      </c>
      <c r="C24" s="141">
        <v>60</v>
      </c>
      <c r="D24" s="143"/>
      <c r="E24" s="143"/>
      <c r="F24" s="143"/>
      <c r="G24" s="143"/>
      <c r="H24" s="143"/>
      <c r="I24" s="143"/>
      <c r="J24" s="143"/>
    </row>
    <row r="25" ht="12.75">
      <c r="A25" s="60" t="s">
        <v>259</v>
      </c>
    </row>
    <row r="26" spans="1:4" ht="12.75">
      <c r="A26" s="160" t="s">
        <v>260</v>
      </c>
      <c r="B26" s="75" t="s">
        <v>262</v>
      </c>
      <c r="C26" s="141">
        <v>36</v>
      </c>
      <c r="D26" s="70" t="s">
        <v>265</v>
      </c>
    </row>
    <row r="27" spans="1:3" ht="12.75">
      <c r="A27" s="160" t="s">
        <v>261</v>
      </c>
      <c r="B27" s="75" t="s">
        <v>262</v>
      </c>
      <c r="C27" s="220">
        <f>(0.5+2)/2</f>
        <v>1.25</v>
      </c>
    </row>
    <row r="28" ht="12.75">
      <c r="A28" s="60" t="s">
        <v>214</v>
      </c>
    </row>
    <row r="29" spans="1:4" ht="12.75">
      <c r="A29" s="160" t="s">
        <v>260</v>
      </c>
      <c r="B29" s="75" t="s">
        <v>215</v>
      </c>
      <c r="C29" s="141">
        <v>1200</v>
      </c>
      <c r="D29" s="217" t="s">
        <v>266</v>
      </c>
    </row>
    <row r="30" spans="1:4" ht="12.75">
      <c r="A30" s="160" t="s">
        <v>261</v>
      </c>
      <c r="B30" s="75" t="s">
        <v>215</v>
      </c>
      <c r="C30" s="141">
        <v>6000</v>
      </c>
      <c r="D30" s="217" t="s">
        <v>267</v>
      </c>
    </row>
    <row r="31" spans="1:4" ht="12.75" hidden="1">
      <c r="A31" s="160"/>
      <c r="B31" s="75"/>
      <c r="C31" s="141"/>
      <c r="D31" s="8"/>
    </row>
    <row r="32" ht="12.75">
      <c r="A32" s="60" t="s">
        <v>208</v>
      </c>
    </row>
    <row r="33" spans="1:3" ht="12.75">
      <c r="A33" s="160" t="s">
        <v>240</v>
      </c>
      <c r="B33" s="214" t="s">
        <v>207</v>
      </c>
      <c r="C33" s="215">
        <v>1</v>
      </c>
    </row>
    <row r="34" spans="1:3" ht="12.75" hidden="1">
      <c r="A34" s="160"/>
      <c r="B34" s="214"/>
      <c r="C34" s="260"/>
    </row>
    <row r="35" ht="12.75">
      <c r="A35" s="60" t="s">
        <v>209</v>
      </c>
    </row>
    <row r="36" spans="1:3" ht="12.75">
      <c r="A36" s="160" t="s">
        <v>240</v>
      </c>
      <c r="B36" s="214" t="s">
        <v>56</v>
      </c>
      <c r="C36" s="270">
        <f>27100/3/20</f>
        <v>451.6666666666667</v>
      </c>
    </row>
    <row r="37" spans="1:3" ht="12.75" hidden="1">
      <c r="A37" s="160"/>
      <c r="B37" s="214"/>
      <c r="C37" s="260"/>
    </row>
    <row r="38" ht="12.75">
      <c r="A38" s="60" t="s">
        <v>148</v>
      </c>
    </row>
    <row r="39" spans="1:3" ht="12.75">
      <c r="A39" s="73" t="s">
        <v>54</v>
      </c>
      <c r="B39" s="75" t="s">
        <v>39</v>
      </c>
      <c r="C39" s="76">
        <v>0.07</v>
      </c>
    </row>
    <row r="40" spans="1:3" ht="12.75">
      <c r="A40" s="73" t="s">
        <v>149</v>
      </c>
      <c r="B40" s="75" t="s">
        <v>150</v>
      </c>
      <c r="C40" s="220">
        <v>7</v>
      </c>
    </row>
    <row r="41" spans="1:3" ht="12.75">
      <c r="A41" s="73" t="s">
        <v>151</v>
      </c>
      <c r="B41" s="75" t="s">
        <v>153</v>
      </c>
      <c r="C41" s="141">
        <v>6</v>
      </c>
    </row>
    <row r="42" spans="1:3" ht="12.75">
      <c r="A42" s="73" t="s">
        <v>152</v>
      </c>
      <c r="B42" s="75" t="s">
        <v>153</v>
      </c>
      <c r="C42" s="141">
        <v>6</v>
      </c>
    </row>
    <row r="44" spans="1:5" ht="12.75">
      <c r="A44" s="60" t="s">
        <v>221</v>
      </c>
      <c r="B44" s="143" t="s">
        <v>194</v>
      </c>
      <c r="C44" s="143" t="s">
        <v>223</v>
      </c>
      <c r="D44" s="143" t="s">
        <v>222</v>
      </c>
      <c r="E44" s="70" t="s">
        <v>224</v>
      </c>
    </row>
    <row r="45" spans="1:5" ht="12.75">
      <c r="A45" s="142">
        <f>C33</f>
        <v>1</v>
      </c>
      <c r="B45" s="70" t="s">
        <v>207</v>
      </c>
      <c r="C45" s="263">
        <f>C17</f>
        <v>0.001</v>
      </c>
      <c r="D45" s="147">
        <f>C36</f>
        <v>451.6666666666667</v>
      </c>
      <c r="E45" s="164">
        <f>C45*D45</f>
        <v>0.4516666666666667</v>
      </c>
    </row>
    <row r="46" spans="5:6" ht="12.75">
      <c r="E46" s="271">
        <f>SUM(E45:E45)</f>
        <v>0.4516666666666667</v>
      </c>
      <c r="F46" s="60" t="s">
        <v>225</v>
      </c>
    </row>
  </sheetData>
  <sheetProtection/>
  <mergeCells count="1">
    <mergeCell ref="A1:C1"/>
  </mergeCells>
  <hyperlinks>
    <hyperlink ref="D29" r:id="rId1" display="http://kostanay-obl.all.biz/med-vseh-sortov-bgc150?city=44"/>
    <hyperlink ref="D30" r:id="rId2" display="http://petropavlovsk.sko.slando.kz/obyavlenie/prodam-pchelinyy-vosk-ID4km35.html"/>
  </hyperlinks>
  <printOptions/>
  <pageMargins left="0.3" right="0.25" top="0.43" bottom="0.33" header="0.21" footer="0.24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E7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F18" sqref="F18"/>
    </sheetView>
  </sheetViews>
  <sheetFormatPr defaultColWidth="8.875" defaultRowHeight="12.75"/>
  <cols>
    <col min="1" max="1" width="29.75390625" style="70" customWidth="1"/>
    <col min="2" max="2" width="10.875" style="70" customWidth="1"/>
    <col min="3" max="3" width="9.125" style="70" customWidth="1"/>
    <col min="4" max="4" width="9.125" style="70" bestFit="1" customWidth="1"/>
    <col min="5" max="5" width="14.375" style="70" bestFit="1" customWidth="1"/>
    <col min="6" max="16384" width="8.875" style="70" customWidth="1"/>
  </cols>
  <sheetData>
    <row r="1" ht="12.75">
      <c r="A1" s="60" t="s">
        <v>270</v>
      </c>
    </row>
    <row r="2" ht="12.75">
      <c r="A2" s="60"/>
    </row>
    <row r="3" spans="1:5" ht="12.75">
      <c r="A3" s="70" t="s">
        <v>210</v>
      </c>
      <c r="C3" s="136"/>
      <c r="D3" s="136"/>
      <c r="E3" s="136"/>
    </row>
    <row r="4" spans="1:5" ht="12.75">
      <c r="A4" s="212" t="s">
        <v>94</v>
      </c>
      <c r="B4" s="219" t="s">
        <v>271</v>
      </c>
      <c r="C4" s="219" t="s">
        <v>155</v>
      </c>
      <c r="D4" s="219" t="s">
        <v>272</v>
      </c>
      <c r="E4" s="219" t="s">
        <v>189</v>
      </c>
    </row>
    <row r="5" spans="1:5" ht="12.75">
      <c r="A5" s="73" t="str">
        <f>Исх!A29</f>
        <v>Мед</v>
      </c>
      <c r="B5" s="218" t="str">
        <f>Исх!B26</f>
        <v>кг</v>
      </c>
      <c r="C5" s="142">
        <f>Исх!C26*Исх!$C$24</f>
        <v>2160</v>
      </c>
      <c r="D5" s="142">
        <f>Исх!C29</f>
        <v>1200</v>
      </c>
      <c r="E5" s="142">
        <f>C5*D5/1000</f>
        <v>2592</v>
      </c>
    </row>
    <row r="6" spans="1:5" ht="12.75">
      <c r="A6" s="73" t="str">
        <f>Исх!A30</f>
        <v>Пчелиный воск</v>
      </c>
      <c r="B6" s="218" t="str">
        <f>Исх!B27</f>
        <v>кг</v>
      </c>
      <c r="C6" s="142">
        <f>Исх!C27*Исх!$C$24</f>
        <v>75</v>
      </c>
      <c r="D6" s="142">
        <f>Исх!C30</f>
        <v>6000</v>
      </c>
      <c r="E6" s="142">
        <f>C6*D6/1000</f>
        <v>450</v>
      </c>
    </row>
    <row r="7" spans="1:5" ht="12.75">
      <c r="A7" s="149" t="s">
        <v>0</v>
      </c>
      <c r="B7" s="275"/>
      <c r="C7" s="276"/>
      <c r="D7" s="276"/>
      <c r="E7" s="276">
        <f>SUM(E5:E6)</f>
        <v>3042</v>
      </c>
    </row>
  </sheetData>
  <sheetProtection/>
  <printOptions/>
  <pageMargins left="0.49" right="0.18" top="0.59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8.875" defaultRowHeight="12.75"/>
  <cols>
    <col min="1" max="1" width="27.75390625" style="70" customWidth="1"/>
    <col min="2" max="2" width="12.75390625" style="70" customWidth="1"/>
    <col min="3" max="3" width="17.25390625" style="70" customWidth="1"/>
    <col min="4" max="4" width="11.875" style="70" customWidth="1"/>
    <col min="5" max="5" width="10.625" style="70" customWidth="1"/>
    <col min="6" max="6" width="13.00390625" style="70" customWidth="1"/>
    <col min="7" max="7" width="14.125" style="70" customWidth="1"/>
    <col min="8" max="16384" width="8.875" style="70" customWidth="1"/>
  </cols>
  <sheetData>
    <row r="1" spans="1:4" ht="12.75">
      <c r="A1" s="60" t="s">
        <v>273</v>
      </c>
      <c r="B1" s="60"/>
      <c r="C1" s="60"/>
      <c r="D1" s="60"/>
    </row>
    <row r="3" spans="1:4" ht="12.75">
      <c r="A3" s="302" t="s">
        <v>274</v>
      </c>
      <c r="B3" s="303"/>
      <c r="C3" s="303"/>
      <c r="D3" s="273"/>
    </row>
    <row r="4" spans="1:4" ht="12.75">
      <c r="A4" s="302"/>
      <c r="B4" s="304"/>
      <c r="C4" s="304"/>
      <c r="D4" s="273"/>
    </row>
    <row r="5" spans="1:4" ht="12.75">
      <c r="A5" s="73"/>
      <c r="B5" s="218"/>
      <c r="C5" s="262"/>
      <c r="D5" s="262"/>
    </row>
    <row r="6" spans="1:4" ht="12.75">
      <c r="A6" s="73"/>
      <c r="B6" s="218"/>
      <c r="C6" s="262"/>
      <c r="D6" s="262"/>
    </row>
    <row r="7" spans="1:4" ht="12.75">
      <c r="A7" s="73"/>
      <c r="B7" s="218"/>
      <c r="C7" s="262"/>
      <c r="D7" s="262"/>
    </row>
    <row r="8" spans="1:4" ht="12.75">
      <c r="A8" s="73"/>
      <c r="B8" s="218"/>
      <c r="C8" s="262"/>
      <c r="D8" s="262"/>
    </row>
    <row r="9" spans="1:4" ht="12.75">
      <c r="A9" s="73"/>
      <c r="B9" s="218"/>
      <c r="C9" s="262"/>
      <c r="D9" s="262"/>
    </row>
    <row r="10" spans="1:4" ht="12.75">
      <c r="A10" s="73"/>
      <c r="B10" s="218"/>
      <c r="C10" s="262"/>
      <c r="D10" s="262"/>
    </row>
    <row r="11" spans="1:4" s="60" customFormat="1" ht="12.75">
      <c r="A11" s="149"/>
      <c r="B11" s="274"/>
      <c r="C11" s="274"/>
      <c r="D11" s="274"/>
    </row>
    <row r="13" ht="12.75">
      <c r="A13" s="60"/>
    </row>
  </sheetData>
  <sheetProtection/>
  <mergeCells count="3">
    <mergeCell ref="A3:A4"/>
    <mergeCell ref="B3:B4"/>
    <mergeCell ref="C3:C4"/>
  </mergeCells>
  <printOptions/>
  <pageMargins left="0.23" right="0.2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15"/>
  <sheetViews>
    <sheetView showGridLines="0" showZeros="0" zoomScalePageLayoutView="0" workbookViewId="0" topLeftCell="A1">
      <pane xSplit="3" ySplit="4" topLeftCell="Q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U10" sqref="U10"/>
    </sheetView>
  </sheetViews>
  <sheetFormatPr defaultColWidth="10.125" defaultRowHeight="12.75" outlineLevelCol="1"/>
  <cols>
    <col min="1" max="1" width="31.375" style="224" customWidth="1"/>
    <col min="2" max="2" width="11.375" style="224" customWidth="1"/>
    <col min="3" max="3" width="4.375" style="224" customWidth="1"/>
    <col min="4" max="10" width="6.25390625" style="224" hidden="1" customWidth="1" outlineLevel="1"/>
    <col min="11" max="12" width="9.00390625" style="224" hidden="1" customWidth="1" outlineLevel="1"/>
    <col min="13" max="14" width="8.625" style="224" hidden="1" customWidth="1" outlineLevel="1"/>
    <col min="15" max="15" width="8.875" style="224" hidden="1" customWidth="1" outlineLevel="1"/>
    <col min="16" max="16" width="9.125" style="224" customWidth="1" collapsed="1"/>
    <col min="17" max="28" width="8.375" style="224" hidden="1" customWidth="1" outlineLevel="1"/>
    <col min="29" max="29" width="9.125" style="224" customWidth="1" collapsed="1"/>
    <col min="30" max="35" width="9.125" style="224" customWidth="1"/>
    <col min="36" max="36" width="10.125" style="222" customWidth="1"/>
    <col min="37" max="16384" width="10.125" style="224" customWidth="1"/>
  </cols>
  <sheetData>
    <row r="1" spans="1:36" ht="12.75">
      <c r="A1" s="226" t="s">
        <v>217</v>
      </c>
      <c r="B1" s="223"/>
      <c r="C1" s="223"/>
      <c r="AJ1" s="224"/>
    </row>
    <row r="2" spans="1:36" ht="12.75">
      <c r="A2" s="226"/>
      <c r="B2" s="227" t="s">
        <v>262</v>
      </c>
      <c r="C2" s="225"/>
      <c r="AJ2" s="224"/>
    </row>
    <row r="3" spans="1:36" ht="12.75" customHeight="1">
      <c r="A3" s="305" t="s">
        <v>192</v>
      </c>
      <c r="B3" s="299" t="s">
        <v>85</v>
      </c>
      <c r="C3" s="118"/>
      <c r="D3" s="300">
        <v>2013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>
        <v>2014</v>
      </c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119">
        <v>2015</v>
      </c>
      <c r="AE3" s="119">
        <f>AD3+1</f>
        <v>2016</v>
      </c>
      <c r="AF3" s="119">
        <f>AE3+1</f>
        <v>2017</v>
      </c>
      <c r="AG3" s="119">
        <f>AF3+1</f>
        <v>2018</v>
      </c>
      <c r="AH3" s="119">
        <f>AG3+1</f>
        <v>2019</v>
      </c>
      <c r="AI3" s="119">
        <f>AH3+1</f>
        <v>2020</v>
      </c>
      <c r="AJ3" s="224"/>
    </row>
    <row r="4" spans="1:36" ht="12.75">
      <c r="A4" s="306"/>
      <c r="B4" s="299"/>
      <c r="C4" s="120"/>
      <c r="D4" s="121">
        <f aca="true" t="shared" si="0" ref="D4:L4">C4+1</f>
        <v>1</v>
      </c>
      <c r="E4" s="121">
        <f t="shared" si="0"/>
        <v>2</v>
      </c>
      <c r="F4" s="121">
        <f t="shared" si="0"/>
        <v>3</v>
      </c>
      <c r="G4" s="121">
        <f t="shared" si="0"/>
        <v>4</v>
      </c>
      <c r="H4" s="121">
        <f t="shared" si="0"/>
        <v>5</v>
      </c>
      <c r="I4" s="121">
        <f t="shared" si="0"/>
        <v>6</v>
      </c>
      <c r="J4" s="121">
        <f t="shared" si="0"/>
        <v>7</v>
      </c>
      <c r="K4" s="121">
        <f t="shared" si="0"/>
        <v>8</v>
      </c>
      <c r="L4" s="121">
        <f t="shared" si="0"/>
        <v>9</v>
      </c>
      <c r="M4" s="121">
        <f>L4+1</f>
        <v>10</v>
      </c>
      <c r="N4" s="121">
        <f>M4+1</f>
        <v>11</v>
      </c>
      <c r="O4" s="121">
        <f>N4+1</f>
        <v>12</v>
      </c>
      <c r="P4" s="117" t="s">
        <v>0</v>
      </c>
      <c r="Q4" s="121">
        <v>1</v>
      </c>
      <c r="R4" s="121">
        <f aca="true" t="shared" si="1" ref="R4:AB4">Q4+1</f>
        <v>2</v>
      </c>
      <c r="S4" s="121">
        <f t="shared" si="1"/>
        <v>3</v>
      </c>
      <c r="T4" s="121">
        <f t="shared" si="1"/>
        <v>4</v>
      </c>
      <c r="U4" s="121">
        <f t="shared" si="1"/>
        <v>5</v>
      </c>
      <c r="V4" s="121">
        <f t="shared" si="1"/>
        <v>6</v>
      </c>
      <c r="W4" s="121">
        <f t="shared" si="1"/>
        <v>7</v>
      </c>
      <c r="X4" s="121">
        <f t="shared" si="1"/>
        <v>8</v>
      </c>
      <c r="Y4" s="121">
        <f t="shared" si="1"/>
        <v>9</v>
      </c>
      <c r="Z4" s="121">
        <f t="shared" si="1"/>
        <v>10</v>
      </c>
      <c r="AA4" s="121">
        <f t="shared" si="1"/>
        <v>11</v>
      </c>
      <c r="AB4" s="121">
        <f t="shared" si="1"/>
        <v>12</v>
      </c>
      <c r="AC4" s="117" t="s">
        <v>0</v>
      </c>
      <c r="AD4" s="117" t="s">
        <v>110</v>
      </c>
      <c r="AE4" s="117" t="s">
        <v>110</v>
      </c>
      <c r="AF4" s="117" t="s">
        <v>110</v>
      </c>
      <c r="AG4" s="117" t="s">
        <v>110</v>
      </c>
      <c r="AH4" s="117" t="s">
        <v>110</v>
      </c>
      <c r="AI4" s="117" t="s">
        <v>110</v>
      </c>
      <c r="AJ4" s="224"/>
    </row>
    <row r="5" ht="12.75">
      <c r="A5" s="226" t="s">
        <v>193</v>
      </c>
    </row>
    <row r="6" spans="1:36" ht="15" customHeight="1">
      <c r="A6" s="232" t="str">
        <f>Исх!A26</f>
        <v>Мед</v>
      </c>
      <c r="B6" s="123">
        <f>P6+AC6+AD6+AE6+AF6+AG6+AH6+AI6</f>
        <v>15120</v>
      </c>
      <c r="C6" s="123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3">
        <f>SUM(D6:O6)</f>
        <v>0</v>
      </c>
      <c r="Q6" s="129"/>
      <c r="R6" s="129"/>
      <c r="S6" s="129"/>
      <c r="T6" s="129"/>
      <c r="U6" s="129">
        <f>Исх!$C26*Исх!$C$24/4</f>
        <v>540</v>
      </c>
      <c r="V6" s="129">
        <f>Исх!$C26*Исх!$C$24/4</f>
        <v>540</v>
      </c>
      <c r="W6" s="129">
        <f>Исх!$C26*Исх!$C$24/4</f>
        <v>540</v>
      </c>
      <c r="X6" s="129">
        <f>Исх!$C26*Исх!$C$24/4</f>
        <v>540</v>
      </c>
      <c r="Y6" s="129"/>
      <c r="Z6" s="129"/>
      <c r="AA6" s="129"/>
      <c r="AB6" s="129"/>
      <c r="AC6" s="123">
        <f>SUM(Q6:AB6)</f>
        <v>2160</v>
      </c>
      <c r="AD6" s="129">
        <f aca="true" t="shared" si="2" ref="AD6:AI7">AC6</f>
        <v>2160</v>
      </c>
      <c r="AE6" s="129">
        <f t="shared" si="2"/>
        <v>2160</v>
      </c>
      <c r="AF6" s="129">
        <f t="shared" si="2"/>
        <v>2160</v>
      </c>
      <c r="AG6" s="129">
        <f t="shared" si="2"/>
        <v>2160</v>
      </c>
      <c r="AH6" s="129">
        <f t="shared" si="2"/>
        <v>2160</v>
      </c>
      <c r="AI6" s="129">
        <f t="shared" si="2"/>
        <v>2160</v>
      </c>
      <c r="AJ6" s="224"/>
    </row>
    <row r="7" spans="1:36" ht="15" customHeight="1">
      <c r="A7" s="232" t="str">
        <f>Исх!A27</f>
        <v>Пчелиный воск</v>
      </c>
      <c r="B7" s="123">
        <f>P7+AC7+AD7+AE7+AF7+AG7+AH7+AI7</f>
        <v>525</v>
      </c>
      <c r="C7" s="123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3">
        <f>SUM(D7:O7)</f>
        <v>0</v>
      </c>
      <c r="Q7" s="129"/>
      <c r="R7" s="129"/>
      <c r="S7" s="129"/>
      <c r="T7" s="129"/>
      <c r="U7" s="129">
        <f>Исх!$C27*Исх!$C$24/4</f>
        <v>18.75</v>
      </c>
      <c r="V7" s="129">
        <f>Исх!$C27*Исх!$C$24/4</f>
        <v>18.75</v>
      </c>
      <c r="W7" s="129">
        <f>Исх!$C27*Исх!$C$24/4</f>
        <v>18.75</v>
      </c>
      <c r="X7" s="129">
        <f>Исх!$C27*Исх!$C$24/4</f>
        <v>18.75</v>
      </c>
      <c r="Y7" s="129"/>
      <c r="Z7" s="129"/>
      <c r="AA7" s="129"/>
      <c r="AB7" s="129"/>
      <c r="AC7" s="123">
        <f>SUM(Q7:AB7)</f>
        <v>75</v>
      </c>
      <c r="AD7" s="129">
        <f t="shared" si="2"/>
        <v>75</v>
      </c>
      <c r="AE7" s="129">
        <f t="shared" si="2"/>
        <v>75</v>
      </c>
      <c r="AF7" s="129">
        <f t="shared" si="2"/>
        <v>75</v>
      </c>
      <c r="AG7" s="129">
        <f t="shared" si="2"/>
        <v>75</v>
      </c>
      <c r="AH7" s="129">
        <f t="shared" si="2"/>
        <v>75</v>
      </c>
      <c r="AI7" s="129">
        <f t="shared" si="2"/>
        <v>75</v>
      </c>
      <c r="AJ7" s="224"/>
    </row>
    <row r="8" ht="7.5" customHeight="1"/>
    <row r="9" ht="12.75">
      <c r="A9" s="226" t="s">
        <v>196</v>
      </c>
    </row>
    <row r="10" spans="1:36" ht="15" customHeight="1">
      <c r="A10" s="232" t="str">
        <f>A6</f>
        <v>Мед</v>
      </c>
      <c r="B10" s="123">
        <f>P10+AC10+AD10+AE10+AF10+AG10+AH10+AI10</f>
        <v>14880</v>
      </c>
      <c r="C10" s="123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3">
        <f>SUM(D10:O10)</f>
        <v>0</v>
      </c>
      <c r="Q10" s="129"/>
      <c r="R10" s="129"/>
      <c r="S10" s="129"/>
      <c r="T10" s="129"/>
      <c r="U10" s="129">
        <f>$AC6/9</f>
        <v>240</v>
      </c>
      <c r="V10" s="129">
        <f aca="true" t="shared" si="3" ref="V10:AB10">$AC6/9</f>
        <v>240</v>
      </c>
      <c r="W10" s="129">
        <f t="shared" si="3"/>
        <v>240</v>
      </c>
      <c r="X10" s="129">
        <f t="shared" si="3"/>
        <v>240</v>
      </c>
      <c r="Y10" s="129">
        <f t="shared" si="3"/>
        <v>240</v>
      </c>
      <c r="Z10" s="129">
        <f t="shared" si="3"/>
        <v>240</v>
      </c>
      <c r="AA10" s="129">
        <f t="shared" si="3"/>
        <v>240</v>
      </c>
      <c r="AB10" s="129">
        <f t="shared" si="3"/>
        <v>240</v>
      </c>
      <c r="AC10" s="123">
        <f>SUM(Q10:AB10)</f>
        <v>1920</v>
      </c>
      <c r="AD10" s="129">
        <f aca="true" t="shared" si="4" ref="AD10:AI11">AD6</f>
        <v>2160</v>
      </c>
      <c r="AE10" s="129">
        <f t="shared" si="4"/>
        <v>2160</v>
      </c>
      <c r="AF10" s="129">
        <f t="shared" si="4"/>
        <v>2160</v>
      </c>
      <c r="AG10" s="129">
        <f t="shared" si="4"/>
        <v>2160</v>
      </c>
      <c r="AH10" s="129">
        <f t="shared" si="4"/>
        <v>2160</v>
      </c>
      <c r="AI10" s="129">
        <f t="shared" si="4"/>
        <v>2160</v>
      </c>
      <c r="AJ10" s="224"/>
    </row>
    <row r="11" spans="1:36" ht="15" customHeight="1">
      <c r="A11" s="232" t="str">
        <f>A7</f>
        <v>Пчелиный воск</v>
      </c>
      <c r="B11" s="123">
        <f>P11+AC11+AD11+AE11+AF11+AG11+AH11+AI11</f>
        <v>516.6666666666667</v>
      </c>
      <c r="C11" s="123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3">
        <f>SUM(D11:O11)</f>
        <v>0</v>
      </c>
      <c r="Q11" s="129"/>
      <c r="R11" s="129"/>
      <c r="S11" s="129"/>
      <c r="T11" s="129"/>
      <c r="U11" s="129">
        <f>$AC7/9</f>
        <v>8.333333333333334</v>
      </c>
      <c r="V11" s="129">
        <f aca="true" t="shared" si="5" ref="V11:AB11">$AC7/9</f>
        <v>8.333333333333334</v>
      </c>
      <c r="W11" s="129">
        <f t="shared" si="5"/>
        <v>8.333333333333334</v>
      </c>
      <c r="X11" s="129">
        <f t="shared" si="5"/>
        <v>8.333333333333334</v>
      </c>
      <c r="Y11" s="129">
        <f t="shared" si="5"/>
        <v>8.333333333333334</v>
      </c>
      <c r="Z11" s="129">
        <f t="shared" si="5"/>
        <v>8.333333333333334</v>
      </c>
      <c r="AA11" s="129">
        <f t="shared" si="5"/>
        <v>8.333333333333334</v>
      </c>
      <c r="AB11" s="129">
        <f t="shared" si="5"/>
        <v>8.333333333333334</v>
      </c>
      <c r="AC11" s="123">
        <f>SUM(Q11:AB11)</f>
        <v>66.66666666666667</v>
      </c>
      <c r="AD11" s="129">
        <f t="shared" si="4"/>
        <v>75</v>
      </c>
      <c r="AE11" s="129">
        <f t="shared" si="4"/>
        <v>75</v>
      </c>
      <c r="AF11" s="129">
        <f t="shared" si="4"/>
        <v>75</v>
      </c>
      <c r="AG11" s="129">
        <f t="shared" si="4"/>
        <v>75</v>
      </c>
      <c r="AH11" s="129">
        <f t="shared" si="4"/>
        <v>75</v>
      </c>
      <c r="AI11" s="129">
        <f t="shared" si="4"/>
        <v>75</v>
      </c>
      <c r="AJ11" s="224"/>
    </row>
    <row r="12" ht="7.5" customHeight="1"/>
    <row r="13" ht="12.75">
      <c r="A13" s="226" t="s">
        <v>197</v>
      </c>
    </row>
    <row r="14" spans="1:36" ht="15" customHeight="1">
      <c r="A14" s="232" t="str">
        <f>A10</f>
        <v>Мед</v>
      </c>
      <c r="B14" s="123">
        <f>AI14</f>
        <v>240</v>
      </c>
      <c r="C14" s="123"/>
      <c r="D14" s="129">
        <f>C14+D6-D10</f>
        <v>0</v>
      </c>
      <c r="E14" s="129">
        <f aca="true" t="shared" si="6" ref="E14:O14">D14+E6-E10</f>
        <v>0</v>
      </c>
      <c r="F14" s="129">
        <f t="shared" si="6"/>
        <v>0</v>
      </c>
      <c r="G14" s="129">
        <f t="shared" si="6"/>
        <v>0</v>
      </c>
      <c r="H14" s="129">
        <f t="shared" si="6"/>
        <v>0</v>
      </c>
      <c r="I14" s="129">
        <f t="shared" si="6"/>
        <v>0</v>
      </c>
      <c r="J14" s="129">
        <f t="shared" si="6"/>
        <v>0</v>
      </c>
      <c r="K14" s="129">
        <f t="shared" si="6"/>
        <v>0</v>
      </c>
      <c r="L14" s="129">
        <f t="shared" si="6"/>
        <v>0</v>
      </c>
      <c r="M14" s="129">
        <f t="shared" si="6"/>
        <v>0</v>
      </c>
      <c r="N14" s="129">
        <f t="shared" si="6"/>
        <v>0</v>
      </c>
      <c r="O14" s="129">
        <f t="shared" si="6"/>
        <v>0</v>
      </c>
      <c r="P14" s="123">
        <f>O14</f>
        <v>0</v>
      </c>
      <c r="Q14" s="129">
        <f aca="true" t="shared" si="7" ref="Q14:AB14">P14+Q6-Q10</f>
        <v>0</v>
      </c>
      <c r="R14" s="129">
        <f t="shared" si="7"/>
        <v>0</v>
      </c>
      <c r="S14" s="129">
        <f t="shared" si="7"/>
        <v>0</v>
      </c>
      <c r="T14" s="129">
        <f t="shared" si="7"/>
        <v>0</v>
      </c>
      <c r="U14" s="129">
        <f t="shared" si="7"/>
        <v>300</v>
      </c>
      <c r="V14" s="129">
        <f t="shared" si="7"/>
        <v>600</v>
      </c>
      <c r="W14" s="129">
        <f t="shared" si="7"/>
        <v>900</v>
      </c>
      <c r="X14" s="129">
        <f t="shared" si="7"/>
        <v>1200</v>
      </c>
      <c r="Y14" s="129">
        <f t="shared" si="7"/>
        <v>960</v>
      </c>
      <c r="Z14" s="129">
        <f t="shared" si="7"/>
        <v>720</v>
      </c>
      <c r="AA14" s="129">
        <f t="shared" si="7"/>
        <v>480</v>
      </c>
      <c r="AB14" s="129">
        <f t="shared" si="7"/>
        <v>240</v>
      </c>
      <c r="AC14" s="123">
        <f>AB14</f>
        <v>240</v>
      </c>
      <c r="AD14" s="129">
        <f aca="true" t="shared" si="8" ref="AD14:AI14">AC14+AD6-AD10</f>
        <v>240</v>
      </c>
      <c r="AE14" s="129">
        <f t="shared" si="8"/>
        <v>240</v>
      </c>
      <c r="AF14" s="129">
        <f t="shared" si="8"/>
        <v>240</v>
      </c>
      <c r="AG14" s="129">
        <f t="shared" si="8"/>
        <v>240</v>
      </c>
      <c r="AH14" s="129">
        <f t="shared" si="8"/>
        <v>240</v>
      </c>
      <c r="AI14" s="129">
        <f t="shared" si="8"/>
        <v>240</v>
      </c>
      <c r="AJ14" s="224"/>
    </row>
    <row r="15" spans="1:36" ht="15" customHeight="1">
      <c r="A15" s="232" t="str">
        <f>A11</f>
        <v>Пчелиный воск</v>
      </c>
      <c r="B15" s="123">
        <f>AI15</f>
        <v>8.333333333333314</v>
      </c>
      <c r="C15" s="123"/>
      <c r="D15" s="129">
        <f>C15+D7-D11</f>
        <v>0</v>
      </c>
      <c r="E15" s="129">
        <f aca="true" t="shared" si="9" ref="E15:O15">D15+E7-E11</f>
        <v>0</v>
      </c>
      <c r="F15" s="129">
        <f t="shared" si="9"/>
        <v>0</v>
      </c>
      <c r="G15" s="129">
        <f t="shared" si="9"/>
        <v>0</v>
      </c>
      <c r="H15" s="129">
        <f t="shared" si="9"/>
        <v>0</v>
      </c>
      <c r="I15" s="129">
        <f t="shared" si="9"/>
        <v>0</v>
      </c>
      <c r="J15" s="129">
        <f t="shared" si="9"/>
        <v>0</v>
      </c>
      <c r="K15" s="129">
        <f t="shared" si="9"/>
        <v>0</v>
      </c>
      <c r="L15" s="129">
        <f t="shared" si="9"/>
        <v>0</v>
      </c>
      <c r="M15" s="129">
        <f t="shared" si="9"/>
        <v>0</v>
      </c>
      <c r="N15" s="129">
        <f t="shared" si="9"/>
        <v>0</v>
      </c>
      <c r="O15" s="129">
        <f t="shared" si="9"/>
        <v>0</v>
      </c>
      <c r="P15" s="123">
        <f>O15</f>
        <v>0</v>
      </c>
      <c r="Q15" s="129">
        <f aca="true" t="shared" si="10" ref="Q15:AB15">P15+Q7-Q11</f>
        <v>0</v>
      </c>
      <c r="R15" s="129">
        <f t="shared" si="10"/>
        <v>0</v>
      </c>
      <c r="S15" s="129">
        <f t="shared" si="10"/>
        <v>0</v>
      </c>
      <c r="T15" s="129">
        <f t="shared" si="10"/>
        <v>0</v>
      </c>
      <c r="U15" s="129">
        <f t="shared" si="10"/>
        <v>10.416666666666666</v>
      </c>
      <c r="V15" s="129">
        <f t="shared" si="10"/>
        <v>20.83333333333333</v>
      </c>
      <c r="W15" s="129">
        <f t="shared" si="10"/>
        <v>31.249999999999993</v>
      </c>
      <c r="X15" s="129">
        <f t="shared" si="10"/>
        <v>41.66666666666666</v>
      </c>
      <c r="Y15" s="129">
        <f t="shared" si="10"/>
        <v>33.33333333333332</v>
      </c>
      <c r="Z15" s="129">
        <f t="shared" si="10"/>
        <v>24.999999999999986</v>
      </c>
      <c r="AA15" s="129">
        <f t="shared" si="10"/>
        <v>16.66666666666665</v>
      </c>
      <c r="AB15" s="129">
        <f t="shared" si="10"/>
        <v>8.333333333333316</v>
      </c>
      <c r="AC15" s="123">
        <f>AB15</f>
        <v>8.333333333333316</v>
      </c>
      <c r="AD15" s="129">
        <f aca="true" t="shared" si="11" ref="AD15:AI15">AC15+AD7-AD11</f>
        <v>8.333333333333314</v>
      </c>
      <c r="AE15" s="129">
        <f t="shared" si="11"/>
        <v>8.333333333333314</v>
      </c>
      <c r="AF15" s="129">
        <f t="shared" si="11"/>
        <v>8.333333333333314</v>
      </c>
      <c r="AG15" s="129">
        <f t="shared" si="11"/>
        <v>8.333333333333314</v>
      </c>
      <c r="AH15" s="129">
        <f t="shared" si="11"/>
        <v>8.333333333333314</v>
      </c>
      <c r="AI15" s="129">
        <f t="shared" si="11"/>
        <v>8.333333333333314</v>
      </c>
      <c r="AJ15" s="224"/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28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E26" sqref="E26"/>
    </sheetView>
  </sheetViews>
  <sheetFormatPr defaultColWidth="9.00390625" defaultRowHeight="12.75"/>
  <cols>
    <col min="1" max="1" width="5.625" style="70" customWidth="1"/>
    <col min="2" max="2" width="33.375" style="70" customWidth="1"/>
    <col min="3" max="3" width="10.00390625" style="70" customWidth="1"/>
    <col min="4" max="4" width="11.625" style="70" customWidth="1"/>
    <col min="5" max="5" width="12.75390625" style="70" customWidth="1"/>
    <col min="6" max="8" width="11.625" style="70" customWidth="1"/>
    <col min="9" max="9" width="11.625" style="70" hidden="1" customWidth="1"/>
    <col min="10" max="10" width="10.125" style="70" customWidth="1"/>
    <col min="11" max="11" width="12.00390625" style="70" customWidth="1"/>
    <col min="12" max="16384" width="9.125" style="70" customWidth="1"/>
  </cols>
  <sheetData>
    <row r="1" ht="5.25" customHeight="1"/>
    <row r="2" spans="1:11" ht="16.5" customHeight="1">
      <c r="A2" s="60" t="s">
        <v>142</v>
      </c>
      <c r="D2" s="159"/>
      <c r="E2" s="159"/>
      <c r="F2" s="159"/>
      <c r="G2" s="159"/>
      <c r="H2" s="159"/>
      <c r="I2" s="159"/>
      <c r="J2" s="159"/>
      <c r="K2" s="211" t="str">
        <f>Исх!C9</f>
        <v>тыс.тг.</v>
      </c>
    </row>
    <row r="3" spans="1:11" ht="8.2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3" ht="42" customHeight="1">
      <c r="A4" s="261" t="s">
        <v>33</v>
      </c>
      <c r="B4" s="216" t="s">
        <v>34</v>
      </c>
      <c r="C4" s="216" t="s">
        <v>35</v>
      </c>
      <c r="D4" s="145" t="s">
        <v>92</v>
      </c>
      <c r="E4" s="145" t="s">
        <v>93</v>
      </c>
      <c r="F4" s="145" t="s">
        <v>44</v>
      </c>
      <c r="G4" s="145" t="s">
        <v>45</v>
      </c>
      <c r="H4" s="145" t="s">
        <v>46</v>
      </c>
      <c r="I4" s="145" t="s">
        <v>47</v>
      </c>
      <c r="J4" s="145" t="s">
        <v>48</v>
      </c>
      <c r="K4" s="145" t="s">
        <v>42</v>
      </c>
      <c r="M4" s="233">
        <f>'1-Ф3'!B2</f>
        <v>0</v>
      </c>
    </row>
    <row r="5" spans="1:11" s="60" customFormat="1" ht="12.75">
      <c r="A5" s="139"/>
      <c r="B5" s="146" t="s">
        <v>91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 ht="12.75">
      <c r="A6" s="73">
        <v>1</v>
      </c>
      <c r="B6" s="73" t="s">
        <v>238</v>
      </c>
      <c r="C6" s="73">
        <v>1</v>
      </c>
      <c r="D6" s="141">
        <v>19</v>
      </c>
      <c r="E6" s="147">
        <f>C6*D6</f>
        <v>19</v>
      </c>
      <c r="F6" s="147">
        <f>E6*$C$23</f>
        <v>1.9000000000000001</v>
      </c>
      <c r="G6" s="147">
        <f>(E6-$C$27*C6-F6)*$C$25</f>
        <v>-0.15600000000000003</v>
      </c>
      <c r="H6" s="147">
        <f>(E6-F6)*$C$24</f>
        <v>0.8550000000000001</v>
      </c>
      <c r="I6" s="147">
        <f>(E6-F6)*$C$26-H6*0</f>
        <v>0</v>
      </c>
      <c r="J6" s="147">
        <f>E6-F6-G6</f>
        <v>17.256</v>
      </c>
      <c r="K6" s="148">
        <f>SUM(F6:J6)</f>
        <v>19.855</v>
      </c>
    </row>
    <row r="7" spans="1:11" s="60" customFormat="1" ht="12.75">
      <c r="A7" s="149"/>
      <c r="B7" s="149" t="s">
        <v>0</v>
      </c>
      <c r="C7" s="31">
        <f aca="true" t="shared" si="0" ref="C7:K7">SUM(C6:C6)</f>
        <v>1</v>
      </c>
      <c r="D7" s="31">
        <f t="shared" si="0"/>
        <v>19</v>
      </c>
      <c r="E7" s="31">
        <f t="shared" si="0"/>
        <v>19</v>
      </c>
      <c r="F7" s="31">
        <f t="shared" si="0"/>
        <v>1.9000000000000001</v>
      </c>
      <c r="G7" s="31">
        <f t="shared" si="0"/>
        <v>-0.15600000000000003</v>
      </c>
      <c r="H7" s="31">
        <f t="shared" si="0"/>
        <v>0.8550000000000001</v>
      </c>
      <c r="I7" s="31">
        <f t="shared" si="0"/>
        <v>0</v>
      </c>
      <c r="J7" s="31">
        <f t="shared" si="0"/>
        <v>17.256</v>
      </c>
      <c r="K7" s="31">
        <f t="shared" si="0"/>
        <v>19.855</v>
      </c>
    </row>
    <row r="8" spans="1:11" s="60" customFormat="1" ht="12.75">
      <c r="A8" s="139"/>
      <c r="B8" s="139" t="s">
        <v>97</v>
      </c>
      <c r="C8" s="139"/>
      <c r="D8" s="140"/>
      <c r="E8" s="140"/>
      <c r="F8" s="140"/>
      <c r="G8" s="140"/>
      <c r="H8" s="140"/>
      <c r="I8" s="140"/>
      <c r="J8" s="140"/>
      <c r="K8" s="140"/>
    </row>
    <row r="9" spans="1:11" ht="12.75">
      <c r="A9" s="73">
        <v>1</v>
      </c>
      <c r="B9" s="73" t="s">
        <v>275</v>
      </c>
      <c r="C9" s="73">
        <v>3</v>
      </c>
      <c r="D9" s="141">
        <v>30</v>
      </c>
      <c r="E9" s="147">
        <f>C9*D9</f>
        <v>90</v>
      </c>
      <c r="F9" s="147">
        <f>E9*$C$23</f>
        <v>9</v>
      </c>
      <c r="G9" s="147">
        <f>(E9-$C$27*C9-F9)*$C$25</f>
        <v>2.502</v>
      </c>
      <c r="H9" s="147">
        <f>(E9-F9)*$C$24</f>
        <v>4.05</v>
      </c>
      <c r="I9" s="147">
        <f>(E9-F9)*$C$26-H9*0</f>
        <v>0</v>
      </c>
      <c r="J9" s="147">
        <f>E9-F9-G9</f>
        <v>78.498</v>
      </c>
      <c r="K9" s="148">
        <f>SUM(F9:J9)</f>
        <v>94.05000000000001</v>
      </c>
    </row>
    <row r="10" spans="1:11" ht="12.75">
      <c r="A10" s="73">
        <v>2</v>
      </c>
      <c r="B10" s="73" t="s">
        <v>276</v>
      </c>
      <c r="C10" s="147">
        <v>2</v>
      </c>
      <c r="D10" s="141">
        <v>19</v>
      </c>
      <c r="E10" s="147">
        <f>C10*D10</f>
        <v>38</v>
      </c>
      <c r="F10" s="147">
        <f>E10*$C$23</f>
        <v>3.8000000000000003</v>
      </c>
      <c r="G10" s="147">
        <f>(E10-$C$27*C10-F10)*$C$25</f>
        <v>-0.31200000000000006</v>
      </c>
      <c r="H10" s="147">
        <f>(E10-F10)*$C$24</f>
        <v>1.7100000000000002</v>
      </c>
      <c r="I10" s="147">
        <f>(E10-F10)*$C$26-H10*0</f>
        <v>0</v>
      </c>
      <c r="J10" s="147">
        <f>E10-F10-G10</f>
        <v>34.512</v>
      </c>
      <c r="K10" s="148">
        <f>SUM(F10:J10)</f>
        <v>39.71</v>
      </c>
    </row>
    <row r="11" spans="1:11" s="60" customFormat="1" ht="12.75">
      <c r="A11" s="149"/>
      <c r="B11" s="150" t="s">
        <v>0</v>
      </c>
      <c r="C11" s="149">
        <f aca="true" t="shared" si="1" ref="C11:K11">SUM(C8:C10)</f>
        <v>5</v>
      </c>
      <c r="D11" s="148">
        <f t="shared" si="1"/>
        <v>49</v>
      </c>
      <c r="E11" s="148">
        <f t="shared" si="1"/>
        <v>128</v>
      </c>
      <c r="F11" s="148">
        <f t="shared" si="1"/>
        <v>12.8</v>
      </c>
      <c r="G11" s="148">
        <f t="shared" si="1"/>
        <v>2.1899999999999995</v>
      </c>
      <c r="H11" s="148">
        <f t="shared" si="1"/>
        <v>5.76</v>
      </c>
      <c r="I11" s="148">
        <f t="shared" si="1"/>
        <v>0</v>
      </c>
      <c r="J11" s="148">
        <f t="shared" si="1"/>
        <v>113.01</v>
      </c>
      <c r="K11" s="148">
        <f t="shared" si="1"/>
        <v>133.76000000000002</v>
      </c>
    </row>
    <row r="12" spans="1:11" s="60" customFormat="1" ht="12.75" hidden="1">
      <c r="A12" s="139"/>
      <c r="B12" s="139" t="s">
        <v>98</v>
      </c>
      <c r="C12" s="139"/>
      <c r="D12" s="140"/>
      <c r="E12" s="140"/>
      <c r="F12" s="140"/>
      <c r="G12" s="140"/>
      <c r="H12" s="140"/>
      <c r="I12" s="140"/>
      <c r="J12" s="140"/>
      <c r="K12" s="140"/>
    </row>
    <row r="13" spans="1:11" ht="12.75" hidden="1">
      <c r="A13" s="73"/>
      <c r="B13" s="73"/>
      <c r="C13" s="73"/>
      <c r="D13" s="141"/>
      <c r="E13" s="147">
        <f>C13*D13</f>
        <v>0</v>
      </c>
      <c r="F13" s="147">
        <f>E13*$C$23</f>
        <v>0</v>
      </c>
      <c r="G13" s="147">
        <f>(E13-$C$27*C13-F13)*$C$25</f>
        <v>0</v>
      </c>
      <c r="H13" s="147">
        <f>(E13-F13)*$C$24</f>
        <v>0</v>
      </c>
      <c r="I13" s="147">
        <f>(E13-F13)*$C$26-H13*0</f>
        <v>0</v>
      </c>
      <c r="J13" s="147">
        <f>E13-F13-G13</f>
        <v>0</v>
      </c>
      <c r="K13" s="148">
        <f>SUM(F13:J13)</f>
        <v>0</v>
      </c>
    </row>
    <row r="14" spans="1:11" ht="12.75" hidden="1">
      <c r="A14" s="73"/>
      <c r="B14" s="73"/>
      <c r="C14" s="147"/>
      <c r="D14" s="141"/>
      <c r="E14" s="147">
        <f>C14*D14</f>
        <v>0</v>
      </c>
      <c r="F14" s="147">
        <f>E14*$C$23</f>
        <v>0</v>
      </c>
      <c r="G14" s="147">
        <f>(E14-$C$27*C14-F14)*$C$25</f>
        <v>0</v>
      </c>
      <c r="H14" s="147">
        <f>(E14-F14)*$C$24</f>
        <v>0</v>
      </c>
      <c r="I14" s="147">
        <f>(E14-F14)*$C$26-H14*0</f>
        <v>0</v>
      </c>
      <c r="J14" s="147">
        <f>E14-F14-G14</f>
        <v>0</v>
      </c>
      <c r="K14" s="148">
        <f>SUM(F14:J14)</f>
        <v>0</v>
      </c>
    </row>
    <row r="15" spans="1:11" s="60" customFormat="1" ht="12.75" hidden="1">
      <c r="A15" s="149"/>
      <c r="B15" s="150" t="s">
        <v>0</v>
      </c>
      <c r="C15" s="149">
        <f aca="true" t="shared" si="2" ref="C15:K15">SUM(C13:C14)</f>
        <v>0</v>
      </c>
      <c r="D15" s="148">
        <f t="shared" si="2"/>
        <v>0</v>
      </c>
      <c r="E15" s="148">
        <f t="shared" si="2"/>
        <v>0</v>
      </c>
      <c r="F15" s="148">
        <f t="shared" si="2"/>
        <v>0</v>
      </c>
      <c r="G15" s="148">
        <f t="shared" si="2"/>
        <v>0</v>
      </c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</row>
    <row r="16" spans="1:11" s="60" customFormat="1" ht="12.75" hidden="1">
      <c r="A16" s="139"/>
      <c r="B16" s="139" t="s">
        <v>105</v>
      </c>
      <c r="C16" s="139"/>
      <c r="D16" s="140"/>
      <c r="E16" s="140"/>
      <c r="F16" s="140"/>
      <c r="G16" s="140"/>
      <c r="H16" s="140"/>
      <c r="I16" s="140"/>
      <c r="J16" s="140"/>
      <c r="K16" s="140"/>
    </row>
    <row r="17" spans="1:13" ht="12.75" hidden="1">
      <c r="A17" s="73"/>
      <c r="B17" s="73"/>
      <c r="C17" s="73"/>
      <c r="D17" s="141"/>
      <c r="E17" s="147">
        <f>C17*D17</f>
        <v>0</v>
      </c>
      <c r="F17" s="147">
        <f>E17*$C$23</f>
        <v>0</v>
      </c>
      <c r="G17" s="147">
        <f>(E17-$C$27*C17-F17)*$C$25</f>
        <v>0</v>
      </c>
      <c r="H17" s="147">
        <f>(E17-F17)*$C$24</f>
        <v>0</v>
      </c>
      <c r="I17" s="147">
        <f>(E17-F17)*$C$26-H17*0</f>
        <v>0</v>
      </c>
      <c r="J17" s="147">
        <f>E17-F17-G17</f>
        <v>0</v>
      </c>
      <c r="K17" s="148">
        <f>SUM(F17:J17)</f>
        <v>0</v>
      </c>
      <c r="M17" s="151"/>
    </row>
    <row r="18" spans="1:11" ht="12.75" hidden="1">
      <c r="A18" s="73"/>
      <c r="B18" s="73"/>
      <c r="C18" s="147"/>
      <c r="D18" s="141"/>
      <c r="E18" s="147">
        <f>C18*D18</f>
        <v>0</v>
      </c>
      <c r="F18" s="147">
        <f>E18*$C$23</f>
        <v>0</v>
      </c>
      <c r="G18" s="147">
        <f>(E18-$C$27*C18-F18)*$C$25</f>
        <v>0</v>
      </c>
      <c r="H18" s="147">
        <f>(E18-F18)*$C$24</f>
        <v>0</v>
      </c>
      <c r="I18" s="147">
        <f>(E18-F18)*$C$26-H18*0</f>
        <v>0</v>
      </c>
      <c r="J18" s="147">
        <f>E18-F18-G18</f>
        <v>0</v>
      </c>
      <c r="K18" s="148">
        <f>SUM(F18:J18)</f>
        <v>0</v>
      </c>
    </row>
    <row r="19" spans="1:11" s="60" customFormat="1" ht="12.75" hidden="1">
      <c r="A19" s="149"/>
      <c r="B19" s="150" t="s">
        <v>0</v>
      </c>
      <c r="C19" s="149">
        <f aca="true" t="shared" si="3" ref="C19:K19">SUM(C17:C18)</f>
        <v>0</v>
      </c>
      <c r="D19" s="148">
        <f t="shared" si="3"/>
        <v>0</v>
      </c>
      <c r="E19" s="148">
        <f t="shared" si="3"/>
        <v>0</v>
      </c>
      <c r="F19" s="148">
        <f t="shared" si="3"/>
        <v>0</v>
      </c>
      <c r="G19" s="148">
        <f t="shared" si="3"/>
        <v>0</v>
      </c>
      <c r="H19" s="148">
        <f t="shared" si="3"/>
        <v>0</v>
      </c>
      <c r="I19" s="148">
        <f t="shared" si="3"/>
        <v>0</v>
      </c>
      <c r="J19" s="148">
        <f t="shared" si="3"/>
        <v>0</v>
      </c>
      <c r="K19" s="148">
        <f t="shared" si="3"/>
        <v>0</v>
      </c>
    </row>
    <row r="20" spans="1:11" ht="12.75" hidden="1">
      <c r="A20" s="73"/>
      <c r="B20" s="73"/>
      <c r="C20" s="73"/>
      <c r="D20" s="147"/>
      <c r="E20" s="147"/>
      <c r="F20" s="147"/>
      <c r="G20" s="147"/>
      <c r="H20" s="147"/>
      <c r="I20" s="147"/>
      <c r="J20" s="147"/>
      <c r="K20" s="147"/>
    </row>
    <row r="21" spans="1:11" s="60" customFormat="1" ht="12.75">
      <c r="A21" s="149"/>
      <c r="B21" s="149" t="s">
        <v>106</v>
      </c>
      <c r="C21" s="148">
        <f aca="true" t="shared" si="4" ref="C21:K21">C7+C11+C15+C19</f>
        <v>6</v>
      </c>
      <c r="D21" s="148">
        <f t="shared" si="4"/>
        <v>68</v>
      </c>
      <c r="E21" s="148">
        <f t="shared" si="4"/>
        <v>147</v>
      </c>
      <c r="F21" s="148">
        <f t="shared" si="4"/>
        <v>14.700000000000001</v>
      </c>
      <c r="G21" s="148">
        <f t="shared" si="4"/>
        <v>2.0339999999999994</v>
      </c>
      <c r="H21" s="148">
        <f t="shared" si="4"/>
        <v>6.615</v>
      </c>
      <c r="I21" s="148">
        <f t="shared" si="4"/>
        <v>0</v>
      </c>
      <c r="J21" s="148">
        <f t="shared" si="4"/>
        <v>130.26600000000002</v>
      </c>
      <c r="K21" s="152">
        <f t="shared" si="4"/>
        <v>153.615</v>
      </c>
    </row>
    <row r="23" spans="2:10" ht="12.75">
      <c r="B23" s="73" t="s">
        <v>44</v>
      </c>
      <c r="C23" s="153">
        <f>Исх!C11</f>
        <v>0.1</v>
      </c>
      <c r="D23" s="154"/>
      <c r="E23" s="154"/>
      <c r="F23" s="154"/>
      <c r="G23" s="307"/>
      <c r="H23" s="307"/>
      <c r="I23" s="307"/>
      <c r="J23" s="307"/>
    </row>
    <row r="24" spans="2:10" ht="12.75">
      <c r="B24" s="73" t="s">
        <v>49</v>
      </c>
      <c r="C24" s="153">
        <f>Исх!C12</f>
        <v>0.05</v>
      </c>
      <c r="D24" s="154"/>
      <c r="E24" s="154"/>
      <c r="F24" s="154"/>
      <c r="G24" s="154"/>
      <c r="H24" s="154"/>
      <c r="I24" s="155"/>
      <c r="J24" s="156"/>
    </row>
    <row r="25" spans="2:10" ht="12.75">
      <c r="B25" s="73" t="s">
        <v>45</v>
      </c>
      <c r="C25" s="153">
        <f>Исх!C13</f>
        <v>0.1</v>
      </c>
      <c r="D25" s="154"/>
      <c r="E25" s="154"/>
      <c r="F25" s="154"/>
      <c r="G25" s="154"/>
      <c r="H25" s="154"/>
      <c r="I25" s="155"/>
      <c r="J25" s="156"/>
    </row>
    <row r="26" spans="2:10" ht="12.75">
      <c r="B26" s="73" t="s">
        <v>47</v>
      </c>
      <c r="C26" s="153">
        <f>Исх!C14</f>
        <v>0</v>
      </c>
      <c r="D26" s="157"/>
      <c r="E26" s="157"/>
      <c r="F26" s="154"/>
      <c r="G26" s="154"/>
      <c r="H26" s="154"/>
      <c r="I26" s="155"/>
      <c r="J26" s="156"/>
    </row>
    <row r="27" spans="2:3" ht="12.75">
      <c r="B27" s="73" t="s">
        <v>111</v>
      </c>
      <c r="C27" s="158">
        <f>Исх!C15</f>
        <v>18.66</v>
      </c>
    </row>
    <row r="28" spans="7:10" ht="12.75">
      <c r="G28" s="154"/>
      <c r="H28" s="154"/>
      <c r="I28" s="155"/>
      <c r="J28" s="156"/>
    </row>
  </sheetData>
  <sheetProtection/>
  <mergeCells count="1">
    <mergeCell ref="G23:J23"/>
  </mergeCells>
  <printOptions/>
  <pageMargins left="0.2755905511811024" right="0.2755905511811024" top="0.4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W47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C12" sqref="C12"/>
    </sheetView>
  </sheetViews>
  <sheetFormatPr defaultColWidth="8.875" defaultRowHeight="12.75" outlineLevelRow="1"/>
  <cols>
    <col min="1" max="1" width="34.25390625" style="70" customWidth="1"/>
    <col min="2" max="2" width="9.625" style="70" customWidth="1"/>
    <col min="3" max="10" width="8.00390625" style="70" customWidth="1"/>
    <col min="11" max="11" width="25.75390625" style="70" bestFit="1" customWidth="1"/>
    <col min="12" max="12" width="5.625" style="70" customWidth="1"/>
    <col min="13" max="13" width="34.25390625" style="70" customWidth="1"/>
    <col min="14" max="14" width="7.25390625" style="70" customWidth="1"/>
    <col min="15" max="15" width="12.25390625" style="70" customWidth="1"/>
    <col min="16" max="19" width="10.75390625" style="70" customWidth="1"/>
    <col min="20" max="16384" width="8.875" style="70" customWidth="1"/>
  </cols>
  <sheetData>
    <row r="1" spans="1:13" ht="12.75">
      <c r="A1" s="60" t="s">
        <v>146</v>
      </c>
      <c r="M1" s="60" t="s">
        <v>257</v>
      </c>
    </row>
    <row r="2" spans="1:13" ht="12.75">
      <c r="A2" s="60"/>
      <c r="M2" s="60"/>
    </row>
    <row r="3" spans="1:23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3:22" ht="12.75">
      <c r="C4" s="136"/>
      <c r="D4" s="136"/>
      <c r="E4" s="136"/>
      <c r="F4" s="136"/>
      <c r="G4" s="136"/>
      <c r="H4" s="136"/>
      <c r="K4" s="143" t="str">
        <f>Исх!C9</f>
        <v>тыс.тг.</v>
      </c>
      <c r="O4" s="136"/>
      <c r="P4" s="136"/>
      <c r="Q4" s="136"/>
      <c r="R4" s="136"/>
      <c r="S4" s="136"/>
      <c r="T4" s="136"/>
      <c r="V4" s="143" t="str">
        <f>K4</f>
        <v>тыс.тг.</v>
      </c>
    </row>
    <row r="5" spans="1:22" ht="12.75">
      <c r="A5" s="212" t="s">
        <v>41</v>
      </c>
      <c r="B5" s="219"/>
      <c r="C5" s="219">
        <v>2013</v>
      </c>
      <c r="D5" s="219">
        <f aca="true" t="shared" si="0" ref="D5:J5">C5+1</f>
        <v>2014</v>
      </c>
      <c r="E5" s="219">
        <f t="shared" si="0"/>
        <v>2015</v>
      </c>
      <c r="F5" s="219">
        <f t="shared" si="0"/>
        <v>2016</v>
      </c>
      <c r="G5" s="219">
        <f t="shared" si="0"/>
        <v>2017</v>
      </c>
      <c r="H5" s="219">
        <f t="shared" si="0"/>
        <v>2018</v>
      </c>
      <c r="I5" s="219">
        <f t="shared" si="0"/>
        <v>2019</v>
      </c>
      <c r="J5" s="219">
        <f t="shared" si="0"/>
        <v>2020</v>
      </c>
      <c r="K5" s="219" t="s">
        <v>278</v>
      </c>
      <c r="M5" s="212" t="s">
        <v>41</v>
      </c>
      <c r="N5" s="219"/>
      <c r="O5" s="219">
        <f aca="true" t="shared" si="1" ref="O5:V5">C5</f>
        <v>2013</v>
      </c>
      <c r="P5" s="219">
        <f t="shared" si="1"/>
        <v>2014</v>
      </c>
      <c r="Q5" s="219">
        <f t="shared" si="1"/>
        <v>2015</v>
      </c>
      <c r="R5" s="219">
        <f t="shared" si="1"/>
        <v>2016</v>
      </c>
      <c r="S5" s="219">
        <f t="shared" si="1"/>
        <v>2017</v>
      </c>
      <c r="T5" s="219">
        <f t="shared" si="1"/>
        <v>2018</v>
      </c>
      <c r="U5" s="219">
        <f t="shared" si="1"/>
        <v>2019</v>
      </c>
      <c r="V5" s="219">
        <f t="shared" si="1"/>
        <v>2020</v>
      </c>
    </row>
    <row r="6" spans="1:22" ht="12.75">
      <c r="A6" s="73" t="s">
        <v>42</v>
      </c>
      <c r="B6" s="142"/>
      <c r="C6" s="147">
        <f>ФОТ!K21</f>
        <v>153.615</v>
      </c>
      <c r="D6" s="147">
        <f aca="true" t="shared" si="2" ref="D6:J6">C6</f>
        <v>153.615</v>
      </c>
      <c r="E6" s="147">
        <f t="shared" si="2"/>
        <v>153.615</v>
      </c>
      <c r="F6" s="147">
        <f t="shared" si="2"/>
        <v>153.615</v>
      </c>
      <c r="G6" s="147">
        <f t="shared" si="2"/>
        <v>153.615</v>
      </c>
      <c r="H6" s="147">
        <f t="shared" si="2"/>
        <v>153.615</v>
      </c>
      <c r="I6" s="147">
        <f t="shared" si="2"/>
        <v>153.615</v>
      </c>
      <c r="J6" s="147">
        <f t="shared" si="2"/>
        <v>153.615</v>
      </c>
      <c r="K6" s="147" t="s">
        <v>279</v>
      </c>
      <c r="M6" s="73" t="s">
        <v>42</v>
      </c>
      <c r="N6" s="142"/>
      <c r="O6" s="147">
        <f>C6*3</f>
        <v>460.845</v>
      </c>
      <c r="P6" s="147">
        <f aca="true" t="shared" si="3" ref="P6:V6">D6*12</f>
        <v>1843.38</v>
      </c>
      <c r="Q6" s="147">
        <f t="shared" si="3"/>
        <v>1843.38</v>
      </c>
      <c r="R6" s="147">
        <f t="shared" si="3"/>
        <v>1843.38</v>
      </c>
      <c r="S6" s="147">
        <f t="shared" si="3"/>
        <v>1843.38</v>
      </c>
      <c r="T6" s="147">
        <f t="shared" si="3"/>
        <v>1843.38</v>
      </c>
      <c r="U6" s="147">
        <f t="shared" si="3"/>
        <v>1843.38</v>
      </c>
      <c r="V6" s="147">
        <f t="shared" si="3"/>
        <v>1843.38</v>
      </c>
    </row>
    <row r="7" spans="1:22" ht="12.75">
      <c r="A7" s="160" t="s">
        <v>277</v>
      </c>
      <c r="B7" s="218"/>
      <c r="C7" s="141">
        <v>7</v>
      </c>
      <c r="D7" s="147">
        <f aca="true" t="shared" si="4" ref="D7:J7">C7+C7*$D$3</f>
        <v>7</v>
      </c>
      <c r="E7" s="147">
        <f t="shared" si="4"/>
        <v>7</v>
      </c>
      <c r="F7" s="147">
        <f t="shared" si="4"/>
        <v>7</v>
      </c>
      <c r="G7" s="147">
        <f t="shared" si="4"/>
        <v>7</v>
      </c>
      <c r="H7" s="147">
        <f t="shared" si="4"/>
        <v>7</v>
      </c>
      <c r="I7" s="147">
        <f t="shared" si="4"/>
        <v>7</v>
      </c>
      <c r="J7" s="147">
        <f t="shared" si="4"/>
        <v>7</v>
      </c>
      <c r="K7" s="147"/>
      <c r="M7" s="160" t="s">
        <v>218</v>
      </c>
      <c r="N7" s="218"/>
      <c r="O7" s="147">
        <f aca="true" t="shared" si="5" ref="O7:O12">C7*3</f>
        <v>21</v>
      </c>
      <c r="P7" s="147">
        <f aca="true" t="shared" si="6" ref="P7:P12">D7*12</f>
        <v>84</v>
      </c>
      <c r="Q7" s="147">
        <f aca="true" t="shared" si="7" ref="Q7:V12">E7*12</f>
        <v>84</v>
      </c>
      <c r="R7" s="147">
        <f t="shared" si="7"/>
        <v>84</v>
      </c>
      <c r="S7" s="147">
        <f t="shared" si="7"/>
        <v>84</v>
      </c>
      <c r="T7" s="147">
        <f t="shared" si="7"/>
        <v>84</v>
      </c>
      <c r="U7" s="147">
        <f t="shared" si="7"/>
        <v>84</v>
      </c>
      <c r="V7" s="147">
        <f t="shared" si="7"/>
        <v>84</v>
      </c>
    </row>
    <row r="8" spans="1:22" ht="12.75">
      <c r="A8" s="73" t="s">
        <v>283</v>
      </c>
      <c r="B8" s="142"/>
      <c r="C8" s="141">
        <v>4</v>
      </c>
      <c r="D8" s="147">
        <f aca="true" t="shared" si="8" ref="D8:J8">C8+C8*$D$3</f>
        <v>4</v>
      </c>
      <c r="E8" s="147">
        <f t="shared" si="8"/>
        <v>4</v>
      </c>
      <c r="F8" s="147">
        <f t="shared" si="8"/>
        <v>4</v>
      </c>
      <c r="G8" s="147">
        <f t="shared" si="8"/>
        <v>4</v>
      </c>
      <c r="H8" s="147">
        <f t="shared" si="8"/>
        <v>4</v>
      </c>
      <c r="I8" s="147">
        <f t="shared" si="8"/>
        <v>4</v>
      </c>
      <c r="J8" s="147">
        <f t="shared" si="8"/>
        <v>4</v>
      </c>
      <c r="K8" s="147"/>
      <c r="M8" s="73" t="s">
        <v>237</v>
      </c>
      <c r="N8" s="142"/>
      <c r="O8" s="147">
        <f>C8*3</f>
        <v>12</v>
      </c>
      <c r="P8" s="147">
        <f>D8*12</f>
        <v>48</v>
      </c>
      <c r="Q8" s="147">
        <f t="shared" si="7"/>
        <v>48</v>
      </c>
      <c r="R8" s="147">
        <f t="shared" si="7"/>
        <v>48</v>
      </c>
      <c r="S8" s="147">
        <f t="shared" si="7"/>
        <v>48</v>
      </c>
      <c r="T8" s="147">
        <f t="shared" si="7"/>
        <v>48</v>
      </c>
      <c r="U8" s="147">
        <f t="shared" si="7"/>
        <v>48</v>
      </c>
      <c r="V8" s="147">
        <f t="shared" si="7"/>
        <v>48</v>
      </c>
    </row>
    <row r="9" spans="1:22" ht="12.75">
      <c r="A9" s="73" t="s">
        <v>281</v>
      </c>
      <c r="B9" s="218"/>
      <c r="C9" s="141">
        <v>5</v>
      </c>
      <c r="D9" s="147">
        <f aca="true" t="shared" si="9" ref="D9:J9">C9+C9*$D$3</f>
        <v>5</v>
      </c>
      <c r="E9" s="147">
        <f t="shared" si="9"/>
        <v>5</v>
      </c>
      <c r="F9" s="147">
        <f t="shared" si="9"/>
        <v>5</v>
      </c>
      <c r="G9" s="147">
        <f t="shared" si="9"/>
        <v>5</v>
      </c>
      <c r="H9" s="147">
        <f t="shared" si="9"/>
        <v>5</v>
      </c>
      <c r="I9" s="147">
        <f t="shared" si="9"/>
        <v>5</v>
      </c>
      <c r="J9" s="147">
        <f t="shared" si="9"/>
        <v>5</v>
      </c>
      <c r="K9" s="147" t="s">
        <v>282</v>
      </c>
      <c r="M9" s="73" t="s">
        <v>219</v>
      </c>
      <c r="N9" s="218"/>
      <c r="O9" s="147">
        <f>C9*3</f>
        <v>15</v>
      </c>
      <c r="P9" s="147">
        <f>D9*12</f>
        <v>60</v>
      </c>
      <c r="Q9" s="147">
        <f t="shared" si="7"/>
        <v>60</v>
      </c>
      <c r="R9" s="147">
        <f t="shared" si="7"/>
        <v>60</v>
      </c>
      <c r="S9" s="147">
        <f t="shared" si="7"/>
        <v>60</v>
      </c>
      <c r="T9" s="147">
        <f t="shared" si="7"/>
        <v>60</v>
      </c>
      <c r="U9" s="147">
        <f t="shared" si="7"/>
        <v>60</v>
      </c>
      <c r="V9" s="147">
        <f t="shared" si="7"/>
        <v>60</v>
      </c>
    </row>
    <row r="10" spans="1:22" ht="12.75">
      <c r="A10" s="160" t="s">
        <v>107</v>
      </c>
      <c r="B10" s="142"/>
      <c r="C10" s="141">
        <v>4</v>
      </c>
      <c r="D10" s="147">
        <f aca="true" t="shared" si="10" ref="D10:J12">C10+C10*$D$3</f>
        <v>4</v>
      </c>
      <c r="E10" s="147">
        <f t="shared" si="10"/>
        <v>4</v>
      </c>
      <c r="F10" s="147">
        <f t="shared" si="10"/>
        <v>4</v>
      </c>
      <c r="G10" s="147">
        <f t="shared" si="10"/>
        <v>4</v>
      </c>
      <c r="H10" s="147">
        <f t="shared" si="10"/>
        <v>4</v>
      </c>
      <c r="I10" s="147">
        <f t="shared" si="10"/>
        <v>4</v>
      </c>
      <c r="J10" s="147">
        <f t="shared" si="10"/>
        <v>4</v>
      </c>
      <c r="K10" s="147"/>
      <c r="M10" s="160" t="s">
        <v>107</v>
      </c>
      <c r="N10" s="142"/>
      <c r="O10" s="147">
        <f t="shared" si="5"/>
        <v>12</v>
      </c>
      <c r="P10" s="147">
        <f t="shared" si="6"/>
        <v>48</v>
      </c>
      <c r="Q10" s="147">
        <f t="shared" si="7"/>
        <v>48</v>
      </c>
      <c r="R10" s="147">
        <f t="shared" si="7"/>
        <v>48</v>
      </c>
      <c r="S10" s="147">
        <f t="shared" si="7"/>
        <v>48</v>
      </c>
      <c r="T10" s="147">
        <f t="shared" si="7"/>
        <v>48</v>
      </c>
      <c r="U10" s="147">
        <f t="shared" si="7"/>
        <v>48</v>
      </c>
      <c r="V10" s="147">
        <f t="shared" si="7"/>
        <v>48</v>
      </c>
    </row>
    <row r="11" spans="1:22" ht="12.75">
      <c r="A11" s="73" t="s">
        <v>99</v>
      </c>
      <c r="B11" s="142"/>
      <c r="C11" s="141">
        <v>2</v>
      </c>
      <c r="D11" s="147">
        <f aca="true" t="shared" si="11" ref="D11:J11">C11+C11*$D$3</f>
        <v>2</v>
      </c>
      <c r="E11" s="147">
        <f t="shared" si="11"/>
        <v>2</v>
      </c>
      <c r="F11" s="147">
        <f t="shared" si="11"/>
        <v>2</v>
      </c>
      <c r="G11" s="147">
        <f t="shared" si="11"/>
        <v>2</v>
      </c>
      <c r="H11" s="147">
        <f t="shared" si="11"/>
        <v>2</v>
      </c>
      <c r="I11" s="147">
        <f t="shared" si="11"/>
        <v>2</v>
      </c>
      <c r="J11" s="147">
        <f t="shared" si="11"/>
        <v>2</v>
      </c>
      <c r="K11" s="147" t="s">
        <v>280</v>
      </c>
      <c r="M11" s="73" t="s">
        <v>99</v>
      </c>
      <c r="N11" s="142"/>
      <c r="O11" s="147">
        <f>C11*3</f>
        <v>6</v>
      </c>
      <c r="P11" s="147">
        <f>D11*12</f>
        <v>24</v>
      </c>
      <c r="Q11" s="147">
        <f t="shared" si="7"/>
        <v>24</v>
      </c>
      <c r="R11" s="147">
        <f t="shared" si="7"/>
        <v>24</v>
      </c>
      <c r="S11" s="147">
        <f t="shared" si="7"/>
        <v>24</v>
      </c>
      <c r="T11" s="147">
        <f t="shared" si="7"/>
        <v>24</v>
      </c>
      <c r="U11" s="147">
        <f t="shared" si="7"/>
        <v>24</v>
      </c>
      <c r="V11" s="147">
        <f t="shared" si="7"/>
        <v>24</v>
      </c>
    </row>
    <row r="12" spans="1:22" ht="12.75">
      <c r="A12" s="73" t="s">
        <v>43</v>
      </c>
      <c r="B12" s="147"/>
      <c r="C12" s="141">
        <v>7</v>
      </c>
      <c r="D12" s="147">
        <f t="shared" si="10"/>
        <v>7</v>
      </c>
      <c r="E12" s="147">
        <f t="shared" si="10"/>
        <v>7</v>
      </c>
      <c r="F12" s="147">
        <f t="shared" si="10"/>
        <v>7</v>
      </c>
      <c r="G12" s="147">
        <f t="shared" si="10"/>
        <v>7</v>
      </c>
      <c r="H12" s="147">
        <f t="shared" si="10"/>
        <v>7</v>
      </c>
      <c r="I12" s="147">
        <f t="shared" si="10"/>
        <v>7</v>
      </c>
      <c r="J12" s="147">
        <f t="shared" si="10"/>
        <v>7</v>
      </c>
      <c r="K12" s="147"/>
      <c r="M12" s="73" t="s">
        <v>43</v>
      </c>
      <c r="N12" s="147"/>
      <c r="O12" s="147">
        <f t="shared" si="5"/>
        <v>21</v>
      </c>
      <c r="P12" s="147">
        <f t="shared" si="6"/>
        <v>84</v>
      </c>
      <c r="Q12" s="147">
        <f t="shared" si="7"/>
        <v>84</v>
      </c>
      <c r="R12" s="147">
        <f t="shared" si="7"/>
        <v>84</v>
      </c>
      <c r="S12" s="147">
        <f t="shared" si="7"/>
        <v>84</v>
      </c>
      <c r="T12" s="147">
        <f t="shared" si="7"/>
        <v>84</v>
      </c>
      <c r="U12" s="147">
        <f t="shared" si="7"/>
        <v>84</v>
      </c>
      <c r="V12" s="147">
        <f t="shared" si="7"/>
        <v>84</v>
      </c>
    </row>
    <row r="13" spans="1:22" ht="12.75">
      <c r="A13" s="212" t="s">
        <v>0</v>
      </c>
      <c r="B13" s="213"/>
      <c r="C13" s="213">
        <f aca="true" t="shared" si="12" ref="C13:J13">SUM(C6:C12)</f>
        <v>182.615</v>
      </c>
      <c r="D13" s="213">
        <f t="shared" si="12"/>
        <v>182.615</v>
      </c>
      <c r="E13" s="213">
        <f t="shared" si="12"/>
        <v>182.615</v>
      </c>
      <c r="F13" s="213">
        <f t="shared" si="12"/>
        <v>182.615</v>
      </c>
      <c r="G13" s="213">
        <f t="shared" si="12"/>
        <v>182.615</v>
      </c>
      <c r="H13" s="213">
        <f t="shared" si="12"/>
        <v>182.615</v>
      </c>
      <c r="I13" s="213">
        <f t="shared" si="12"/>
        <v>182.615</v>
      </c>
      <c r="J13" s="213">
        <f t="shared" si="12"/>
        <v>182.615</v>
      </c>
      <c r="K13" s="213"/>
      <c r="M13" s="212" t="s">
        <v>0</v>
      </c>
      <c r="N13" s="213"/>
      <c r="O13" s="213">
        <f aca="true" t="shared" si="13" ref="O13:V13">SUM(O6:O12)</f>
        <v>547.845</v>
      </c>
      <c r="P13" s="213">
        <f t="shared" si="13"/>
        <v>2191.38</v>
      </c>
      <c r="Q13" s="213">
        <f t="shared" si="13"/>
        <v>2191.38</v>
      </c>
      <c r="R13" s="213">
        <f t="shared" si="13"/>
        <v>2191.38</v>
      </c>
      <c r="S13" s="213">
        <f t="shared" si="13"/>
        <v>2191.38</v>
      </c>
      <c r="T13" s="213">
        <f t="shared" si="13"/>
        <v>2191.38</v>
      </c>
      <c r="U13" s="213">
        <f t="shared" si="13"/>
        <v>2191.38</v>
      </c>
      <c r="V13" s="213">
        <f t="shared" si="13"/>
        <v>2191.38</v>
      </c>
    </row>
    <row r="15" spans="1:22" ht="12.75">
      <c r="A15" s="60" t="s">
        <v>76</v>
      </c>
      <c r="C15" s="162">
        <f aca="true" t="shared" si="14" ref="C15:J15">SUM(C16:C16)</f>
        <v>0.46084500000000006</v>
      </c>
      <c r="D15" s="162">
        <f t="shared" si="14"/>
        <v>0.46084500000000006</v>
      </c>
      <c r="E15" s="162">
        <f t="shared" si="14"/>
        <v>0.46084500000000006</v>
      </c>
      <c r="F15" s="162">
        <f t="shared" si="14"/>
        <v>0.46084500000000006</v>
      </c>
      <c r="G15" s="162">
        <f t="shared" si="14"/>
        <v>0.46084500000000006</v>
      </c>
      <c r="H15" s="162">
        <f t="shared" si="14"/>
        <v>0.46084500000000006</v>
      </c>
      <c r="I15" s="162">
        <f t="shared" si="14"/>
        <v>0.46084500000000006</v>
      </c>
      <c r="J15" s="162">
        <f t="shared" si="14"/>
        <v>0.46084500000000006</v>
      </c>
      <c r="M15" s="60" t="s">
        <v>76</v>
      </c>
      <c r="O15" s="162">
        <f aca="true" t="shared" si="15" ref="O15:V15">SUM(O16:O16)</f>
        <v>1.3825350000000003</v>
      </c>
      <c r="P15" s="162">
        <f t="shared" si="15"/>
        <v>5.530140000000001</v>
      </c>
      <c r="Q15" s="162">
        <f t="shared" si="15"/>
        <v>5.530140000000001</v>
      </c>
      <c r="R15" s="162">
        <f t="shared" si="15"/>
        <v>5.530140000000001</v>
      </c>
      <c r="S15" s="162">
        <f t="shared" si="15"/>
        <v>5.530140000000001</v>
      </c>
      <c r="T15" s="162">
        <f t="shared" si="15"/>
        <v>5.530140000000001</v>
      </c>
      <c r="U15" s="162">
        <f t="shared" si="15"/>
        <v>5.530140000000001</v>
      </c>
      <c r="V15" s="162">
        <f t="shared" si="15"/>
        <v>5.530140000000001</v>
      </c>
    </row>
    <row r="16" spans="1:22" ht="25.5">
      <c r="A16" s="160" t="s">
        <v>77</v>
      </c>
      <c r="B16" s="163">
        <v>0.003</v>
      </c>
      <c r="C16" s="164">
        <f aca="true" t="shared" si="16" ref="C16:J16">C6*$B$16</f>
        <v>0.46084500000000006</v>
      </c>
      <c r="D16" s="164">
        <f t="shared" si="16"/>
        <v>0.46084500000000006</v>
      </c>
      <c r="E16" s="164">
        <f t="shared" si="16"/>
        <v>0.46084500000000006</v>
      </c>
      <c r="F16" s="164">
        <f t="shared" si="16"/>
        <v>0.46084500000000006</v>
      </c>
      <c r="G16" s="164">
        <f t="shared" si="16"/>
        <v>0.46084500000000006</v>
      </c>
      <c r="H16" s="164">
        <f t="shared" si="16"/>
        <v>0.46084500000000006</v>
      </c>
      <c r="I16" s="164">
        <f t="shared" si="16"/>
        <v>0.46084500000000006</v>
      </c>
      <c r="J16" s="164">
        <f t="shared" si="16"/>
        <v>0.46084500000000006</v>
      </c>
      <c r="M16" s="160" t="s">
        <v>77</v>
      </c>
      <c r="N16" s="166">
        <f>B16</f>
        <v>0.003</v>
      </c>
      <c r="O16" s="164">
        <f>C16*3</f>
        <v>1.3825350000000003</v>
      </c>
      <c r="P16" s="164">
        <f aca="true" t="shared" si="17" ref="P16:V16">D16*12</f>
        <v>5.530140000000001</v>
      </c>
      <c r="Q16" s="164">
        <f t="shared" si="17"/>
        <v>5.530140000000001</v>
      </c>
      <c r="R16" s="164">
        <f t="shared" si="17"/>
        <v>5.530140000000001</v>
      </c>
      <c r="S16" s="164">
        <f t="shared" si="17"/>
        <v>5.530140000000001</v>
      </c>
      <c r="T16" s="164">
        <f t="shared" si="17"/>
        <v>5.530140000000001</v>
      </c>
      <c r="U16" s="164">
        <f t="shared" si="17"/>
        <v>5.530140000000001</v>
      </c>
      <c r="V16" s="164">
        <f t="shared" si="17"/>
        <v>5.530140000000001</v>
      </c>
    </row>
    <row r="18" spans="1:22" ht="12.75">
      <c r="A18" s="60" t="s">
        <v>78</v>
      </c>
      <c r="C18" s="165">
        <f>SUM(C19:C20)</f>
        <v>0.5</v>
      </c>
      <c r="D18" s="165">
        <f aca="true" t="shared" si="18" ref="D18:I18">SUM(D19:D20)</f>
        <v>0.5</v>
      </c>
      <c r="E18" s="165">
        <f t="shared" si="18"/>
        <v>0.5</v>
      </c>
      <c r="F18" s="165">
        <f t="shared" si="18"/>
        <v>0.5</v>
      </c>
      <c r="G18" s="165">
        <f t="shared" si="18"/>
        <v>0.5</v>
      </c>
      <c r="H18" s="165">
        <f t="shared" si="18"/>
        <v>0.5</v>
      </c>
      <c r="I18" s="165">
        <f t="shared" si="18"/>
        <v>0.5</v>
      </c>
      <c r="J18" s="165">
        <f>SUM(J19:J20)</f>
        <v>0.5</v>
      </c>
      <c r="M18" s="60" t="s">
        <v>78</v>
      </c>
      <c r="O18" s="165">
        <f>SUM(O19:O20)</f>
        <v>1.5</v>
      </c>
      <c r="P18" s="165">
        <f aca="true" t="shared" si="19" ref="P18:U18">SUM(P19:P20)</f>
        <v>6</v>
      </c>
      <c r="Q18" s="165">
        <f t="shared" si="19"/>
        <v>6</v>
      </c>
      <c r="R18" s="165">
        <f t="shared" si="19"/>
        <v>6</v>
      </c>
      <c r="S18" s="165">
        <f t="shared" si="19"/>
        <v>6</v>
      </c>
      <c r="T18" s="165">
        <f t="shared" si="19"/>
        <v>6</v>
      </c>
      <c r="U18" s="165">
        <f t="shared" si="19"/>
        <v>6</v>
      </c>
      <c r="V18" s="165">
        <f>SUM(V19:V20)</f>
        <v>6</v>
      </c>
    </row>
    <row r="19" spans="1:22" ht="12.75">
      <c r="A19" s="73" t="s">
        <v>1</v>
      </c>
      <c r="B19" s="166">
        <f>Исх!C18</f>
        <v>0</v>
      </c>
      <c r="C19" s="147">
        <f>(C32+C35)/2*$B$19/12</f>
        <v>0</v>
      </c>
      <c r="D19" s="147">
        <f aca="true" t="shared" si="20" ref="D19:I19">(D32+D35)/2*$B$19/12</f>
        <v>0</v>
      </c>
      <c r="E19" s="147">
        <f t="shared" si="20"/>
        <v>0</v>
      </c>
      <c r="F19" s="147">
        <f t="shared" si="20"/>
        <v>0</v>
      </c>
      <c r="G19" s="147">
        <f t="shared" si="20"/>
        <v>0</v>
      </c>
      <c r="H19" s="147">
        <f t="shared" si="20"/>
        <v>0</v>
      </c>
      <c r="I19" s="147">
        <f t="shared" si="20"/>
        <v>0</v>
      </c>
      <c r="J19" s="147">
        <f>(J32+J35)/2*$B$19/12</f>
        <v>0</v>
      </c>
      <c r="M19" s="73" t="s">
        <v>1</v>
      </c>
      <c r="N19" s="166">
        <f>B19</f>
        <v>0</v>
      </c>
      <c r="O19" s="164">
        <f>C19*3</f>
        <v>0</v>
      </c>
      <c r="P19" s="164">
        <f aca="true" t="shared" si="21" ref="P19:V20">D19*12</f>
        <v>0</v>
      </c>
      <c r="Q19" s="164">
        <f t="shared" si="21"/>
        <v>0</v>
      </c>
      <c r="R19" s="164">
        <f t="shared" si="21"/>
        <v>0</v>
      </c>
      <c r="S19" s="164">
        <f t="shared" si="21"/>
        <v>0</v>
      </c>
      <c r="T19" s="164">
        <f t="shared" si="21"/>
        <v>0</v>
      </c>
      <c r="U19" s="164">
        <f t="shared" si="21"/>
        <v>0</v>
      </c>
      <c r="V19" s="164">
        <f t="shared" si="21"/>
        <v>0</v>
      </c>
    </row>
    <row r="20" spans="1:22" ht="12.75">
      <c r="A20" s="73" t="s">
        <v>216</v>
      </c>
      <c r="B20" s="73"/>
      <c r="C20" s="141">
        <v>0.5</v>
      </c>
      <c r="D20" s="147">
        <f aca="true" t="shared" si="22" ref="D20:J20">C20+C20*$D$3</f>
        <v>0.5</v>
      </c>
      <c r="E20" s="147">
        <f t="shared" si="22"/>
        <v>0.5</v>
      </c>
      <c r="F20" s="147">
        <f t="shared" si="22"/>
        <v>0.5</v>
      </c>
      <c r="G20" s="147">
        <f t="shared" si="22"/>
        <v>0.5</v>
      </c>
      <c r="H20" s="147">
        <f t="shared" si="22"/>
        <v>0.5</v>
      </c>
      <c r="I20" s="147">
        <f t="shared" si="22"/>
        <v>0.5</v>
      </c>
      <c r="J20" s="147">
        <f t="shared" si="22"/>
        <v>0.5</v>
      </c>
      <c r="M20" s="73" t="s">
        <v>216</v>
      </c>
      <c r="N20" s="166">
        <f>B20</f>
        <v>0</v>
      </c>
      <c r="O20" s="164">
        <f>C20*3</f>
        <v>1.5</v>
      </c>
      <c r="P20" s="164">
        <f t="shared" si="21"/>
        <v>6</v>
      </c>
      <c r="Q20" s="164">
        <f t="shared" si="21"/>
        <v>6</v>
      </c>
      <c r="R20" s="164">
        <f t="shared" si="21"/>
        <v>6</v>
      </c>
      <c r="S20" s="164">
        <f t="shared" si="21"/>
        <v>6</v>
      </c>
      <c r="T20" s="164">
        <f t="shared" si="21"/>
        <v>6</v>
      </c>
      <c r="U20" s="164">
        <f t="shared" si="21"/>
        <v>6</v>
      </c>
      <c r="V20" s="164">
        <f t="shared" si="21"/>
        <v>6</v>
      </c>
    </row>
    <row r="22" ht="12.75">
      <c r="C22" s="167"/>
    </row>
    <row r="23" spans="1:10" ht="12.75">
      <c r="A23" s="60" t="s">
        <v>79</v>
      </c>
      <c r="C23" s="165"/>
      <c r="D23" s="165"/>
      <c r="E23" s="165"/>
      <c r="F23" s="165"/>
      <c r="G23" s="165"/>
      <c r="H23" s="165"/>
      <c r="I23" s="165"/>
      <c r="J23" s="165"/>
    </row>
    <row r="24" spans="1:10" ht="12.75">
      <c r="A24" s="137" t="s">
        <v>85</v>
      </c>
      <c r="B24" s="73"/>
      <c r="C24" s="138">
        <f aca="true" t="shared" si="23" ref="C24:J24">C5</f>
        <v>2013</v>
      </c>
      <c r="D24" s="138">
        <f t="shared" si="23"/>
        <v>2014</v>
      </c>
      <c r="E24" s="138">
        <f t="shared" si="23"/>
        <v>2015</v>
      </c>
      <c r="F24" s="138">
        <f t="shared" si="23"/>
        <v>2016</v>
      </c>
      <c r="G24" s="138">
        <f t="shared" si="23"/>
        <v>2017</v>
      </c>
      <c r="H24" s="138">
        <f t="shared" si="23"/>
        <v>2018</v>
      </c>
      <c r="I24" s="138">
        <f t="shared" si="23"/>
        <v>2019</v>
      </c>
      <c r="J24" s="138">
        <f t="shared" si="23"/>
        <v>2020</v>
      </c>
    </row>
    <row r="25" spans="1:10" ht="12.75">
      <c r="A25" s="73" t="s">
        <v>80</v>
      </c>
      <c r="B25" s="168"/>
      <c r="C25" s="73"/>
      <c r="D25" s="73"/>
      <c r="E25" s="73"/>
      <c r="F25" s="73"/>
      <c r="G25" s="73"/>
      <c r="H25" s="73"/>
      <c r="I25" s="73"/>
      <c r="J25" s="73"/>
    </row>
    <row r="26" spans="1:10" ht="12.75">
      <c r="A26" s="73" t="s">
        <v>81</v>
      </c>
      <c r="B26" s="169"/>
      <c r="C26" s="147">
        <f>C32+C38+C44</f>
        <v>0</v>
      </c>
      <c r="D26" s="147">
        <f aca="true" t="shared" si="24" ref="D26:I26">D32+D38+D44</f>
        <v>1825.719</v>
      </c>
      <c r="E26" s="147">
        <f t="shared" si="24"/>
        <v>1616.129125</v>
      </c>
      <c r="F26" s="147">
        <f t="shared" si="24"/>
        <v>1406.53925</v>
      </c>
      <c r="G26" s="147">
        <f t="shared" si="24"/>
        <v>1196.9493750000001</v>
      </c>
      <c r="H26" s="147">
        <f t="shared" si="24"/>
        <v>987.3595</v>
      </c>
      <c r="I26" s="147">
        <f t="shared" si="24"/>
        <v>777.769625</v>
      </c>
      <c r="J26" s="147">
        <f>J32+J38+J44</f>
        <v>568.17975</v>
      </c>
    </row>
    <row r="27" spans="1:10" ht="12.75">
      <c r="A27" s="73" t="s">
        <v>82</v>
      </c>
      <c r="B27" s="169"/>
      <c r="C27" s="147">
        <f>C33+C39+C45</f>
        <v>1825.719</v>
      </c>
      <c r="D27" s="147">
        <f aca="true" t="shared" si="25" ref="D27:I27">D33+D39+D45</f>
        <v>0</v>
      </c>
      <c r="E27" s="147">
        <f t="shared" si="25"/>
        <v>0</v>
      </c>
      <c r="F27" s="147">
        <f t="shared" si="25"/>
        <v>0</v>
      </c>
      <c r="G27" s="147">
        <f t="shared" si="25"/>
        <v>0</v>
      </c>
      <c r="H27" s="147">
        <f t="shared" si="25"/>
        <v>0</v>
      </c>
      <c r="I27" s="147">
        <f t="shared" si="25"/>
        <v>0</v>
      </c>
      <c r="J27" s="147">
        <f>J33+J39+J45</f>
        <v>0</v>
      </c>
    </row>
    <row r="28" spans="1:10" ht="12.75">
      <c r="A28" s="149" t="s">
        <v>83</v>
      </c>
      <c r="B28" s="149"/>
      <c r="C28" s="148">
        <f>C34+C40+C46</f>
        <v>0</v>
      </c>
      <c r="D28" s="148">
        <f aca="true" t="shared" si="26" ref="D28:I28">D34+D40+D46</f>
        <v>209.589875</v>
      </c>
      <c r="E28" s="148">
        <f t="shared" si="26"/>
        <v>209.589875</v>
      </c>
      <c r="F28" s="148">
        <f t="shared" si="26"/>
        <v>209.589875</v>
      </c>
      <c r="G28" s="148">
        <f t="shared" si="26"/>
        <v>209.589875</v>
      </c>
      <c r="H28" s="148">
        <f t="shared" si="26"/>
        <v>209.589875</v>
      </c>
      <c r="I28" s="148">
        <f t="shared" si="26"/>
        <v>209.589875</v>
      </c>
      <c r="J28" s="148">
        <f>J34+J40+J46</f>
        <v>209.589875</v>
      </c>
    </row>
    <row r="29" spans="1:10" ht="12.75">
      <c r="A29" s="73" t="s">
        <v>84</v>
      </c>
      <c r="B29" s="169"/>
      <c r="C29" s="147">
        <f aca="true" t="shared" si="27" ref="C29:I29">C26+C27-C28</f>
        <v>1825.719</v>
      </c>
      <c r="D29" s="147">
        <f t="shared" si="27"/>
        <v>1616.129125</v>
      </c>
      <c r="E29" s="147">
        <f t="shared" si="27"/>
        <v>1406.5392499999998</v>
      </c>
      <c r="F29" s="147">
        <f t="shared" si="27"/>
        <v>1196.9493750000001</v>
      </c>
      <c r="G29" s="147">
        <f t="shared" si="27"/>
        <v>987.3595000000001</v>
      </c>
      <c r="H29" s="147">
        <f t="shared" si="27"/>
        <v>777.769625</v>
      </c>
      <c r="I29" s="147">
        <f t="shared" si="27"/>
        <v>568.17975</v>
      </c>
      <c r="J29" s="147">
        <f>J26+J27-J28</f>
        <v>358.589875</v>
      </c>
    </row>
    <row r="30" spans="1:10" ht="12.75" hidden="1" outlineLevel="1">
      <c r="A30" s="71" t="s">
        <v>108</v>
      </c>
      <c r="C30" s="138"/>
      <c r="D30" s="138"/>
      <c r="E30" s="138"/>
      <c r="F30" s="138"/>
      <c r="G30" s="138"/>
      <c r="H30" s="138"/>
      <c r="I30" s="138"/>
      <c r="J30" s="138"/>
    </row>
    <row r="31" spans="1:10" ht="12.75" hidden="1" outlineLevel="1">
      <c r="A31" s="73" t="s">
        <v>80</v>
      </c>
      <c r="B31" s="170">
        <v>0.05</v>
      </c>
      <c r="C31" s="73"/>
      <c r="D31" s="73"/>
      <c r="E31" s="73"/>
      <c r="F31" s="73"/>
      <c r="G31" s="73"/>
      <c r="H31" s="73"/>
      <c r="I31" s="73"/>
      <c r="J31" s="73"/>
    </row>
    <row r="32" spans="1:10" ht="12.75" hidden="1" outlineLevel="1">
      <c r="A32" s="73" t="s">
        <v>81</v>
      </c>
      <c r="B32" s="169"/>
      <c r="C32" s="142">
        <f>Инв!C28</f>
        <v>0</v>
      </c>
      <c r="D32" s="147">
        <f aca="true" t="shared" si="28" ref="D32:J32">C35</f>
        <v>0</v>
      </c>
      <c r="E32" s="147">
        <f t="shared" si="28"/>
        <v>0</v>
      </c>
      <c r="F32" s="147">
        <f t="shared" si="28"/>
        <v>0</v>
      </c>
      <c r="G32" s="147">
        <f t="shared" si="28"/>
        <v>0</v>
      </c>
      <c r="H32" s="147">
        <f t="shared" si="28"/>
        <v>0</v>
      </c>
      <c r="I32" s="147">
        <f t="shared" si="28"/>
        <v>0</v>
      </c>
      <c r="J32" s="147">
        <f t="shared" si="28"/>
        <v>0</v>
      </c>
    </row>
    <row r="33" spans="1:10" ht="12.75" hidden="1" outlineLevel="1">
      <c r="A33" s="73" t="s">
        <v>82</v>
      </c>
      <c r="B33" s="169"/>
      <c r="C33" s="147"/>
      <c r="D33" s="147"/>
      <c r="E33" s="147"/>
      <c r="F33" s="147"/>
      <c r="G33" s="147"/>
      <c r="H33" s="147"/>
      <c r="I33" s="147"/>
      <c r="J33" s="147"/>
    </row>
    <row r="34" spans="1:10" ht="12.75" hidden="1" outlineLevel="1">
      <c r="A34" s="149" t="s">
        <v>83</v>
      </c>
      <c r="B34" s="149"/>
      <c r="C34" s="148">
        <f aca="true" t="shared" si="29" ref="C34:I34">$C32*$B31</f>
        <v>0</v>
      </c>
      <c r="D34" s="148">
        <f t="shared" si="29"/>
        <v>0</v>
      </c>
      <c r="E34" s="148">
        <f t="shared" si="29"/>
        <v>0</v>
      </c>
      <c r="F34" s="148">
        <f t="shared" si="29"/>
        <v>0</v>
      </c>
      <c r="G34" s="148">
        <f t="shared" si="29"/>
        <v>0</v>
      </c>
      <c r="H34" s="148">
        <f t="shared" si="29"/>
        <v>0</v>
      </c>
      <c r="I34" s="148">
        <f t="shared" si="29"/>
        <v>0</v>
      </c>
      <c r="J34" s="148">
        <f>$C32*$B31</f>
        <v>0</v>
      </c>
    </row>
    <row r="35" spans="1:10" ht="12.75" hidden="1" outlineLevel="1">
      <c r="A35" s="73" t="s">
        <v>84</v>
      </c>
      <c r="B35" s="169"/>
      <c r="C35" s="147">
        <f aca="true" t="shared" si="30" ref="C35:I35">C32+C33-C34</f>
        <v>0</v>
      </c>
      <c r="D35" s="147">
        <f t="shared" si="30"/>
        <v>0</v>
      </c>
      <c r="E35" s="147">
        <f t="shared" si="30"/>
        <v>0</v>
      </c>
      <c r="F35" s="147">
        <f t="shared" si="30"/>
        <v>0</v>
      </c>
      <c r="G35" s="147">
        <f t="shared" si="30"/>
        <v>0</v>
      </c>
      <c r="H35" s="147">
        <f t="shared" si="30"/>
        <v>0</v>
      </c>
      <c r="I35" s="147">
        <f t="shared" si="30"/>
        <v>0</v>
      </c>
      <c r="J35" s="147">
        <f>J32+J33-J34</f>
        <v>0</v>
      </c>
    </row>
    <row r="36" spans="1:10" ht="12.75" hidden="1" outlineLevel="1">
      <c r="A36" s="71" t="s">
        <v>103</v>
      </c>
      <c r="C36" s="138"/>
      <c r="D36" s="138"/>
      <c r="E36" s="138"/>
      <c r="F36" s="138"/>
      <c r="G36" s="138"/>
      <c r="H36" s="138"/>
      <c r="I36" s="138"/>
      <c r="J36" s="138"/>
    </row>
    <row r="37" spans="1:10" ht="12.75" hidden="1" outlineLevel="1">
      <c r="A37" s="73" t="s">
        <v>80</v>
      </c>
      <c r="B37" s="170">
        <v>0.1</v>
      </c>
      <c r="C37" s="73"/>
      <c r="D37" s="73"/>
      <c r="E37" s="73"/>
      <c r="F37" s="73"/>
      <c r="G37" s="73"/>
      <c r="H37" s="73"/>
      <c r="I37" s="73"/>
      <c r="J37" s="73"/>
    </row>
    <row r="38" spans="1:10" ht="12.75" hidden="1" outlineLevel="1">
      <c r="A38" s="73" t="s">
        <v>81</v>
      </c>
      <c r="B38" s="169"/>
      <c r="C38" s="147"/>
      <c r="D38" s="147">
        <f aca="true" t="shared" si="31" ref="D38:J38">C41</f>
        <v>745</v>
      </c>
      <c r="E38" s="147">
        <f t="shared" si="31"/>
        <v>670.5</v>
      </c>
      <c r="F38" s="147">
        <f t="shared" si="31"/>
        <v>596</v>
      </c>
      <c r="G38" s="147">
        <f t="shared" si="31"/>
        <v>521.5</v>
      </c>
      <c r="H38" s="147">
        <f t="shared" si="31"/>
        <v>447</v>
      </c>
      <c r="I38" s="147">
        <f t="shared" si="31"/>
        <v>372.5</v>
      </c>
      <c r="J38" s="147">
        <f t="shared" si="31"/>
        <v>298</v>
      </c>
    </row>
    <row r="39" spans="1:10" ht="12.75" hidden="1" outlineLevel="1">
      <c r="A39" s="73" t="s">
        <v>82</v>
      </c>
      <c r="B39" s="169"/>
      <c r="C39" s="147">
        <f>Инв!C29</f>
        <v>745</v>
      </c>
      <c r="D39" s="147"/>
      <c r="E39" s="147"/>
      <c r="F39" s="147"/>
      <c r="G39" s="147"/>
      <c r="H39" s="147"/>
      <c r="I39" s="147"/>
      <c r="J39" s="147"/>
    </row>
    <row r="40" spans="1:10" ht="12.75" hidden="1" outlineLevel="1">
      <c r="A40" s="149" t="s">
        <v>83</v>
      </c>
      <c r="B40" s="149"/>
      <c r="C40" s="148">
        <f>$C39*$B37/12*0</f>
        <v>0</v>
      </c>
      <c r="D40" s="148">
        <f aca="true" t="shared" si="32" ref="D40:J40">$C39*$B37</f>
        <v>74.5</v>
      </c>
      <c r="E40" s="148">
        <f t="shared" si="32"/>
        <v>74.5</v>
      </c>
      <c r="F40" s="148">
        <f t="shared" si="32"/>
        <v>74.5</v>
      </c>
      <c r="G40" s="148">
        <f t="shared" si="32"/>
        <v>74.5</v>
      </c>
      <c r="H40" s="148">
        <f t="shared" si="32"/>
        <v>74.5</v>
      </c>
      <c r="I40" s="148">
        <f t="shared" si="32"/>
        <v>74.5</v>
      </c>
      <c r="J40" s="148">
        <f t="shared" si="32"/>
        <v>74.5</v>
      </c>
    </row>
    <row r="41" spans="1:10" ht="12.75" hidden="1" outlineLevel="1">
      <c r="A41" s="73" t="s">
        <v>84</v>
      </c>
      <c r="B41" s="169"/>
      <c r="C41" s="147">
        <f aca="true" t="shared" si="33" ref="C41:I41">C38+C39-C40</f>
        <v>745</v>
      </c>
      <c r="D41" s="147">
        <f t="shared" si="33"/>
        <v>670.5</v>
      </c>
      <c r="E41" s="147">
        <f t="shared" si="33"/>
        <v>596</v>
      </c>
      <c r="F41" s="147">
        <f t="shared" si="33"/>
        <v>521.5</v>
      </c>
      <c r="G41" s="147">
        <f t="shared" si="33"/>
        <v>447</v>
      </c>
      <c r="H41" s="147">
        <f t="shared" si="33"/>
        <v>372.5</v>
      </c>
      <c r="I41" s="147">
        <f t="shared" si="33"/>
        <v>298</v>
      </c>
      <c r="J41" s="147">
        <f>J38+J39-J40</f>
        <v>223.5</v>
      </c>
    </row>
    <row r="42" spans="1:10" ht="12.75" hidden="1" outlineLevel="1">
      <c r="A42" s="71" t="s">
        <v>190</v>
      </c>
      <c r="C42" s="138"/>
      <c r="D42" s="138"/>
      <c r="E42" s="138"/>
      <c r="F42" s="138"/>
      <c r="G42" s="138"/>
      <c r="H42" s="138"/>
      <c r="I42" s="138"/>
      <c r="J42" s="138"/>
    </row>
    <row r="43" spans="1:10" ht="12.75" hidden="1" outlineLevel="1">
      <c r="A43" s="73" t="s">
        <v>80</v>
      </c>
      <c r="B43" s="170">
        <f>1/8</f>
        <v>0.125</v>
      </c>
      <c r="C43" s="73"/>
      <c r="D43" s="73"/>
      <c r="E43" s="73"/>
      <c r="F43" s="73"/>
      <c r="G43" s="73"/>
      <c r="H43" s="73"/>
      <c r="I43" s="73"/>
      <c r="J43" s="73"/>
    </row>
    <row r="44" spans="1:10" ht="12.75" hidden="1" outlineLevel="1">
      <c r="A44" s="73" t="s">
        <v>81</v>
      </c>
      <c r="B44" s="169"/>
      <c r="C44" s="147"/>
      <c r="D44" s="147">
        <f aca="true" t="shared" si="34" ref="D44:J44">C47</f>
        <v>1080.719</v>
      </c>
      <c r="E44" s="147">
        <f t="shared" si="34"/>
        <v>945.629125</v>
      </c>
      <c r="F44" s="147">
        <f t="shared" si="34"/>
        <v>810.53925</v>
      </c>
      <c r="G44" s="147">
        <f t="shared" si="34"/>
        <v>675.449375</v>
      </c>
      <c r="H44" s="147">
        <f t="shared" si="34"/>
        <v>540.3595</v>
      </c>
      <c r="I44" s="147">
        <f t="shared" si="34"/>
        <v>405.269625</v>
      </c>
      <c r="J44" s="147">
        <f t="shared" si="34"/>
        <v>270.17975</v>
      </c>
    </row>
    <row r="45" spans="1:10" ht="12.75" hidden="1" outlineLevel="1">
      <c r="A45" s="73" t="s">
        <v>82</v>
      </c>
      <c r="B45" s="169"/>
      <c r="C45" s="147">
        <f>Инв!C30</f>
        <v>1080.719</v>
      </c>
      <c r="D45" s="147"/>
      <c r="E45" s="147"/>
      <c r="F45" s="147"/>
      <c r="G45" s="147"/>
      <c r="H45" s="147"/>
      <c r="I45" s="147"/>
      <c r="J45" s="147"/>
    </row>
    <row r="46" spans="1:10" ht="12.75" hidden="1" outlineLevel="1">
      <c r="A46" s="149" t="s">
        <v>83</v>
      </c>
      <c r="B46" s="149"/>
      <c r="C46" s="148">
        <f>$C45*$B43/12*0</f>
        <v>0</v>
      </c>
      <c r="D46" s="148">
        <f>$C45*$B43</f>
        <v>135.089875</v>
      </c>
      <c r="E46" s="148">
        <f aca="true" t="shared" si="35" ref="E46:J46">$C45*$B43</f>
        <v>135.089875</v>
      </c>
      <c r="F46" s="148">
        <f t="shared" si="35"/>
        <v>135.089875</v>
      </c>
      <c r="G46" s="148">
        <f t="shared" si="35"/>
        <v>135.089875</v>
      </c>
      <c r="H46" s="148">
        <f t="shared" si="35"/>
        <v>135.089875</v>
      </c>
      <c r="I46" s="148">
        <f t="shared" si="35"/>
        <v>135.089875</v>
      </c>
      <c r="J46" s="148">
        <f t="shared" si="35"/>
        <v>135.089875</v>
      </c>
    </row>
    <row r="47" spans="1:10" ht="12.75" hidden="1" outlineLevel="1">
      <c r="A47" s="73" t="s">
        <v>84</v>
      </c>
      <c r="B47" s="169"/>
      <c r="C47" s="147">
        <f aca="true" t="shared" si="36" ref="C47:I47">C44+C45-C46</f>
        <v>1080.719</v>
      </c>
      <c r="D47" s="147">
        <f t="shared" si="36"/>
        <v>945.629125</v>
      </c>
      <c r="E47" s="147">
        <f t="shared" si="36"/>
        <v>810.53925</v>
      </c>
      <c r="F47" s="147">
        <f t="shared" si="36"/>
        <v>675.449375</v>
      </c>
      <c r="G47" s="147">
        <f t="shared" si="36"/>
        <v>540.3595</v>
      </c>
      <c r="H47" s="147">
        <f t="shared" si="36"/>
        <v>405.269625</v>
      </c>
      <c r="I47" s="147">
        <f t="shared" si="36"/>
        <v>270.17975</v>
      </c>
      <c r="J47" s="147">
        <f>J44+J45-J46</f>
        <v>135.089875</v>
      </c>
    </row>
    <row r="48" ht="12.75" collapsed="1"/>
  </sheetData>
  <sheetProtection/>
  <printOptions/>
  <pageMargins left="0.2" right="0.2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2013-08-14T10:51:20Z</cp:lastPrinted>
  <dcterms:created xsi:type="dcterms:W3CDTF">2006-03-01T15:11:19Z</dcterms:created>
  <dcterms:modified xsi:type="dcterms:W3CDTF">2013-09-24T07:59:01Z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