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9" activeTab="4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Производство" sheetId="6" r:id="rId6"/>
    <sheet name="Расх перем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5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5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5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5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5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5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5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5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5">'[59]Главн'!$C$35</definedName>
    <definedName name="inf">'[21]Главн'!$C$35</definedName>
    <definedName name="kpn1" localSheetId="9">'[32]Главн'!$D$46</definedName>
    <definedName name="kpn1" localSheetId="5">'[59]Главн'!$D$46</definedName>
    <definedName name="kpn1">'[21]Главн'!$D$46</definedName>
    <definedName name="kpn2" localSheetId="9">'[32]Главн'!$E$46</definedName>
    <definedName name="kpn2" localSheetId="5">'[59]Главн'!$E$46</definedName>
    <definedName name="kpn2">'[21]Главн'!$E$46</definedName>
    <definedName name="kpn3" localSheetId="9">'[32]Главн'!$F$46</definedName>
    <definedName name="kpn3" localSheetId="5">'[59]Главн'!$F$46</definedName>
    <definedName name="kpn3">'[21]Главн'!$F$46</definedName>
    <definedName name="kpn4" localSheetId="9">'[32]Главн'!$G$46</definedName>
    <definedName name="kpn4" localSheetId="5">'[59]Главн'!$G$46</definedName>
    <definedName name="kpn4">'[21]Главн'!$G$46</definedName>
    <definedName name="kpn5" localSheetId="9">'[32]Главн'!$H$46</definedName>
    <definedName name="kpn5" localSheetId="5">'[59]Главн'!$H$46</definedName>
    <definedName name="kpn5">'[21]Главн'!$H$46</definedName>
    <definedName name="kpn6" localSheetId="9">'[32]Главн'!$I$46</definedName>
    <definedName name="kpn6" localSheetId="5">'[59]Главн'!$I$46</definedName>
    <definedName name="kpn6">'[21]Главн'!$I$46</definedName>
    <definedName name="kpn7" localSheetId="9">'[32]Главн'!$J$46</definedName>
    <definedName name="kpn7" localSheetId="5">'[59]Главн'!$J$46</definedName>
    <definedName name="kpn7">'[21]Главн'!$J$46</definedName>
    <definedName name="kpn8" localSheetId="9">'[32]Главн'!$K$46</definedName>
    <definedName name="kpn8" localSheetId="5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5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5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5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5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5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5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5">'[59]Главн'!$C$2</definedName>
    <definedName name="name">'[21]Главн'!$C$2</definedName>
    <definedName name="nds1" localSheetId="9">'[32]Главн'!$D$42</definedName>
    <definedName name="nds1" localSheetId="5">'[59]Главн'!$D$42</definedName>
    <definedName name="nds1">'[21]Главн'!$D$42</definedName>
    <definedName name="nds2" localSheetId="9">'[32]Главн'!$E$42</definedName>
    <definedName name="nds2" localSheetId="5">'[59]Главн'!$E$42</definedName>
    <definedName name="nds2">'[21]Главн'!$E$42</definedName>
    <definedName name="nds3" localSheetId="9">'[32]Главн'!$F$42</definedName>
    <definedName name="nds3" localSheetId="5">'[59]Главн'!$F$42</definedName>
    <definedName name="nds3">'[21]Главн'!$F$42</definedName>
    <definedName name="nds4" localSheetId="9">'[32]Главн'!$G$42</definedName>
    <definedName name="nds4" localSheetId="5">'[59]Главн'!$G$42</definedName>
    <definedName name="nds4">'[21]Главн'!$G$42</definedName>
    <definedName name="nds5" localSheetId="9">'[32]Главн'!$H$42</definedName>
    <definedName name="nds5" localSheetId="5">'[59]Главн'!$H$42</definedName>
    <definedName name="nds5">'[21]Главн'!$H$42</definedName>
    <definedName name="nds6" localSheetId="9">'[32]Главн'!$I$42</definedName>
    <definedName name="nds6" localSheetId="5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5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5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5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5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'[61]объекты обществаКокшетау'!#REF!</definedName>
    <definedName name="баланс_стоимость" localSheetId="6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5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5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5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'[61]объекты обществаКокшетау'!#REF!</definedName>
    <definedName name="всего_долл" localSheetId="6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5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5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5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5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5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5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5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5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5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'[61]объекты обществаКокшетау'!#REF!</definedName>
    <definedName name="итого_в_долл" localSheetId="6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5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5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5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5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5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'[61]объекты обществаКокшетау'!#REF!</definedName>
    <definedName name="курс_НБРК" localSheetId="6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5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5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5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5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5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5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'1-Ф3'!$A$1:$AU$37</definedName>
    <definedName name="_xlnm.Print_Area" localSheetId="1">'2-ф2'!$A$1:$AU$29</definedName>
    <definedName name="_xlnm.Print_Area" localSheetId="2">'3-Баланс'!$A$1:$AU$26</definedName>
    <definedName name="_xlnm.Print_Area" localSheetId="10">'Инв'!$A$1:$Q$20</definedName>
    <definedName name="_xlnm.Print_Area" localSheetId="3">'Исх'!$A$1:$M$44</definedName>
    <definedName name="_xlnm.Print_Area" localSheetId="9">'кр'!$A$1:$DO$29</definedName>
    <definedName name="_xlnm.Print_Area" localSheetId="12">'Осн.пок-ли'!$A$1:$N$70</definedName>
    <definedName name="_xlnm.Print_Area" localSheetId="8">'Пост'!$A$1:$V$50</definedName>
    <definedName name="_xlnm.Print_Area" localSheetId="5">'Производство'!$A$1:$AU$19</definedName>
    <definedName name="_xlnm.Print_Area" localSheetId="6">'Расх перем'!$A$1:$G$15</definedName>
    <definedName name="_xlnm.Print_Area" localSheetId="7">'ФОТ'!$A$1:$K$34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'Производство'!#REF!</definedName>
    <definedName name="обм" localSheetId="6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5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5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5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5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5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5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'Производство'!#REF!</definedName>
    <definedName name="себ" localSheetId="6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5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5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5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5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5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5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5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5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5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5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'[61]объекты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5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5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5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5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5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5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.xml><?xml version="1.0" encoding="utf-8"?>
<comments xmlns="http://schemas.openxmlformats.org/spreadsheetml/2006/main">
  <authors>
    <author>МСБ консалтинг</author>
  </authors>
  <commentList>
    <comment ref="O13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запас на 1,5 месяца</t>
        </r>
      </text>
    </comment>
    <comment ref="O14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запас на 1,5 месяца</t>
        </r>
      </text>
    </comment>
  </commentList>
</comments>
</file>

<file path=xl/sharedStrings.xml><?xml version="1.0" encoding="utf-8"?>
<sst xmlns="http://schemas.openxmlformats.org/spreadsheetml/2006/main" count="629" uniqueCount="401">
  <si>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</si>
  <si>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</si>
  <si>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</si>
  <si>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</si>
  <si>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</si>
  <si>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</si>
  <si>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</si>
  <si>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</si>
  <si>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</si>
  <si>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</si>
  <si>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</si>
  <si>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</si>
  <si>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</si>
  <si>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</si>
  <si>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</si>
  <si>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</si>
  <si>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</si>
  <si>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</si>
  <si>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</si>
  <si>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</si>
  <si>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</si>
  <si>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</si>
  <si>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</si>
  <si>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</si>
  <si>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</si>
  <si>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</si>
  <si>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</si>
  <si>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</si>
  <si>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</si>
  <si>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</si>
  <si>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</si>
  <si>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</si>
  <si>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</si>
  <si>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</si>
  <si>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</si>
  <si>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</si>
  <si>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</si>
  <si>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</si>
  <si>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</si>
  <si>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</si>
  <si>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</si>
  <si>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</si>
  <si>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</si>
  <si>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</si>
  <si>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</si>
  <si>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</si>
  <si>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</si>
  <si>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</si>
  <si>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</si>
  <si>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</si>
  <si>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</si>
  <si>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</si>
  <si>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</si>
  <si>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</si>
  <si>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</si>
  <si>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</si>
  <si>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</si>
  <si>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</si>
  <si>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</si>
  <si>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</si>
  <si>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</si>
  <si>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</si>
  <si>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</si>
  <si>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</si>
  <si>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</si>
  <si>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</si>
  <si>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</si>
  <si>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</si>
  <si>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</si>
  <si>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</si>
  <si>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</si>
  <si>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</si>
  <si>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</si>
  <si>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</si>
  <si>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</si>
  <si>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</si>
  <si>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</si>
  <si>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</si>
  <si>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</si>
  <si>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</si>
  <si>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</si>
  <si>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</si>
  <si>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</si>
  <si>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</si>
  <si>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</si>
  <si>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</si>
  <si>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</si>
  <si>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</si>
  <si>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</si>
  <si>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</si>
  <si>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</si>
  <si>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</si>
  <si>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</si>
  <si>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</si>
  <si>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</si>
  <si>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</si>
  <si>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</si>
  <si>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</si>
  <si>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</si>
  <si>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</si>
  <si>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Обслуживание и ремонт ОС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</si>
  <si>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</si>
  <si>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</si>
  <si>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</si>
  <si>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</si>
  <si>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</si>
  <si>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</si>
  <si>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</si>
  <si>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</si>
  <si>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</si>
  <si>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</si>
  <si>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</si>
  <si>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</si>
  <si>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</si>
  <si>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</si>
  <si>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</si>
  <si>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</si>
  <si>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</si>
  <si>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</si>
  <si>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</si>
  <si>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</si>
  <si>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</si>
  <si>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</si>
  <si>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</si>
  <si>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</si>
  <si>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</si>
  <si>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</si>
  <si>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</si>
  <si>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</si>
  <si>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</si>
  <si>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</si>
  <si>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</si>
  <si>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</si>
  <si>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</si>
  <si>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</si>
  <si>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</si>
  <si>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</si>
  <si>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</si>
  <si>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</si>
  <si>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</si>
  <si>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</si>
  <si>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</si>
  <si>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</si>
  <si>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</si>
  <si>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</si>
  <si>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</si>
  <si>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</si>
  <si>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</si>
  <si>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</si>
  <si>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</si>
  <si>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</si>
  <si>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</si>
  <si>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</si>
  <si>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</si>
  <si>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</si>
  <si>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</si>
  <si>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</si>
  <si>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</si>
  <si>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</si>
  <si>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</si>
  <si>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</si>
  <si>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</si>
  <si>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</si>
  <si>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</si>
  <si>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</si>
  <si>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</si>
  <si>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</si>
  <si>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</si>
  <si>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</si>
  <si>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</si>
  <si>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</si>
  <si>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</si>
  <si>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</si>
  <si>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</si>
  <si>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</si>
  <si>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</si>
  <si>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</si>
  <si>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</si>
  <si>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</si>
  <si>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</si>
  <si>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</si>
  <si>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</si>
  <si>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</si>
  <si>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</si>
  <si>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</si>
  <si>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</si>
  <si>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</si>
  <si>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</si>
  <si>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</si>
  <si>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</si>
  <si>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</si>
  <si>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</si>
  <si>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</si>
  <si>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ед.изм.</t>
  </si>
  <si>
    <t>Срок погашения, лет</t>
  </si>
  <si>
    <t>Переменные расходы</t>
  </si>
  <si>
    <t>Производительность</t>
  </si>
  <si>
    <t>Цены на продукцию</t>
  </si>
  <si>
    <t>Загрузка, %</t>
  </si>
  <si>
    <t>Мощность, %</t>
  </si>
  <si>
    <t>дн./мес.</t>
  </si>
  <si>
    <t>Доход до выплаты налогов</t>
  </si>
  <si>
    <t>Наименование материала</t>
  </si>
  <si>
    <t>Расходы, тыс.тг.</t>
  </si>
  <si>
    <t>Источник финансирования, тыс.тг.</t>
  </si>
  <si>
    <t>Примечание</t>
  </si>
  <si>
    <t>Доля собственного участия</t>
  </si>
  <si>
    <t>Время работы в мес.</t>
  </si>
  <si>
    <t>КПН</t>
  </si>
  <si>
    <t>Месячная производительность</t>
  </si>
  <si>
    <t>Цены</t>
  </si>
  <si>
    <t>Коммунальные расходы</t>
  </si>
  <si>
    <t>Корпоративный подоходный налог</t>
  </si>
  <si>
    <t>НК РК</t>
  </si>
  <si>
    <t>Ед.изм.</t>
  </si>
  <si>
    <t>с НДС</t>
  </si>
  <si>
    <t>Цена, тенге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</si>
  <si>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</si>
  <si>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</si>
  <si>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</si>
  <si>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</si>
  <si>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</si>
  <si>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</si>
  <si>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</si>
  <si>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</si>
  <si>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</si>
  <si>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</si>
  <si>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</si>
  <si>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</si>
  <si>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</si>
  <si>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исходя из дневной производительности и дней работы</t>
  </si>
  <si>
    <t>цена, тг.</t>
  </si>
  <si>
    <t>Реализация</t>
  </si>
  <si>
    <t>контроль</t>
  </si>
  <si>
    <t>Доля в выручке</t>
  </si>
  <si>
    <t>Итого себестоимость полная</t>
  </si>
  <si>
    <t>Постоянные расходы на единицу</t>
  </si>
  <si>
    <t>Постоянные расходы всего, тыс.тг.</t>
  </si>
  <si>
    <t>Контроль</t>
  </si>
  <si>
    <t>ГСМ</t>
  </si>
  <si>
    <t>кВт</t>
  </si>
  <si>
    <t>Фактор сезонности продаж</t>
  </si>
  <si>
    <t>Директор</t>
  </si>
  <si>
    <t>Главный бухгалтер</t>
  </si>
  <si>
    <t>Рентабельность, %</t>
  </si>
  <si>
    <t>Спецодежда, перчатки, хоз.товары</t>
  </si>
  <si>
    <t>Услуги банка</t>
  </si>
  <si>
    <t>Канц.товары</t>
  </si>
  <si>
    <t>Незавершенное строительство</t>
  </si>
  <si>
    <t>Аннуитет</t>
  </si>
  <si>
    <t>Погашение ОД равными долями</t>
  </si>
  <si>
    <t>аннуитет</t>
  </si>
  <si>
    <t>Финансовые показатели</t>
  </si>
  <si>
    <t>Проведение маркетингового исследования и разработка бизнес-плана</t>
  </si>
  <si>
    <t>Первоначальные инвестиции</t>
  </si>
  <si>
    <t>Постоянные расходы в год</t>
  </si>
  <si>
    <t>тг./кВт*ч с НДС</t>
  </si>
  <si>
    <t>Продолжительность 1 смены</t>
  </si>
  <si>
    <t>час</t>
  </si>
  <si>
    <t>Прибыль, тг./ед.</t>
  </si>
  <si>
    <t>Количество смен</t>
  </si>
  <si>
    <t>смен/сутки</t>
  </si>
  <si>
    <t>Электроэнергия</t>
  </si>
  <si>
    <t>ДТ за оборудование</t>
  </si>
  <si>
    <t>Ввод ОС (с НДС)</t>
  </si>
  <si>
    <t>СВОД</t>
  </si>
  <si>
    <t>Транш 1</t>
  </si>
  <si>
    <t>Транш 2</t>
  </si>
  <si>
    <t>Параметр</t>
  </si>
  <si>
    <t>Условия кредитования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</si>
  <si>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</si>
  <si>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</si>
  <si>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</si>
  <si>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</si>
  <si>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Показатели эффективности проекта</t>
  </si>
  <si>
    <t>Планируемая программа производства</t>
  </si>
  <si>
    <t>июл</t>
  </si>
  <si>
    <t>авг</t>
  </si>
  <si>
    <t>сен</t>
  </si>
  <si>
    <t>окт</t>
  </si>
  <si>
    <t>ноя</t>
  </si>
  <si>
    <t>дек</t>
  </si>
  <si>
    <t>янв</t>
  </si>
  <si>
    <t>% повышения</t>
  </si>
  <si>
    <t>ведение счета + снятие наличных</t>
  </si>
  <si>
    <t>буклеты, флаера</t>
  </si>
  <si>
    <t>Услуги охранной фирмы</t>
  </si>
  <si>
    <t>Доля от год продаж</t>
  </si>
  <si>
    <t>В среднем</t>
  </si>
  <si>
    <t>Себестоимость, тг./ед.</t>
  </si>
  <si>
    <t>производственная</t>
  </si>
  <si>
    <t>полная</t>
  </si>
  <si>
    <t>чистая</t>
  </si>
  <si>
    <t>Цена, тг.</t>
  </si>
  <si>
    <t>НБ РК</t>
  </si>
  <si>
    <t>Курс кит.юань/тенге</t>
  </si>
  <si>
    <t>Ввод ОС (без НДС)</t>
  </si>
  <si>
    <t>Нормы, нормативы</t>
  </si>
  <si>
    <t>Обслуживающий персонал</t>
  </si>
  <si>
    <t>Мощность оборудования</t>
  </si>
  <si>
    <t>Расход электроэнергии</t>
  </si>
  <si>
    <t>кВт*ч/мес</t>
  </si>
  <si>
    <t>7% субсидирование</t>
  </si>
  <si>
    <t>Остаток денежных средств на начало</t>
  </si>
  <si>
    <t>Собственные средства</t>
  </si>
  <si>
    <t>Инвестиции в основной капитал</t>
  </si>
  <si>
    <t>Чистый денежный поток (к изъятию), тыс.тг.</t>
  </si>
  <si>
    <t>Индекс окупаемости инвестиций (PI)</t>
  </si>
  <si>
    <t>2014 год</t>
  </si>
  <si>
    <t>Оплата за оборудование</t>
  </si>
  <si>
    <t>Начало производства</t>
  </si>
  <si>
    <t>Начало продаж</t>
  </si>
  <si>
    <t>Производственный персонал</t>
  </si>
  <si>
    <t>Остаток продукции</t>
  </si>
  <si>
    <t>кВт*ч</t>
  </si>
  <si>
    <t>Налог на транспорт, прочие налоги и сборы</t>
  </si>
  <si>
    <t>Приобретение техники</t>
  </si>
  <si>
    <t>Поиск и найм персонала</t>
  </si>
  <si>
    <t>Основные параметры проекта</t>
  </si>
  <si>
    <t>http://www.avtogaz.ru/evroplatforma/</t>
  </si>
  <si>
    <t>кг</t>
  </si>
  <si>
    <t>5-дневная рабочая неделя</t>
  </si>
  <si>
    <t>из расчета 20 л в день</t>
  </si>
  <si>
    <t>Менеджер по продажам</t>
  </si>
  <si>
    <t>Показатель (5 год реализации проекта)</t>
  </si>
  <si>
    <t>Доход от реализации</t>
  </si>
  <si>
    <t>Полная себестоимость</t>
  </si>
  <si>
    <t>Тип погашения основного долга</t>
  </si>
  <si>
    <t>Доход от реализации продукции</t>
  </si>
  <si>
    <t>Себестоимость реализ. продукции</t>
  </si>
  <si>
    <t>Транспорт</t>
  </si>
  <si>
    <t>Инженер-технолог</t>
  </si>
  <si>
    <t>Бригадир</t>
  </si>
  <si>
    <t>Слесарь</t>
  </si>
  <si>
    <t>Сварщик</t>
  </si>
  <si>
    <t>Столяр</t>
  </si>
  <si>
    <t>Слесарь-ремонтник</t>
  </si>
  <si>
    <t>Водитель а/м “Газель”</t>
  </si>
  <si>
    <t>Производство стаканов, фужеров, рюмок, бокалов, чашек и прочих бытовых изделий из стекла или хрусталя</t>
  </si>
  <si>
    <t>Комплект оборудования для изделий из стекла</t>
  </si>
  <si>
    <t>http://asia-business.ru/price/table/index.php?inside_admin=1&amp;inside_admin=1&amp;div1=1&amp;div2=47&amp;p=14977&amp;ref=yes#14977</t>
  </si>
  <si>
    <t>Производственный корпус</t>
  </si>
  <si>
    <t>http://asia-business.ru/torg/equipment/food/storage/storage_1672.html</t>
  </si>
  <si>
    <t>тн/час</t>
  </si>
  <si>
    <t>макс = 28,8 тн, принято 24 тн</t>
  </si>
  <si>
    <t>на 1 тн сырья</t>
  </si>
  <si>
    <t>тн/мес</t>
  </si>
  <si>
    <t>тг/шт</t>
  </si>
  <si>
    <t>Стекло (тара)</t>
  </si>
  <si>
    <t>тг/тн</t>
  </si>
  <si>
    <t>Расход стекла на 1 бокал</t>
  </si>
  <si>
    <t>Расход стекла на 1 чашку</t>
  </si>
  <si>
    <t>кг/1 шт</t>
  </si>
  <si>
    <t>http://pressmax.ru/klassifikator_othodov/Price_othodov/</t>
  </si>
  <si>
    <t>тн</t>
  </si>
  <si>
    <t>тыс.шт</t>
  </si>
  <si>
    <t>Переработка стекла</t>
  </si>
  <si>
    <t>Вилочный погрузчик</t>
  </si>
  <si>
    <t>ГАЗель (с тентом)</t>
  </si>
  <si>
    <t>емкость 300 ml</t>
  </si>
  <si>
    <t>емкость 200 ml</t>
  </si>
  <si>
    <t>Доля продаж</t>
  </si>
  <si>
    <t>Переработка</t>
  </si>
  <si>
    <t>Производство и реализация продукции</t>
  </si>
  <si>
    <t>Норма расхода на 1 шт</t>
  </si>
  <si>
    <t>Сумма на 1 шт, тг.</t>
  </si>
  <si>
    <t>Стекло</t>
  </si>
  <si>
    <t>Потери</t>
  </si>
  <si>
    <t>Тара (упаковка)</t>
  </si>
  <si>
    <t>кор</t>
  </si>
  <si>
    <t>Тара</t>
  </si>
  <si>
    <t>Закуп стекла</t>
  </si>
  <si>
    <t>Оператор</t>
  </si>
  <si>
    <t>Водитель вилочного погрузчика</t>
  </si>
  <si>
    <t>Главный инженер</t>
  </si>
  <si>
    <t>Экономист</t>
  </si>
  <si>
    <t>Юрист - менеджер по кадрам</t>
  </si>
  <si>
    <t>Зав.складом</t>
  </si>
  <si>
    <t>Приемщик стеклотары</t>
  </si>
  <si>
    <t>Уборщик</t>
  </si>
  <si>
    <t>теплоэнергия, водоснабжение</t>
  </si>
  <si>
    <t>тревожная кнопка + пост</t>
  </si>
  <si>
    <t>Электроэнергия (цеховые расходы)</t>
  </si>
  <si>
    <t>помимо производственных затрат</t>
  </si>
  <si>
    <t>Переработка стекла, тн</t>
  </si>
  <si>
    <t>фев</t>
  </si>
  <si>
    <t>мар</t>
  </si>
  <si>
    <t>апр</t>
  </si>
  <si>
    <t>июн</t>
  </si>
  <si>
    <t>2015 год</t>
  </si>
  <si>
    <t>Проектирование</t>
  </si>
  <si>
    <t>Поиск оборудования, проведение переговоров</t>
  </si>
  <si>
    <t>СМР</t>
  </si>
  <si>
    <t>Поставка и монтаж оборудования</t>
  </si>
  <si>
    <t>в т.ч. Стакан</t>
  </si>
  <si>
    <t xml:space="preserve">          Фужер</t>
  </si>
  <si>
    <t>Стакан</t>
  </si>
  <si>
    <t>Фужер</t>
  </si>
  <si>
    <t>Производство стаканов, тыс.шт.</t>
  </si>
  <si>
    <t>Производство фужеров, тыс.шт.</t>
  </si>
  <si>
    <t>шт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</si>
</sst>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name val="Calibri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23"/>
      <name val="Arial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sz val="8"/>
      <color theme="0" tint="-0.4999699890613556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" fillId="0" borderId="0">
      <alignment/>
      <protection/>
    </xf>
    <xf numFmtId="0" fontId="6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6" fillId="0" borderId="0" xfId="71" applyFont="1" applyFill="1" applyBorder="1" applyAlignment="1">
      <alignment/>
      <protection/>
    </xf>
    <xf numFmtId="0" fontId="5" fillId="0" borderId="0" xfId="71" applyFont="1" applyFill="1" applyBorder="1">
      <alignment/>
      <protection/>
    </xf>
    <xf numFmtId="0" fontId="5" fillId="0" borderId="0" xfId="7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8" fillId="0" borderId="0" xfId="71" applyFont="1" applyFill="1" applyBorder="1">
      <alignment/>
      <protection/>
    </xf>
    <xf numFmtId="14" fontId="5" fillId="0" borderId="0" xfId="71" applyNumberFormat="1" applyFont="1" applyFill="1" applyBorder="1">
      <alignment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wrapText="1"/>
      <protection/>
    </xf>
    <xf numFmtId="3" fontId="16" fillId="33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horizontal="left" wrapText="1"/>
      <protection/>
    </xf>
    <xf numFmtId="3" fontId="16" fillId="33" borderId="10" xfId="71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1" applyFont="1" applyFill="1" applyBorder="1" applyAlignment="1">
      <alignment vertical="center"/>
      <protection/>
    </xf>
    <xf numFmtId="0" fontId="16" fillId="34" borderId="12" xfId="7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horizontal="right" vertical="center"/>
      <protection/>
    </xf>
    <xf numFmtId="0" fontId="16" fillId="0" borderId="10" xfId="71" applyFont="1" applyFill="1" applyBorder="1" applyAlignment="1">
      <alignment vertical="center" wrapText="1"/>
      <protection/>
    </xf>
    <xf numFmtId="3" fontId="16" fillId="0" borderId="10" xfId="71" applyNumberFormat="1" applyFont="1" applyFill="1" applyBorder="1" applyAlignment="1">
      <alignment horizontal="right" wrapText="1"/>
      <protection/>
    </xf>
    <xf numFmtId="0" fontId="5" fillId="0" borderId="10" xfId="71" applyFont="1" applyFill="1" applyBorder="1" applyAlignment="1">
      <alignment vertical="center" wrapText="1"/>
      <protection/>
    </xf>
    <xf numFmtId="3" fontId="5" fillId="0" borderId="10" xfId="71" applyNumberFormat="1" applyFont="1" applyFill="1" applyBorder="1" applyAlignment="1">
      <alignment horizontal="right"/>
      <protection/>
    </xf>
    <xf numFmtId="0" fontId="16" fillId="0" borderId="10" xfId="71" applyFont="1" applyFill="1" applyBorder="1" applyAlignment="1">
      <alignment horizontal="left" vertical="center" wrapText="1" indent="1"/>
      <protection/>
    </xf>
    <xf numFmtId="3" fontId="16" fillId="0" borderId="10" xfId="71" applyNumberFormat="1" applyFont="1" applyFill="1" applyBorder="1" applyAlignment="1">
      <alignment vertical="center" wrapText="1"/>
      <protection/>
    </xf>
    <xf numFmtId="9" fontId="16" fillId="0" borderId="10" xfId="71" applyNumberFormat="1" applyFont="1" applyFill="1" applyBorder="1" applyAlignment="1">
      <alignment horizontal="right" wrapText="1"/>
      <protection/>
    </xf>
    <xf numFmtId="3" fontId="5" fillId="0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vertical="center" wrapText="1"/>
      <protection/>
    </xf>
    <xf numFmtId="3" fontId="16" fillId="34" borderId="10" xfId="71" applyNumberFormat="1" applyFont="1" applyFill="1" applyBorder="1" applyAlignment="1">
      <alignment horizontal="right" wrapText="1"/>
      <protection/>
    </xf>
    <xf numFmtId="3" fontId="16" fillId="0" borderId="10" xfId="71" applyNumberFormat="1" applyFont="1" applyFill="1" applyBorder="1" applyAlignment="1">
      <alignment horizontal="right"/>
      <protection/>
    </xf>
    <xf numFmtId="0" fontId="5" fillId="0" borderId="10" xfId="71" applyFont="1" applyFill="1" applyBorder="1" applyAlignment="1">
      <alignment wrapText="1"/>
      <protection/>
    </xf>
    <xf numFmtId="0" fontId="16" fillId="33" borderId="10" xfId="71" applyFont="1" applyFill="1" applyBorder="1" applyAlignment="1">
      <alignment wrapText="1"/>
      <protection/>
    </xf>
    <xf numFmtId="1" fontId="19" fillId="0" borderId="11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 applyAlignment="1">
      <alignment horizontal="right" wrapText="1"/>
      <protection/>
    </xf>
    <xf numFmtId="3" fontId="19" fillId="0" borderId="10" xfId="71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5" applyNumberFormat="1" applyFont="1" applyFill="1" applyBorder="1" applyAlignment="1">
      <alignment vertical="center" wrapText="1"/>
      <protection/>
    </xf>
    <xf numFmtId="172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>
      <alignment/>
      <protection/>
    </xf>
    <xf numFmtId="0" fontId="16" fillId="0" borderId="10" xfId="71" applyFont="1" applyFill="1" applyBorder="1" applyAlignment="1">
      <alignment vertical="center"/>
      <protection/>
    </xf>
    <xf numFmtId="3" fontId="16" fillId="35" borderId="10" xfId="71" applyNumberFormat="1" applyFont="1" applyFill="1" applyBorder="1" applyAlignment="1">
      <alignment horizontal="right" wrapText="1"/>
      <protection/>
    </xf>
    <xf numFmtId="172" fontId="16" fillId="0" borderId="10" xfId="71" applyNumberFormat="1" applyFont="1" applyFill="1" applyBorder="1" applyAlignment="1">
      <alignment horizontal="right" vertical="center"/>
      <protection/>
    </xf>
    <xf numFmtId="172" fontId="16" fillId="0" borderId="10" xfId="7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3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3" fontId="5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 shrinkToFit="1"/>
      <protection/>
    </xf>
    <xf numFmtId="172" fontId="16" fillId="0" borderId="10" xfId="71" applyNumberFormat="1" applyFont="1" applyFill="1" applyBorder="1" applyAlignment="1">
      <alignment horizontal="center" vertical="top"/>
      <protection/>
    </xf>
    <xf numFmtId="172" fontId="16" fillId="0" borderId="14" xfId="71" applyNumberFormat="1" applyFont="1" applyFill="1" applyBorder="1" applyAlignment="1">
      <alignment horizontal="center" vertical="top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21" fillId="0" borderId="0" xfId="71" applyFont="1" applyFill="1" applyBorder="1" applyAlignment="1">
      <alignment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1" applyFont="1" applyFill="1" applyBorder="1" applyAlignment="1">
      <alignment horizontal="right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5" fillId="0" borderId="10" xfId="68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172" fontId="16" fillId="0" borderId="0" xfId="72" applyNumberFormat="1" applyFont="1" applyFill="1" applyBorder="1" applyAlignment="1" applyProtection="1">
      <alignment wrapText="1" shrinkToFit="1"/>
      <protection locked="0"/>
    </xf>
    <xf numFmtId="0" fontId="16" fillId="0" borderId="0" xfId="72" applyFont="1" applyFill="1" applyBorder="1" applyAlignment="1">
      <alignment wrapText="1" shrinkToFit="1"/>
      <protection/>
    </xf>
    <xf numFmtId="0" fontId="5" fillId="0" borderId="11" xfId="72" applyFont="1" applyFill="1" applyBorder="1" applyAlignment="1">
      <alignment horizontal="left" vertical="top" wrapText="1" indent="1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17" fillId="0" borderId="15" xfId="72" applyFont="1" applyFill="1" applyBorder="1" applyAlignment="1">
      <alignment wrapText="1" shrinkToFit="1"/>
      <protection/>
    </xf>
    <xf numFmtId="0" fontId="5" fillId="0" borderId="15" xfId="72" applyFont="1" applyFill="1" applyBorder="1" applyAlignment="1">
      <alignment wrapText="1" shrinkToFit="1"/>
      <protection/>
    </xf>
    <xf numFmtId="4" fontId="5" fillId="0" borderId="15" xfId="72" applyNumberFormat="1" applyFont="1" applyFill="1" applyBorder="1" applyAlignment="1">
      <alignment wrapText="1" shrinkToFit="1"/>
      <protection/>
    </xf>
    <xf numFmtId="3" fontId="5" fillId="0" borderId="15" xfId="72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7" applyNumberFormat="1" applyFont="1" applyFill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7" applyFont="1" applyFill="1" applyBorder="1" applyAlignment="1">
      <alignment/>
    </xf>
    <xf numFmtId="194" fontId="5" fillId="0" borderId="10" xfId="83" applyNumberFormat="1" applyFont="1" applyBorder="1" applyAlignment="1">
      <alignment/>
    </xf>
    <xf numFmtId="9" fontId="5" fillId="33" borderId="10" xfId="77" applyFont="1" applyFill="1" applyBorder="1" applyAlignment="1">
      <alignment/>
    </xf>
    <xf numFmtId="0" fontId="5" fillId="0" borderId="0" xfId="66" applyFont="1" applyFill="1" applyProtection="1">
      <alignment/>
      <protection locked="0"/>
    </xf>
    <xf numFmtId="0" fontId="16" fillId="0" borderId="0" xfId="66" applyFont="1" applyFill="1" applyProtection="1">
      <alignment/>
      <protection locked="0"/>
    </xf>
    <xf numFmtId="9" fontId="17" fillId="0" borderId="0" xfId="66" applyNumberFormat="1" applyFont="1" applyFill="1" applyProtection="1">
      <alignment/>
      <protection locked="0"/>
    </xf>
    <xf numFmtId="172" fontId="5" fillId="0" borderId="0" xfId="66" applyNumberFormat="1" applyFont="1" applyFill="1" applyProtection="1">
      <alignment/>
      <protection locked="0"/>
    </xf>
    <xf numFmtId="172" fontId="17" fillId="0" borderId="0" xfId="66" applyNumberFormat="1" applyFont="1" applyFill="1" applyProtection="1">
      <alignment/>
      <protection locked="0"/>
    </xf>
    <xf numFmtId="9" fontId="16" fillId="0" borderId="0" xfId="66" applyNumberFormat="1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6" fillId="0" borderId="10" xfId="66" applyFont="1" applyFill="1" applyBorder="1" applyProtection="1">
      <alignment/>
      <protection locked="0"/>
    </xf>
    <xf numFmtId="3" fontId="5" fillId="0" borderId="10" xfId="66" applyNumberFormat="1" applyFont="1" applyFill="1" applyBorder="1" applyAlignment="1" applyProtection="1">
      <alignment horizontal="center"/>
      <protection locked="0"/>
    </xf>
    <xf numFmtId="0" fontId="5" fillId="0" borderId="10" xfId="66" applyFont="1" applyFill="1" applyBorder="1" applyAlignment="1" applyProtection="1">
      <alignment vertical="top"/>
      <protection locked="0"/>
    </xf>
    <xf numFmtId="173" fontId="17" fillId="0" borderId="0" xfId="66" applyNumberFormat="1" applyFont="1" applyFill="1" applyProtection="1">
      <alignment/>
      <protection locked="0"/>
    </xf>
    <xf numFmtId="0" fontId="5" fillId="0" borderId="10" xfId="70" applyFont="1" applyFill="1" applyBorder="1" applyAlignment="1">
      <alignment horizontal="left" vertical="center" wrapText="1"/>
      <protection/>
    </xf>
    <xf numFmtId="0" fontId="16" fillId="0" borderId="10" xfId="7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16" fillId="0" borderId="10" xfId="72" applyFont="1" applyFill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center"/>
      <protection locked="0"/>
    </xf>
    <xf numFmtId="172" fontId="5" fillId="0" borderId="10" xfId="70" applyNumberFormat="1" applyFont="1" applyFill="1" applyBorder="1" applyAlignment="1">
      <alignment horizontal="right" vertical="center"/>
      <protection/>
    </xf>
    <xf numFmtId="172" fontId="5" fillId="0" borderId="10" xfId="66" applyNumberFormat="1" applyFont="1" applyFill="1" applyBorder="1" applyAlignment="1" applyProtection="1">
      <alignment/>
      <protection locked="0"/>
    </xf>
    <xf numFmtId="172" fontId="16" fillId="0" borderId="10" xfId="66" applyNumberFormat="1" applyFont="1" applyFill="1" applyBorder="1" applyAlignment="1" applyProtection="1">
      <alignment/>
      <protection locked="0"/>
    </xf>
    <xf numFmtId="0" fontId="5" fillId="0" borderId="0" xfId="66" applyFont="1" applyFill="1" applyAlignment="1" applyProtection="1">
      <alignment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5" fillId="36" borderId="10" xfId="70" applyFont="1" applyFill="1" applyBorder="1" applyAlignment="1">
      <alignment horizontal="left" vertical="center" wrapText="1" indent="2"/>
      <protection/>
    </xf>
    <xf numFmtId="172" fontId="5" fillId="39" borderId="10" xfId="66" applyNumberFormat="1" applyFont="1" applyFill="1" applyBorder="1" applyAlignment="1" applyProtection="1">
      <alignment/>
      <protection locked="0"/>
    </xf>
    <xf numFmtId="172" fontId="5" fillId="0" borderId="0" xfId="66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1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7" applyFont="1" applyBorder="1" applyAlignment="1">
      <alignment vertical="center"/>
      <protection/>
    </xf>
    <xf numFmtId="3" fontId="5" fillId="0" borderId="10" xfId="67" applyNumberFormat="1" applyFont="1" applyFill="1" applyBorder="1" applyAlignment="1">
      <alignment horizontal="right" vertical="center"/>
      <protection/>
    </xf>
    <xf numFmtId="0" fontId="16" fillId="0" borderId="10" xfId="67" applyFont="1" applyBorder="1" applyAlignment="1">
      <alignment vertical="center"/>
      <protection/>
    </xf>
    <xf numFmtId="3" fontId="16" fillId="0" borderId="10" xfId="67" applyNumberFormat="1" applyFont="1" applyFill="1" applyBorder="1" applyAlignment="1">
      <alignment horizontal="right" vertical="center"/>
      <protection/>
    </xf>
    <xf numFmtId="0" fontId="16" fillId="2" borderId="11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0" borderId="10" xfId="67" applyNumberFormat="1" applyFont="1" applyFill="1" applyBorder="1" applyAlignment="1">
      <alignment horizontal="right" vertical="center"/>
      <protection/>
    </xf>
    <xf numFmtId="9" fontId="16" fillId="0" borderId="10" xfId="67" applyNumberFormat="1" applyFont="1" applyFill="1" applyBorder="1" applyAlignment="1">
      <alignment horizontal="right" vertical="center"/>
      <protection/>
    </xf>
    <xf numFmtId="177" fontId="5" fillId="0" borderId="10" xfId="67" applyNumberFormat="1" applyFont="1" applyFill="1" applyBorder="1" applyAlignment="1">
      <alignment horizontal="right" vertical="center"/>
      <protection/>
    </xf>
    <xf numFmtId="0" fontId="1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9" fontId="5" fillId="2" borderId="10" xfId="6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6" fillId="0" borderId="0" xfId="72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horizontal="center"/>
    </xf>
    <xf numFmtId="0" fontId="16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/>
      <protection/>
    </xf>
    <xf numFmtId="0" fontId="5" fillId="0" borderId="11" xfId="72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2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9" fontId="5" fillId="0" borderId="14" xfId="72" applyNumberFormat="1" applyFont="1" applyFill="1" applyBorder="1" applyAlignment="1">
      <alignment horizontal="center" vertical="center"/>
      <protection/>
    </xf>
    <xf numFmtId="9" fontId="5" fillId="35" borderId="14" xfId="72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177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11" xfId="72" applyFont="1" applyFill="1" applyBorder="1" applyAlignment="1">
      <alignment horizontal="left" vertical="top"/>
      <protection/>
    </xf>
    <xf numFmtId="0" fontId="16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vertical="center"/>
    </xf>
    <xf numFmtId="3" fontId="5" fillId="0" borderId="15" xfId="72" applyNumberFormat="1" applyFont="1" applyFill="1" applyBorder="1" applyAlignment="1">
      <alignment/>
      <protection/>
    </xf>
    <xf numFmtId="0" fontId="25" fillId="0" borderId="0" xfId="72" applyFont="1" applyFill="1" applyBorder="1" applyAlignment="1">
      <alignment horizontal="right"/>
      <protection/>
    </xf>
    <xf numFmtId="17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4" fillId="0" borderId="0" xfId="66" applyFont="1" applyFill="1" applyProtection="1">
      <alignment/>
      <protection locked="0"/>
    </xf>
    <xf numFmtId="172" fontId="69" fillId="0" borderId="0" xfId="66" applyNumberFormat="1" applyFont="1" applyFill="1" applyAlignment="1" applyProtection="1">
      <alignment horizontal="center"/>
      <protection locked="0"/>
    </xf>
    <xf numFmtId="0" fontId="16" fillId="2" borderId="10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right" vertical="center"/>
      <protection/>
    </xf>
    <xf numFmtId="172" fontId="70" fillId="0" borderId="0" xfId="71" applyNumberFormat="1" applyFont="1" applyFill="1" applyBorder="1" applyAlignment="1">
      <alignment horizontal="center" wrapText="1" shrinkToFit="1"/>
      <protection/>
    </xf>
    <xf numFmtId="0" fontId="25" fillId="0" borderId="0" xfId="0" applyFont="1" applyAlignment="1">
      <alignment horizontal="right"/>
    </xf>
    <xf numFmtId="1" fontId="16" fillId="0" borderId="10" xfId="0" applyNumberFormat="1" applyFont="1" applyBorder="1" applyAlignment="1">
      <alignment/>
    </xf>
    <xf numFmtId="173" fontId="5" fillId="0" borderId="10" xfId="67" applyNumberFormat="1" applyFont="1" applyFill="1" applyBorder="1" applyAlignment="1">
      <alignment horizontal="right" vertical="center"/>
      <protection/>
    </xf>
    <xf numFmtId="0" fontId="5" fillId="0" borderId="17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center"/>
    </xf>
    <xf numFmtId="172" fontId="5" fillId="0" borderId="0" xfId="66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0" xfId="66" applyNumberFormat="1" applyFont="1" applyFill="1" applyProtection="1">
      <alignment/>
      <protection locked="0"/>
    </xf>
    <xf numFmtId="0" fontId="5" fillId="0" borderId="0" xfId="66" applyFont="1" applyFill="1" applyBorder="1" applyProtection="1">
      <alignment/>
      <protection locked="0"/>
    </xf>
    <xf numFmtId="173" fontId="17" fillId="0" borderId="10" xfId="66" applyNumberFormat="1" applyFont="1" applyFill="1" applyBorder="1" applyProtection="1">
      <alignment/>
      <protection locked="0"/>
    </xf>
    <xf numFmtId="0" fontId="17" fillId="0" borderId="10" xfId="66" applyFont="1" applyFill="1" applyBorder="1" applyProtection="1">
      <alignment/>
      <protection locked="0"/>
    </xf>
    <xf numFmtId="172" fontId="17" fillId="0" borderId="10" xfId="66" applyNumberFormat="1" applyFont="1" applyFill="1" applyBorder="1" applyAlignment="1" applyProtection="1">
      <alignment/>
      <protection locked="0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1" fillId="0" borderId="0" xfId="53" applyAlignment="1" applyProtection="1">
      <alignment/>
      <protection/>
    </xf>
    <xf numFmtId="0" fontId="5" fillId="0" borderId="11" xfId="71" applyFont="1" applyFill="1" applyBorder="1" applyAlignment="1">
      <alignment horizontal="left" vertical="top" wrapText="1" indent="2" shrinkToFit="1"/>
      <protection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6" fillId="0" borderId="0" xfId="66" applyFont="1" applyFill="1" applyBorder="1" applyProtection="1">
      <alignment/>
      <protection locked="0"/>
    </xf>
    <xf numFmtId="3" fontId="5" fillId="0" borderId="0" xfId="66" applyNumberFormat="1" applyFont="1" applyFill="1" applyBorder="1" applyAlignment="1" applyProtection="1">
      <alignment horizontal="center"/>
      <protection locked="0"/>
    </xf>
    <xf numFmtId="0" fontId="16" fillId="0" borderId="0" xfId="67" applyFont="1" applyBorder="1" applyAlignment="1">
      <alignment horizontal="left" vertical="center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187" fontId="25" fillId="0" borderId="0" xfId="0" applyNumberFormat="1" applyFont="1" applyAlignment="1">
      <alignment/>
    </xf>
    <xf numFmtId="3" fontId="5" fillId="0" borderId="0" xfId="72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3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3" fontId="16" fillId="0" borderId="10" xfId="72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73" fontId="17" fillId="35" borderId="10" xfId="0" applyNumberFormat="1" applyFont="1" applyFill="1" applyBorder="1" applyAlignment="1">
      <alignment horizontal="center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/>
    </xf>
    <xf numFmtId="172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3" fontId="16" fillId="2" borderId="10" xfId="68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4" fontId="5" fillId="35" borderId="10" xfId="0" applyNumberFormat="1" applyFont="1" applyFill="1" applyBorder="1" applyAlignment="1">
      <alignment/>
    </xf>
    <xf numFmtId="0" fontId="71" fillId="0" borderId="0" xfId="0" applyFont="1" applyAlignment="1">
      <alignment/>
    </xf>
    <xf numFmtId="9" fontId="71" fillId="35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9" fontId="17" fillId="33" borderId="10" xfId="0" applyNumberFormat="1" applyFont="1" applyFill="1" applyBorder="1" applyAlignment="1">
      <alignment/>
    </xf>
    <xf numFmtId="9" fontId="17" fillId="0" borderId="10" xfId="0" applyNumberFormat="1" applyFont="1" applyFill="1" applyBorder="1" applyAlignment="1">
      <alignment/>
    </xf>
    <xf numFmtId="0" fontId="24" fillId="0" borderId="0" xfId="72" applyFont="1" applyFill="1" applyBorder="1" applyAlignment="1">
      <alignment/>
      <protection/>
    </xf>
    <xf numFmtId="0" fontId="24" fillId="0" borderId="0" xfId="72" applyFont="1" applyFill="1" applyBorder="1" applyAlignment="1">
      <alignment horizontal="center" vertical="center" wrapText="1"/>
      <protection/>
    </xf>
    <xf numFmtId="0" fontId="50" fillId="0" borderId="0" xfId="72" applyFont="1" applyFill="1" applyBorder="1" applyAlignment="1">
      <alignment/>
      <protection/>
    </xf>
    <xf numFmtId="9" fontId="24" fillId="35" borderId="0" xfId="72" applyNumberFormat="1" applyFont="1" applyFill="1" applyBorder="1" applyAlignment="1">
      <alignment/>
      <protection/>
    </xf>
    <xf numFmtId="9" fontId="24" fillId="0" borderId="0" xfId="72" applyNumberFormat="1" applyFont="1" applyFill="1" applyBorder="1" applyAlignment="1">
      <alignment/>
      <protection/>
    </xf>
    <xf numFmtId="0" fontId="5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 horizontal="center" vertical="center" wrapText="1"/>
      <protection/>
    </xf>
    <xf numFmtId="9" fontId="5" fillId="35" borderId="10" xfId="0" applyNumberFormat="1" applyFont="1" applyFill="1" applyBorder="1" applyAlignment="1">
      <alignment/>
    </xf>
    <xf numFmtId="177" fontId="17" fillId="3" borderId="10" xfId="0" applyNumberFormat="1" applyFont="1" applyFill="1" applyBorder="1" applyAlignment="1">
      <alignment/>
    </xf>
    <xf numFmtId="0" fontId="16" fillId="0" borderId="13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172" fontId="16" fillId="34" borderId="11" xfId="71" applyNumberFormat="1" applyFont="1" applyFill="1" applyBorder="1" applyAlignment="1">
      <alignment horizontal="center" vertical="center" wrapText="1" shrinkToFit="1"/>
      <protection/>
    </xf>
    <xf numFmtId="172" fontId="16" fillId="34" borderId="16" xfId="71" applyNumberFormat="1" applyFont="1" applyFill="1" applyBorder="1" applyAlignment="1">
      <alignment horizontal="center" vertical="center" wrapText="1" shrinkToFit="1"/>
      <protection/>
    </xf>
    <xf numFmtId="172" fontId="16" fillId="34" borderId="12" xfId="71" applyNumberFormat="1" applyFont="1" applyFill="1" applyBorder="1" applyAlignment="1">
      <alignment horizontal="center" vertical="center" wrapText="1" shrinkToFit="1"/>
      <protection/>
    </xf>
    <xf numFmtId="172" fontId="16" fillId="34" borderId="11" xfId="71" applyNumberFormat="1" applyFont="1" applyFill="1" applyBorder="1" applyAlignment="1">
      <alignment horizontal="center" vertical="center"/>
      <protection/>
    </xf>
    <xf numFmtId="172" fontId="16" fillId="34" borderId="16" xfId="71" applyNumberFormat="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2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9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172" fontId="16" fillId="34" borderId="11" xfId="72" applyNumberFormat="1" applyFont="1" applyFill="1" applyBorder="1" applyAlignment="1">
      <alignment horizontal="center" vertical="center"/>
      <protection/>
    </xf>
    <xf numFmtId="172" fontId="16" fillId="34" borderId="16" xfId="72" applyNumberFormat="1" applyFont="1" applyFill="1" applyBorder="1" applyAlignment="1">
      <alignment horizontal="center" vertical="center"/>
      <protection/>
    </xf>
    <xf numFmtId="172" fontId="16" fillId="34" borderId="12" xfId="7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34" borderId="18" xfId="72" applyFont="1" applyFill="1" applyBorder="1" applyAlignment="1">
      <alignment horizontal="center" vertical="center"/>
      <protection/>
    </xf>
    <xf numFmtId="0" fontId="16" fillId="34" borderId="19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 wrapText="1"/>
      <protection/>
    </xf>
    <xf numFmtId="0" fontId="16" fillId="34" borderId="14" xfId="72" applyFont="1" applyFill="1" applyBorder="1" applyAlignment="1">
      <alignment horizontal="center" vertical="center" wrapText="1"/>
      <protection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0" borderId="10" xfId="7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8" applyFont="1" applyFill="1" applyBorder="1" applyAlignment="1">
      <alignment horizontal="left" vertical="center"/>
      <protection/>
    </xf>
    <xf numFmtId="0" fontId="16" fillId="2" borderId="14" xfId="68" applyFont="1" applyFill="1" applyBorder="1" applyAlignment="1">
      <alignment horizontal="left" vertical="center"/>
      <protection/>
    </xf>
    <xf numFmtId="3" fontId="16" fillId="2" borderId="11" xfId="68" applyNumberFormat="1" applyFont="1" applyFill="1" applyBorder="1" applyAlignment="1">
      <alignment horizontal="center" vertical="center"/>
      <protection/>
    </xf>
    <xf numFmtId="3" fontId="16" fillId="2" borderId="16" xfId="68" applyNumberFormat="1" applyFont="1" applyFill="1" applyBorder="1" applyAlignment="1">
      <alignment horizontal="center" vertical="center"/>
      <protection/>
    </xf>
    <xf numFmtId="3" fontId="16" fillId="2" borderId="12" xfId="68" applyNumberFormat="1" applyFont="1" applyFill="1" applyBorder="1" applyAlignment="1">
      <alignment horizontal="center" vertical="center"/>
      <protection/>
    </xf>
  </cellXfs>
  <cellStyles count="77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Алтын-ОрдаНовыйБП" xfId="65"/>
    <cellStyle name="Обычный_Алтын-ОрдаНовыйБП 2" xfId="66"/>
    <cellStyle name="Обычный_БП кир завод 3.3  (40 млн. +20 забут реал на 18.07.06 для АФ увел курс)" xfId="67"/>
    <cellStyle name="Обычный_Копия cityrus4-18 лет СМР 52 млн $" xfId="68"/>
    <cellStyle name="Обычный_НовыйМир" xfId="69"/>
    <cellStyle name="Обычный_ПереченьКЗ" xfId="70"/>
    <cellStyle name="Обычный_Формы отчетов" xfId="71"/>
    <cellStyle name="Обычный_Формы отчетов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ысячи [0]" xfId="82"/>
    <cellStyle name="Comma" xfId="83"/>
    <cellStyle name="Comma [0]" xfId="84"/>
    <cellStyle name="Хороший" xfId="85"/>
    <cellStyle name="桁区切り [0.00]_PERSONAL" xfId="86"/>
    <cellStyle name="桁区切り_PERSONAL" xfId="87"/>
    <cellStyle name="標準_PERSONAL" xfId="88"/>
    <cellStyle name="通貨 [0.00]_PERSONAL" xfId="89"/>
    <cellStyle name="通貨_PERSON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sia-business.ru/price/table/index.php?inside_admin=1&amp;inside_admin=1&amp;div1=1&amp;div2=47&amp;p=14977&amp;ref=yes#14977" TargetMode="External" /><Relationship Id="rId2" Type="http://schemas.openxmlformats.org/officeDocument/2006/relationships/hyperlink" Target="http://asia-business.ru/torg/equipment/food/storage/storage_1672.html" TargetMode="External" /><Relationship Id="rId3" Type="http://schemas.openxmlformats.org/officeDocument/2006/relationships/hyperlink" Target="http://www.avtogaz.ru/evroplatforma/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essmax.ru/klassifikator_othodov/Price_othodov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44"/>
  <sheetViews>
    <sheetView showGridLines="0" showZeros="0" zoomScalePageLayoutView="0" workbookViewId="0" topLeftCell="A1">
      <pane xSplit="3" ySplit="6" topLeftCell="P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3" sqref="B53"/>
    </sheetView>
  </sheetViews>
  <sheetFormatPr defaultColWidth="8.625" defaultRowHeight="12.75" outlineLevelRow="1" outlineLevelCol="1"/>
  <cols>
    <col min="1" max="1" width="38.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8.125" style="56" hidden="1" customWidth="1" outlineLevel="1"/>
    <col min="8" max="11" width="8.125" style="6" hidden="1" customWidth="1" outlineLevel="1"/>
    <col min="12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9.75390625" style="7" bestFit="1" customWidth="1" collapsed="1"/>
    <col min="17" max="20" width="7.625" style="6" hidden="1" customWidth="1" outlineLevel="1"/>
    <col min="21" max="28" width="8.00390625" style="6" hidden="1" customWidth="1" outlineLevel="1"/>
    <col min="29" max="29" width="10.00390625" style="7" customWidth="1" collapsed="1"/>
    <col min="30" max="30" width="7.875" style="6" hidden="1" customWidth="1" outlineLevel="1"/>
    <col min="31" max="39" width="8.125" style="6" hidden="1" customWidth="1" outlineLevel="1"/>
    <col min="40" max="40" width="8.375" style="6" hidden="1" customWidth="1" outlineLevel="1"/>
    <col min="41" max="41" width="8.125" style="6" hidden="1" customWidth="1" outlineLevel="1"/>
    <col min="42" max="42" width="9.125" style="7" bestFit="1" customWidth="1" collapsed="1"/>
    <col min="43" max="44" width="9.375" style="7" customWidth="1"/>
    <col min="45" max="47" width="9.375" style="8" customWidth="1"/>
    <col min="48" max="52" width="9.75390625" style="8" bestFit="1" customWidth="1"/>
    <col min="53" max="55" width="9.125" style="8" bestFit="1" customWidth="1"/>
    <col min="56" max="16384" width="8.625" style="8" customWidth="1"/>
  </cols>
  <sheetData>
    <row r="1" spans="1:40" ht="12.75">
      <c r="A1" s="61" t="s">
        <v>161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</row>
    <row r="2" spans="1:40" ht="12.75" hidden="1" outlineLevel="1">
      <c r="A2" s="9">
        <f>MAX(K37:AR37)</f>
        <v>1771031.463746012</v>
      </c>
      <c r="B2" s="10">
        <f>MIN(L37:AU37)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</row>
    <row r="3" spans="1:40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</row>
    <row r="4" spans="1:40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</row>
    <row r="5" spans="1:47" ht="15.75" customHeight="1">
      <c r="A5" s="329" t="s">
        <v>3</v>
      </c>
      <c r="B5" s="331" t="s">
        <v>89</v>
      </c>
      <c r="C5" s="15"/>
      <c r="D5" s="331">
        <v>2014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>
        <v>2015</v>
      </c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2">
        <v>2016</v>
      </c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4"/>
      <c r="AQ5" s="15">
        <f>AD5+1</f>
        <v>2017</v>
      </c>
      <c r="AR5" s="15">
        <f>AQ5+1</f>
        <v>2018</v>
      </c>
      <c r="AS5" s="15">
        <f>AR5+1</f>
        <v>2019</v>
      </c>
      <c r="AT5" s="15">
        <f>AS5+1</f>
        <v>2020</v>
      </c>
      <c r="AU5" s="15">
        <f>AT5+1</f>
        <v>2021</v>
      </c>
    </row>
    <row r="6" spans="1:47" ht="12.75">
      <c r="A6" s="330"/>
      <c r="B6" s="331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0</v>
      </c>
      <c r="AQ6" s="15" t="s">
        <v>111</v>
      </c>
      <c r="AR6" s="15" t="s">
        <v>111</v>
      </c>
      <c r="AS6" s="15" t="s">
        <v>111</v>
      </c>
      <c r="AT6" s="15" t="s">
        <v>111</v>
      </c>
      <c r="AU6" s="15" t="s">
        <v>111</v>
      </c>
    </row>
    <row r="7" spans="1:47" s="21" customFormat="1" ht="12.75">
      <c r="A7" s="17" t="s">
        <v>303</v>
      </c>
      <c r="B7" s="18">
        <f>P7</f>
        <v>0</v>
      </c>
      <c r="C7" s="19"/>
      <c r="D7" s="20">
        <f>C37</f>
        <v>0</v>
      </c>
      <c r="E7" s="20">
        <f aca="true" t="shared" si="3" ref="E7:K7">D37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K37</f>
        <v>0</v>
      </c>
      <c r="M7" s="20">
        <f>L37</f>
        <v>0</v>
      </c>
      <c r="N7" s="20">
        <f>M37</f>
        <v>0</v>
      </c>
      <c r="O7" s="20">
        <f>N37</f>
        <v>0</v>
      </c>
      <c r="P7" s="20">
        <f>D7</f>
        <v>0</v>
      </c>
      <c r="Q7" s="20">
        <f>P37</f>
        <v>50000</v>
      </c>
      <c r="R7" s="20">
        <f aca="true" t="shared" si="4" ref="R7:AA7">Q37</f>
        <v>28088.249745884008</v>
      </c>
      <c r="S7" s="20">
        <f t="shared" si="4"/>
        <v>12930.785206053726</v>
      </c>
      <c r="T7" s="20">
        <f t="shared" si="4"/>
        <v>4527.606380509158</v>
      </c>
      <c r="U7" s="20">
        <f t="shared" si="4"/>
        <v>6099.585269250307</v>
      </c>
      <c r="V7" s="20">
        <f t="shared" si="4"/>
        <v>15270.13558656289</v>
      </c>
      <c r="W7" s="20">
        <f t="shared" si="4"/>
        <v>23191.92681558504</v>
      </c>
      <c r="X7" s="20">
        <f t="shared" si="4"/>
        <v>35660.62355679803</v>
      </c>
      <c r="Y7" s="20">
        <f t="shared" si="4"/>
        <v>48112.10255599684</v>
      </c>
      <c r="Z7" s="20">
        <f t="shared" si="4"/>
        <v>68703.2094375775</v>
      </c>
      <c r="AA7" s="20">
        <f t="shared" si="4"/>
        <v>97246.37103597302</v>
      </c>
      <c r="AB7" s="20">
        <f>AA37</f>
        <v>135412.03898407222</v>
      </c>
      <c r="AC7" s="20">
        <f>Q7</f>
        <v>50000</v>
      </c>
      <c r="AD7" s="20">
        <f aca="true" t="shared" si="5" ref="AD7:AO7">AC37</f>
        <v>173560.08391386407</v>
      </c>
      <c r="AE7" s="20">
        <f t="shared" si="5"/>
        <v>216254.1891013268</v>
      </c>
      <c r="AF7" s="20">
        <f t="shared" si="5"/>
        <v>258930.46506892977</v>
      </c>
      <c r="AG7" s="20">
        <f t="shared" si="5"/>
        <v>301588.8078128905</v>
      </c>
      <c r="AH7" s="20">
        <f t="shared" si="5"/>
        <v>344229.1127227377</v>
      </c>
      <c r="AI7" s="20">
        <f t="shared" si="5"/>
        <v>386851.2745777724</v>
      </c>
      <c r="AJ7" s="20">
        <f t="shared" si="5"/>
        <v>429455.1875435082</v>
      </c>
      <c r="AK7" s="20">
        <f t="shared" si="5"/>
        <v>476767.02267829486</v>
      </c>
      <c r="AL7" s="20">
        <f t="shared" si="5"/>
        <v>524060.39539910504</v>
      </c>
      <c r="AM7" s="20">
        <f t="shared" si="5"/>
        <v>571335.1980085237</v>
      </c>
      <c r="AN7" s="20">
        <f t="shared" si="5"/>
        <v>623317.5996911053</v>
      </c>
      <c r="AO7" s="20">
        <f t="shared" si="5"/>
        <v>675281.2139790963</v>
      </c>
      <c r="AP7" s="20">
        <f>AD7</f>
        <v>173560.08391386407</v>
      </c>
      <c r="AQ7" s="20">
        <f>AP37</f>
        <v>719609.6129895656</v>
      </c>
      <c r="AR7" s="20">
        <f>AQ37</f>
        <v>1223174.8656890711</v>
      </c>
      <c r="AS7" s="20">
        <f>AR37</f>
        <v>1771031.463746012</v>
      </c>
      <c r="AT7" s="20">
        <f>AS37</f>
        <v>2362838.5710872756</v>
      </c>
      <c r="AU7" s="20">
        <f>AT37</f>
        <v>2998233.5787721667</v>
      </c>
    </row>
    <row r="8" spans="1:47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1" customFormat="1" ht="12.75">
      <c r="A9" s="26" t="s">
        <v>18</v>
      </c>
      <c r="B9" s="27">
        <f>SUM(B10:B11)</f>
        <v>11439227.142857142</v>
      </c>
      <c r="C9" s="27"/>
      <c r="D9" s="27">
        <f aca="true" t="shared" si="6" ref="D9:AU9">SUM(D10:D11)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27017.14285714286</v>
      </c>
      <c r="R9" s="27">
        <f t="shared" si="6"/>
        <v>33771.42857142857</v>
      </c>
      <c r="S9" s="27">
        <f t="shared" si="6"/>
        <v>40525.71428571429</v>
      </c>
      <c r="T9" s="27">
        <f t="shared" si="6"/>
        <v>53190</v>
      </c>
      <c r="U9" s="27">
        <f t="shared" si="6"/>
        <v>60788.571428571435</v>
      </c>
      <c r="V9" s="27">
        <f t="shared" si="6"/>
        <v>60788.571428571435</v>
      </c>
      <c r="W9" s="27">
        <f t="shared" si="6"/>
        <v>74297.14285714287</v>
      </c>
      <c r="X9" s="27">
        <f t="shared" si="6"/>
        <v>74297.14285714287</v>
      </c>
      <c r="Y9" s="27">
        <f t="shared" si="6"/>
        <v>83584.28571428571</v>
      </c>
      <c r="Z9" s="27">
        <f t="shared" si="6"/>
        <v>98781.42857142858</v>
      </c>
      <c r="AA9" s="27">
        <f t="shared" si="6"/>
        <v>109757.14285714286</v>
      </c>
      <c r="AB9" s="27">
        <f t="shared" si="6"/>
        <v>109757.14285714286</v>
      </c>
      <c r="AC9" s="27">
        <f t="shared" si="6"/>
        <v>826555.7142857143</v>
      </c>
      <c r="AD9" s="27">
        <f t="shared" si="6"/>
        <v>118200</v>
      </c>
      <c r="AE9" s="27">
        <f t="shared" si="6"/>
        <v>118200</v>
      </c>
      <c r="AF9" s="27">
        <f t="shared" si="6"/>
        <v>118200</v>
      </c>
      <c r="AG9" s="27">
        <f t="shared" si="6"/>
        <v>118200</v>
      </c>
      <c r="AH9" s="27">
        <f t="shared" si="6"/>
        <v>118200</v>
      </c>
      <c r="AI9" s="27">
        <f t="shared" si="6"/>
        <v>118200</v>
      </c>
      <c r="AJ9" s="27">
        <f t="shared" si="6"/>
        <v>126642.85714285714</v>
      </c>
      <c r="AK9" s="27">
        <f t="shared" si="6"/>
        <v>126642.85714285714</v>
      </c>
      <c r="AL9" s="27">
        <f t="shared" si="6"/>
        <v>126642.85714285714</v>
      </c>
      <c r="AM9" s="27">
        <f t="shared" si="6"/>
        <v>135085.7142857143</v>
      </c>
      <c r="AN9" s="27">
        <f t="shared" si="6"/>
        <v>135085.7142857143</v>
      </c>
      <c r="AO9" s="27">
        <f t="shared" si="6"/>
        <v>135085.7142857143</v>
      </c>
      <c r="AP9" s="27">
        <f t="shared" si="6"/>
        <v>1494385.7142857146</v>
      </c>
      <c r="AQ9" s="27">
        <f t="shared" si="6"/>
        <v>1621028.5714285714</v>
      </c>
      <c r="AR9" s="27">
        <f t="shared" si="6"/>
        <v>1722342.8571428573</v>
      </c>
      <c r="AS9" s="27">
        <f t="shared" si="6"/>
        <v>1823657.1428571427</v>
      </c>
      <c r="AT9" s="27">
        <f t="shared" si="6"/>
        <v>1924971.4285714286</v>
      </c>
      <c r="AU9" s="27">
        <f t="shared" si="6"/>
        <v>2026285.7142857143</v>
      </c>
    </row>
    <row r="10" spans="1:47" ht="12.75">
      <c r="A10" s="28" t="str">
        <f>'2-ф2'!A6</f>
        <v>Стакан</v>
      </c>
      <c r="B10" s="27">
        <f>P10+AC10+AP10+AQ10+AR10+AS10+AT10+AU10</f>
        <v>6503520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15359.999999999998</v>
      </c>
      <c r="R10" s="29">
        <f>'2-ф2'!R6*Исх!$C$19</f>
        <v>19200</v>
      </c>
      <c r="S10" s="29">
        <f>'2-ф2'!S6*Исх!$C$19</f>
        <v>23040</v>
      </c>
      <c r="T10" s="29">
        <f>'2-ф2'!T6*Исх!$C$19</f>
        <v>30240</v>
      </c>
      <c r="U10" s="29">
        <f>'2-ф2'!U6*Исх!$C$19</f>
        <v>34560</v>
      </c>
      <c r="V10" s="29">
        <f>'2-ф2'!V6*Исх!$C$19</f>
        <v>34560</v>
      </c>
      <c r="W10" s="29">
        <f>'2-ф2'!W6*Исх!$C$19</f>
        <v>42240</v>
      </c>
      <c r="X10" s="29">
        <f>'2-ф2'!X6*Исх!$C$19</f>
        <v>42240</v>
      </c>
      <c r="Y10" s="29">
        <f>'2-ф2'!Y6*Исх!$C$19</f>
        <v>47519.99999999999</v>
      </c>
      <c r="Z10" s="29">
        <f>'2-ф2'!Z6*Исх!$C$19</f>
        <v>56160</v>
      </c>
      <c r="AA10" s="29">
        <f>'2-ф2'!AA6*Исх!$C$19</f>
        <v>62399.99999999999</v>
      </c>
      <c r="AB10" s="29">
        <f>'2-ф2'!AB6*Исх!$C$19</f>
        <v>62399.99999999999</v>
      </c>
      <c r="AC10" s="27">
        <f>SUM(Q10:AB10)</f>
        <v>469920</v>
      </c>
      <c r="AD10" s="29">
        <f>'2-ф2'!AD6*Исх!$C$19</f>
        <v>67200</v>
      </c>
      <c r="AE10" s="29">
        <f>'2-ф2'!AE6*Исх!$C$19</f>
        <v>67200</v>
      </c>
      <c r="AF10" s="29">
        <f>'2-ф2'!AF6*Исх!$C$19</f>
        <v>67200</v>
      </c>
      <c r="AG10" s="29">
        <f>'2-ф2'!AG6*Исх!$C$19</f>
        <v>67200</v>
      </c>
      <c r="AH10" s="29">
        <f>'2-ф2'!AH6*Исх!$C$19</f>
        <v>67200</v>
      </c>
      <c r="AI10" s="29">
        <f>'2-ф2'!AI6*Исх!$C$19</f>
        <v>67200</v>
      </c>
      <c r="AJ10" s="29">
        <f>'2-ф2'!AJ6*Исх!$C$19</f>
        <v>72000</v>
      </c>
      <c r="AK10" s="29">
        <f>'2-ф2'!AK6*Исх!$C$19</f>
        <v>72000</v>
      </c>
      <c r="AL10" s="29">
        <f>'2-ф2'!AL6*Исх!$C$19</f>
        <v>72000</v>
      </c>
      <c r="AM10" s="29">
        <f>'2-ф2'!AM6*Исх!$C$19</f>
        <v>76800</v>
      </c>
      <c r="AN10" s="29">
        <f>'2-ф2'!AN6*Исх!$C$19</f>
        <v>76800</v>
      </c>
      <c r="AO10" s="29">
        <f>'2-ф2'!AO6*Исх!$C$19</f>
        <v>76800</v>
      </c>
      <c r="AP10" s="27">
        <f>SUM(AD10:AO10)</f>
        <v>849600</v>
      </c>
      <c r="AQ10" s="29">
        <f>'2-ф2'!AQ6*Исх!$C$19</f>
        <v>921599.9999999999</v>
      </c>
      <c r="AR10" s="29">
        <f>'2-ф2'!AR6*Исх!$C$19</f>
        <v>979199.9999999999</v>
      </c>
      <c r="AS10" s="29">
        <f>'2-ф2'!AS6*Исх!$C$19</f>
        <v>1036799.9999999999</v>
      </c>
      <c r="AT10" s="29">
        <f>'2-ф2'!AT6*Исх!$C$19</f>
        <v>1094399.9999999998</v>
      </c>
      <c r="AU10" s="29">
        <f>'2-ф2'!AU6*Исх!$C$19</f>
        <v>1152000</v>
      </c>
    </row>
    <row r="11" spans="1:47" ht="12.75">
      <c r="A11" s="28" t="str">
        <f>'2-ф2'!A7</f>
        <v>Фужер</v>
      </c>
      <c r="B11" s="27">
        <f>P11+AC11+AP11+AQ11+AR11+AS11+AT11+AU11</f>
        <v>4935707.142857143</v>
      </c>
      <c r="C11" s="27"/>
      <c r="D11" s="29">
        <f>'2-ф2'!D7*Исх!$C$19</f>
        <v>0</v>
      </c>
      <c r="E11" s="29">
        <f>'2-ф2'!E7*Исх!$C$19</f>
        <v>0</v>
      </c>
      <c r="F11" s="29">
        <f>'2-ф2'!F7*Исх!$C$19</f>
        <v>0</v>
      </c>
      <c r="G11" s="29">
        <f>'2-ф2'!G7*Исх!$C$19</f>
        <v>0</v>
      </c>
      <c r="H11" s="29">
        <f>'2-ф2'!H7*Исх!$C$19</f>
        <v>0</v>
      </c>
      <c r="I11" s="29">
        <f>'2-ф2'!I7*Исх!$C$19</f>
        <v>0</v>
      </c>
      <c r="J11" s="29">
        <f>'2-ф2'!J7*Исх!$C$19</f>
        <v>0</v>
      </c>
      <c r="K11" s="29">
        <f>'2-ф2'!K7*Исх!$C$19</f>
        <v>0</v>
      </c>
      <c r="L11" s="29">
        <f>'2-ф2'!L7*Исх!$C$19</f>
        <v>0</v>
      </c>
      <c r="M11" s="29">
        <f>'2-ф2'!M7*Исх!$C$19</f>
        <v>0</v>
      </c>
      <c r="N11" s="29">
        <f>'2-ф2'!N7*Исх!$C$19</f>
        <v>0</v>
      </c>
      <c r="O11" s="29">
        <f>'2-ф2'!O7*Исх!$C$19</f>
        <v>0</v>
      </c>
      <c r="P11" s="27">
        <f>SUM(D11:O11)</f>
        <v>0</v>
      </c>
      <c r="Q11" s="29">
        <f>'2-ф2'!Q7*Исх!$C$19</f>
        <v>11657.14285714286</v>
      </c>
      <c r="R11" s="29">
        <f>'2-ф2'!R7*Исх!$C$19</f>
        <v>14571.428571428572</v>
      </c>
      <c r="S11" s="29">
        <f>'2-ф2'!S7*Исх!$C$19</f>
        <v>17485.714285714286</v>
      </c>
      <c r="T11" s="29">
        <f>'2-ф2'!T7*Исх!$C$19</f>
        <v>22950</v>
      </c>
      <c r="U11" s="29">
        <f>'2-ф2'!U7*Исх!$C$19</f>
        <v>26228.57142857143</v>
      </c>
      <c r="V11" s="29">
        <f>'2-ф2'!V7*Исх!$C$19</f>
        <v>26228.57142857143</v>
      </c>
      <c r="W11" s="29">
        <f>'2-ф2'!W7*Исх!$C$19</f>
        <v>32057.142857142862</v>
      </c>
      <c r="X11" s="29">
        <f>'2-ф2'!X7*Исх!$C$19</f>
        <v>32057.142857142862</v>
      </c>
      <c r="Y11" s="29">
        <f>'2-ф2'!Y7*Исх!$C$19</f>
        <v>36064.28571428572</v>
      </c>
      <c r="Z11" s="29">
        <f>'2-ф2'!Z7*Исх!$C$19</f>
        <v>42621.42857142857</v>
      </c>
      <c r="AA11" s="29">
        <f>'2-ф2'!AA7*Исх!$C$19</f>
        <v>47357.14285714286</v>
      </c>
      <c r="AB11" s="29">
        <f>'2-ф2'!AB7*Исх!$C$19</f>
        <v>47357.14285714286</v>
      </c>
      <c r="AC11" s="27">
        <f>SUM(Q11:AB11)</f>
        <v>356635.7142857143</v>
      </c>
      <c r="AD11" s="29">
        <f>'2-ф2'!AD7*Исх!$C$19</f>
        <v>51000</v>
      </c>
      <c r="AE11" s="29">
        <f>'2-ф2'!AE7*Исх!$C$19</f>
        <v>51000</v>
      </c>
      <c r="AF11" s="29">
        <f>'2-ф2'!AF7*Исх!$C$19</f>
        <v>51000</v>
      </c>
      <c r="AG11" s="29">
        <f>'2-ф2'!AG7*Исх!$C$19</f>
        <v>51000</v>
      </c>
      <c r="AH11" s="29">
        <f>'2-ф2'!AH7*Исх!$C$19</f>
        <v>51000</v>
      </c>
      <c r="AI11" s="29">
        <f>'2-ф2'!AI7*Исх!$C$19</f>
        <v>51000</v>
      </c>
      <c r="AJ11" s="29">
        <f>'2-ф2'!AJ7*Исх!$C$19</f>
        <v>54642.857142857145</v>
      </c>
      <c r="AK11" s="29">
        <f>'2-ф2'!AK7*Исх!$C$19</f>
        <v>54642.857142857145</v>
      </c>
      <c r="AL11" s="29">
        <f>'2-ф2'!AL7*Исх!$C$19</f>
        <v>54642.857142857145</v>
      </c>
      <c r="AM11" s="29">
        <f>'2-ф2'!AM7*Исх!$C$19</f>
        <v>58285.71428571429</v>
      </c>
      <c r="AN11" s="29">
        <f>'2-ф2'!AN7*Исх!$C$19</f>
        <v>58285.71428571429</v>
      </c>
      <c r="AO11" s="29">
        <f>'2-ф2'!AO7*Исх!$C$19</f>
        <v>58285.71428571429</v>
      </c>
      <c r="AP11" s="27">
        <f>SUM(AD11:AO11)</f>
        <v>644785.7142857144</v>
      </c>
      <c r="AQ11" s="29">
        <f>'2-ф2'!AQ7*Исх!$C$19</f>
        <v>699428.5714285715</v>
      </c>
      <c r="AR11" s="29">
        <f>'2-ф2'!AR7*Исх!$C$19</f>
        <v>743142.8571428573</v>
      </c>
      <c r="AS11" s="29">
        <f>'2-ф2'!AS7*Исх!$C$19</f>
        <v>786857.1428571428</v>
      </c>
      <c r="AT11" s="29">
        <f>'2-ф2'!AT7*Исх!$C$19</f>
        <v>830571.4285714288</v>
      </c>
      <c r="AU11" s="29">
        <f>'2-ф2'!AU7*Исх!$C$19</f>
        <v>874285.7142857143</v>
      </c>
    </row>
    <row r="12" spans="1:47" s="21" customFormat="1" ht="12.75">
      <c r="A12" s="30" t="s">
        <v>5</v>
      </c>
      <c r="B12" s="27">
        <f>SUM(B13:B19)</f>
        <v>6311020.5591415595</v>
      </c>
      <c r="C12" s="27"/>
      <c r="D12" s="31">
        <f aca="true" t="shared" si="7" ref="D12:AU12">SUM(D13:D19)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1">
        <f t="shared" si="7"/>
        <v>0</v>
      </c>
      <c r="N12" s="31">
        <f t="shared" si="7"/>
        <v>0</v>
      </c>
      <c r="O12" s="31">
        <f t="shared" si="7"/>
        <v>31012.416</v>
      </c>
      <c r="P12" s="31">
        <f t="shared" si="7"/>
        <v>31012.416</v>
      </c>
      <c r="Q12" s="31">
        <f t="shared" si="7"/>
        <v>34676.976839666335</v>
      </c>
      <c r="R12" s="31">
        <f t="shared" si="7"/>
        <v>34593.84066141538</v>
      </c>
      <c r="S12" s="31">
        <f t="shared" si="7"/>
        <v>34510.21952212463</v>
      </c>
      <c r="T12" s="31">
        <f t="shared" si="7"/>
        <v>37115.23859285467</v>
      </c>
      <c r="U12" s="31">
        <f t="shared" si="7"/>
        <v>37030.63902816398</v>
      </c>
      <c r="V12" s="31">
        <f t="shared" si="7"/>
        <v>38194.30505430303</v>
      </c>
      <c r="W12" s="31">
        <f t="shared" si="7"/>
        <v>47070.381532336345</v>
      </c>
      <c r="X12" s="31">
        <f t="shared" si="7"/>
        <v>47001.510564279575</v>
      </c>
      <c r="Y12" s="31">
        <f t="shared" si="7"/>
        <v>48062.43464482751</v>
      </c>
      <c r="Z12" s="31">
        <f t="shared" si="7"/>
        <v>55220.42677739292</v>
      </c>
      <c r="AA12" s="31">
        <f t="shared" si="7"/>
        <v>56486.03064559557</v>
      </c>
      <c r="AB12" s="31">
        <f t="shared" si="7"/>
        <v>56415.53857236615</v>
      </c>
      <c r="AC12" s="31">
        <f t="shared" si="7"/>
        <v>526377.542435326</v>
      </c>
      <c r="AD12" s="31">
        <f t="shared" si="7"/>
        <v>60223.706361315</v>
      </c>
      <c r="AE12" s="31">
        <f t="shared" si="7"/>
        <v>60152.389481875965</v>
      </c>
      <c r="AF12" s="31">
        <f t="shared" si="7"/>
        <v>60080.65658730686</v>
      </c>
      <c r="AG12" s="31">
        <f t="shared" si="7"/>
        <v>60008.50525085278</v>
      </c>
      <c r="AH12" s="31">
        <f t="shared" si="7"/>
        <v>59935.93303160272</v>
      </c>
      <c r="AI12" s="31">
        <f t="shared" si="7"/>
        <v>59862.93747440702</v>
      </c>
      <c r="AJ12" s="31">
        <f t="shared" si="7"/>
        <v>63506.095742447425</v>
      </c>
      <c r="AK12" s="31">
        <f t="shared" si="7"/>
        <v>63432.246086541185</v>
      </c>
      <c r="AL12" s="31">
        <f t="shared" si="7"/>
        <v>63357.96564097549</v>
      </c>
      <c r="AM12" s="31">
        <f t="shared" si="7"/>
        <v>66999.83152546373</v>
      </c>
      <c r="AN12" s="31">
        <f t="shared" si="7"/>
        <v>66924.68194710127</v>
      </c>
      <c r="AO12" s="31">
        <f t="shared" si="7"/>
        <v>74465.41228599426</v>
      </c>
      <c r="AP12" s="31">
        <f t="shared" si="7"/>
        <v>758950.3614158838</v>
      </c>
      <c r="AQ12" s="31">
        <f t="shared" si="7"/>
        <v>914386.7784198344</v>
      </c>
      <c r="AR12" s="31">
        <f t="shared" si="7"/>
        <v>956729.299257726</v>
      </c>
      <c r="AS12" s="31">
        <f t="shared" si="7"/>
        <v>998351.4074547004</v>
      </c>
      <c r="AT12" s="31">
        <f t="shared" si="7"/>
        <v>1039198.1581229966</v>
      </c>
      <c r="AU12" s="31">
        <f t="shared" si="7"/>
        <v>1086014.596035093</v>
      </c>
    </row>
    <row r="13" spans="1:47" ht="12.75">
      <c r="A13" s="28" t="s">
        <v>371</v>
      </c>
      <c r="B13" s="27">
        <f aca="true" t="shared" si="8" ref="B13:B19">P13+AC13+AP13+AQ13+AR13+AS13+AT13+AU13</f>
        <v>1993856.256</v>
      </c>
      <c r="C13" s="32"/>
      <c r="D13" s="29">
        <f>'2-ф2'!D9/2*Исх!$C$19+'2-ф2'!D9/2</f>
        <v>0</v>
      </c>
      <c r="E13" s="29">
        <f>'2-ф2'!E9/2*Исх!$C$19+'2-ф2'!E9/2</f>
        <v>0</v>
      </c>
      <c r="F13" s="29"/>
      <c r="G13" s="29">
        <f>'2-ф2'!G9/2*Исх!$C$19+'2-ф2'!G9/2</f>
        <v>0</v>
      </c>
      <c r="H13" s="29">
        <f>'2-ф2'!H9/2*Исх!$C$19+'2-ф2'!H9/2</f>
        <v>0</v>
      </c>
      <c r="I13" s="29">
        <f>'2-ф2'!I9/2*Исх!$C$19+'2-ф2'!I9/2</f>
        <v>0</v>
      </c>
      <c r="J13" s="29">
        <f>'2-ф2'!J9*Исх!$C$19</f>
        <v>0</v>
      </c>
      <c r="K13" s="29">
        <f>'2-ф2'!K9*Исх!$C$19</f>
        <v>0</v>
      </c>
      <c r="L13" s="29">
        <f>'2-ф2'!L9*Исх!$C$19</f>
        <v>0</v>
      </c>
      <c r="M13" s="29">
        <f>'2-ф2'!M9*Исх!$C$19</f>
        <v>0</v>
      </c>
      <c r="N13" s="29">
        <f>'2-ф2'!N9*Исх!$C$19</f>
        <v>0</v>
      </c>
      <c r="O13" s="29">
        <f>Q13*1.5</f>
        <v>17188.415999999997</v>
      </c>
      <c r="P13" s="27">
        <f aca="true" t="shared" si="9" ref="P13:P19">SUM(D13:O13)</f>
        <v>17188.415999999997</v>
      </c>
      <c r="Q13" s="29">
        <f>(Производство!Q10*('Расх перем'!$E$6+'Расх перем'!$E$7)+Производство!Q11*('Расх перем'!$G$6+'Расх перем'!$G$7))*Исх!$C$19</f>
        <v>11458.944</v>
      </c>
      <c r="R13" s="29">
        <f>(Производство!R10*('Расх перем'!$E$6+'Расх перем'!$E$7)+Производство!R11*('Расх перем'!$G$6+'Расх перем'!$G$7))*Исх!$C$19</f>
        <v>11458.944</v>
      </c>
      <c r="S13" s="29">
        <f>(Производство!S10*('Расх перем'!$E$6+'Расх перем'!$E$7)+Производство!S11*('Расх перем'!$G$6+'Расх перем'!$G$7))*Исх!$C$19</f>
        <v>11458.944</v>
      </c>
      <c r="T13" s="29">
        <f>(Производство!T10*('Расх перем'!$E$6+'Расх перем'!$E$7)+Производство!T11*('Расх перем'!$G$6+'Расх перем'!$G$7))*Исх!$C$19</f>
        <v>12891.312</v>
      </c>
      <c r="U13" s="29">
        <f>(Производство!U10*('Расх перем'!$E$6+'Расх перем'!$E$7)+Производство!U11*('Расх перем'!$G$6+'Расх перем'!$G$7))*Исх!$C$19</f>
        <v>12891.312</v>
      </c>
      <c r="V13" s="29">
        <f>(Производство!V10*('Расх перем'!$E$6+'Расх перем'!$E$7)+Производство!V11*('Расх перем'!$G$6+'Расх перем'!$G$7))*Исх!$C$19</f>
        <v>12891.312</v>
      </c>
      <c r="W13" s="29">
        <f>(Производство!W10*('Расх перем'!$E$6+'Расх перем'!$E$7)+Производство!W11*('Расх перем'!$G$6+'Расх перем'!$G$7))*Исх!$C$19</f>
        <v>15756.047999999999</v>
      </c>
      <c r="X13" s="29">
        <f>(Производство!X10*('Расх перем'!$E$6+'Расх перем'!$E$7)+Производство!X11*('Расх перем'!$G$6+'Расх перем'!$G$7))*Исх!$C$19</f>
        <v>15756.047999999999</v>
      </c>
      <c r="Y13" s="29">
        <f>(Производство!Y10*('Расх перем'!$E$6+'Расх перем'!$E$7)+Производство!Y11*('Расх перем'!$G$6+'Расх перем'!$G$7))*Исх!$C$19</f>
        <v>15756.047999999999</v>
      </c>
      <c r="Z13" s="29">
        <f>(Производство!Z10*('Расх перем'!$E$6+'Расх перем'!$E$7)+Производство!Z11*('Расх перем'!$G$6+'Расх перем'!$G$7))*Исх!$C$19</f>
        <v>18620.784</v>
      </c>
      <c r="AA13" s="29">
        <f>(Производство!AA10*('Расх перем'!$E$6+'Расх перем'!$E$7)+Производство!AA11*('Расх перем'!$G$6+'Расх перем'!$G$7))*Исх!$C$19</f>
        <v>18620.784</v>
      </c>
      <c r="AB13" s="29">
        <f>(Производство!AB10*('Расх перем'!$E$6+'Расх перем'!$E$7)+Производство!AB11*('Расх перем'!$G$6+'Расх перем'!$G$7))*Исх!$C$19</f>
        <v>18620.784</v>
      </c>
      <c r="AC13" s="27">
        <f aca="true" t="shared" si="10" ref="AC13:AC19">SUM(Q13:AB13)</f>
        <v>176181.26399999997</v>
      </c>
      <c r="AD13" s="29">
        <f>(Производство!AD10*('Расх перем'!$E$6+'Расх перем'!$E$7)+Производство!AD11*('Расх перем'!$G$6+'Расх перем'!$G$7))*Исх!$C$19</f>
        <v>20053.152000000002</v>
      </c>
      <c r="AE13" s="29">
        <f>(Производство!AE10*('Расх перем'!$E$6+'Расх перем'!$E$7)+Производство!AE11*('Расх перем'!$G$6+'Расх перем'!$G$7))*Исх!$C$19</f>
        <v>20053.152000000002</v>
      </c>
      <c r="AF13" s="29">
        <f>(Производство!AF10*('Расх перем'!$E$6+'Расх перем'!$E$7)+Производство!AF11*('Расх перем'!$G$6+'Расх перем'!$G$7))*Исх!$C$19</f>
        <v>20053.152000000002</v>
      </c>
      <c r="AG13" s="29">
        <f>(Производство!AG10*('Расх перем'!$E$6+'Расх перем'!$E$7)+Производство!AG11*('Расх перем'!$G$6+'Расх перем'!$G$7))*Исх!$C$19</f>
        <v>20053.152000000002</v>
      </c>
      <c r="AH13" s="29">
        <f>(Производство!AH10*('Расх перем'!$E$6+'Расх перем'!$E$7)+Производство!AH11*('Расх перем'!$G$6+'Расх перем'!$G$7))*Исх!$C$19</f>
        <v>20053.152000000002</v>
      </c>
      <c r="AI13" s="29">
        <f>(Производство!AI10*('Расх перем'!$E$6+'Расх перем'!$E$7)+Производство!AI11*('Расх перем'!$G$6+'Расх перем'!$G$7))*Исх!$C$19</f>
        <v>20053.152000000002</v>
      </c>
      <c r="AJ13" s="29">
        <f>(Производство!AJ10*('Расх перем'!$E$6+'Расх перем'!$E$7)+Производство!AJ11*('Расх перем'!$G$6+'Расх перем'!$G$7))*Исх!$C$19</f>
        <v>21485.519999999997</v>
      </c>
      <c r="AK13" s="29">
        <f>(Производство!AK10*('Расх перем'!$E$6+'Расх перем'!$E$7)+Производство!AK11*('Расх перем'!$G$6+'Расх перем'!$G$7))*Исх!$C$19</f>
        <v>21485.519999999997</v>
      </c>
      <c r="AL13" s="29">
        <f>(Производство!AL10*('Расх перем'!$E$6+'Расх перем'!$E$7)+Производство!AL11*('Расх перем'!$G$6+'Расх перем'!$G$7))*Исх!$C$19</f>
        <v>21485.519999999997</v>
      </c>
      <c r="AM13" s="29">
        <f>(Производство!AM10*('Расх перем'!$E$6+'Расх перем'!$E$7)+Производство!AM11*('Расх перем'!$G$6+'Расх перем'!$G$7))*Исх!$C$19</f>
        <v>22917.888</v>
      </c>
      <c r="AN13" s="29">
        <f>(Производство!AN10*('Расх перем'!$E$6+'Расх перем'!$E$7)+Производство!AN11*('Расх перем'!$G$6+'Расх перем'!$G$7))*Исх!$C$19</f>
        <v>22917.888</v>
      </c>
      <c r="AO13" s="29">
        <f>(Производство!AO10*('Расх перем'!$E$6+'Расх перем'!$E$7)+Производство!AO11*('Расх перем'!$G$6+'Расх перем'!$G$7))*Исх!$C$19</f>
        <v>22917.888</v>
      </c>
      <c r="AP13" s="27">
        <f aca="true" t="shared" si="11" ref="AP13:AP19">SUM(AD13:AO13)</f>
        <v>253529.136</v>
      </c>
      <c r="AQ13" s="29">
        <f>(Производство!AQ10*('Расх перем'!$E$6+'Расх перем'!$E$7)+Производство!AQ11*('Расх перем'!$G$6+'Расх перем'!$G$7))*Исх!$C$19</f>
        <v>275014.656</v>
      </c>
      <c r="AR13" s="29">
        <f>(Производство!AR10*('Расх перем'!$E$6+'Расх перем'!$E$7)+Производство!AR11*('Расх перем'!$G$6+'Расх перем'!$G$7))*Исх!$C$19</f>
        <v>292203.072</v>
      </c>
      <c r="AS13" s="29">
        <f>(Производство!AS10*('Расх перем'!$E$6+'Расх перем'!$E$7)+Производство!AS11*('Расх перем'!$G$6+'Расх перем'!$G$7))*Исх!$C$19</f>
        <v>309391.488</v>
      </c>
      <c r="AT13" s="29">
        <f>(Производство!AT10*('Расх перем'!$E$6+'Расх перем'!$E$7)+Производство!AT11*('Расх перем'!$G$6+'Расх перем'!$G$7))*Исх!$C$19</f>
        <v>326579.904</v>
      </c>
      <c r="AU13" s="29">
        <f>(Производство!AU10*('Расх перем'!$E$6+'Расх перем'!$E$7)+Производство!AU11*('Расх перем'!$G$6+'Расх перем'!$G$7))*Исх!$C$19</f>
        <v>343768.31999999995</v>
      </c>
    </row>
    <row r="14" spans="1:47" ht="12.75">
      <c r="A14" s="28" t="s">
        <v>370</v>
      </c>
      <c r="B14" s="27">
        <f t="shared" si="8"/>
        <v>1603584</v>
      </c>
      <c r="C14" s="32"/>
      <c r="D14" s="29">
        <f>'2-ф2'!D10/2*Исх!$C$19+'2-ф2'!D10/2</f>
        <v>0</v>
      </c>
      <c r="E14" s="29">
        <f>'2-ф2'!E10/2*Исх!$C$19+'2-ф2'!E10/2</f>
        <v>0</v>
      </c>
      <c r="F14" s="29"/>
      <c r="G14" s="29">
        <f>'2-ф2'!G10/2*Исх!$C$19+'2-ф2'!G10/2</f>
        <v>0</v>
      </c>
      <c r="H14" s="29">
        <f>'2-ф2'!H10/2*Исх!$C$19+'2-ф2'!H10/2</f>
        <v>0</v>
      </c>
      <c r="I14" s="29">
        <f>'2-ф2'!I10/2*Исх!$C$19+'2-ф2'!I10/2</f>
        <v>0</v>
      </c>
      <c r="J14" s="29">
        <f>'2-ф2'!J10*Исх!$C$19</f>
        <v>0</v>
      </c>
      <c r="K14" s="29">
        <f>'2-ф2'!K10*Исх!$C$19</f>
        <v>0</v>
      </c>
      <c r="L14" s="29">
        <f>'2-ф2'!L10*Исх!$C$19</f>
        <v>0</v>
      </c>
      <c r="M14" s="29">
        <f>'2-ф2'!M10*Исх!$C$19</f>
        <v>0</v>
      </c>
      <c r="N14" s="29">
        <f>'2-ф2'!N10*Исх!$C$19</f>
        <v>0</v>
      </c>
      <c r="O14" s="29">
        <f>Q14*1.5</f>
        <v>13824.000000000004</v>
      </c>
      <c r="P14" s="27">
        <f t="shared" si="9"/>
        <v>13824.000000000004</v>
      </c>
      <c r="Q14" s="29">
        <f>(Производство!Q10*'Расх перем'!$E$8+Производство!Q11*'Расх перем'!$G$8)*Исх!$C$19</f>
        <v>9216.000000000002</v>
      </c>
      <c r="R14" s="29">
        <f>(Производство!R10*'Расх перем'!$E$8+Производство!R11*'Расх перем'!$G$8)*Исх!$C$19</f>
        <v>9216.000000000002</v>
      </c>
      <c r="S14" s="29">
        <f>(Производство!S10*'Расх перем'!$E$8+Производство!S11*'Расх перем'!$G$8)*Исх!$C$19</f>
        <v>9216.000000000002</v>
      </c>
      <c r="T14" s="29">
        <f>(Производство!T10*'Расх перем'!$E$8+Производство!T11*'Расх перем'!$G$8)*Исх!$C$19</f>
        <v>10368</v>
      </c>
      <c r="U14" s="29">
        <f>(Производство!U10*'Расх перем'!$E$8+Производство!U11*'Расх перем'!$G$8)*Исх!$C$19</f>
        <v>10368</v>
      </c>
      <c r="V14" s="29">
        <f>(Производство!V10*'Расх перем'!$E$8+Производство!V11*'Расх перем'!$G$8)*Исх!$C$19</f>
        <v>10368</v>
      </c>
      <c r="W14" s="29">
        <f>(Производство!W10*'Расх перем'!$E$8+Производство!W11*'Расх перем'!$G$8)*Исх!$C$19</f>
        <v>12672</v>
      </c>
      <c r="X14" s="29">
        <f>(Производство!X10*'Расх перем'!$E$8+Производство!X11*'Расх перем'!$G$8)*Исх!$C$19</f>
        <v>12672</v>
      </c>
      <c r="Y14" s="29">
        <f>(Производство!Y10*'Расх перем'!$E$8+Производство!Y11*'Расх перем'!$G$8)*Исх!$C$19</f>
        <v>12672</v>
      </c>
      <c r="Z14" s="29">
        <f>(Производство!Z10*'Расх перем'!$E$8+Производство!Z11*'Расх перем'!$G$8)*Исх!$C$19</f>
        <v>14976.000000000002</v>
      </c>
      <c r="AA14" s="29">
        <f>(Производство!AA10*'Расх перем'!$E$8+Производство!AA11*'Расх перем'!$G$8)*Исх!$C$19</f>
        <v>14976.000000000002</v>
      </c>
      <c r="AB14" s="29">
        <f>(Производство!AB10*'Расх перем'!$E$8+Производство!AB11*'Расх перем'!$G$8)*Исх!$C$19</f>
        <v>14976.000000000002</v>
      </c>
      <c r="AC14" s="27">
        <f t="shared" si="10"/>
        <v>141696</v>
      </c>
      <c r="AD14" s="29">
        <f>(Производство!AD10*'Расх перем'!$E$8+Производство!AD11*'Расх перем'!$G$8)*Исх!$C$19</f>
        <v>16128.000000000002</v>
      </c>
      <c r="AE14" s="29">
        <f>(Производство!AE10*'Расх перем'!$E$8+Производство!AE11*'Расх перем'!$G$8)*Исх!$C$19</f>
        <v>16128.000000000002</v>
      </c>
      <c r="AF14" s="29">
        <f>(Производство!AF10*'Расх перем'!$E$8+Производство!AF11*'Расх перем'!$G$8)*Исх!$C$19</f>
        <v>16128.000000000002</v>
      </c>
      <c r="AG14" s="29">
        <f>(Производство!AG10*'Расх перем'!$E$8+Производство!AG11*'Расх перем'!$G$8)*Исх!$C$19</f>
        <v>16128.000000000002</v>
      </c>
      <c r="AH14" s="29">
        <f>(Производство!AH10*'Расх перем'!$E$8+Производство!AH11*'Расх перем'!$G$8)*Исх!$C$19</f>
        <v>16128.000000000002</v>
      </c>
      <c r="AI14" s="29">
        <f>(Производство!AI10*'Расх перем'!$E$8+Производство!AI11*'Расх перем'!$G$8)*Исх!$C$19</f>
        <v>16128.000000000002</v>
      </c>
      <c r="AJ14" s="29">
        <f>(Производство!AJ10*'Расх перем'!$E$8+Производство!AJ11*'Расх перем'!$G$8)*Исх!$C$19</f>
        <v>17280.000000000004</v>
      </c>
      <c r="AK14" s="29">
        <f>(Производство!AK10*'Расх перем'!$E$8+Производство!AK11*'Расх перем'!$G$8)*Исх!$C$19</f>
        <v>17280.000000000004</v>
      </c>
      <c r="AL14" s="29">
        <f>(Производство!AL10*'Расх перем'!$E$8+Производство!AL11*'Расх перем'!$G$8)*Исх!$C$19</f>
        <v>17280.000000000004</v>
      </c>
      <c r="AM14" s="29">
        <f>(Производство!AM10*'Расх перем'!$E$8+Производство!AM11*'Расх перем'!$G$8)*Исх!$C$19</f>
        <v>18432.000000000004</v>
      </c>
      <c r="AN14" s="29">
        <f>(Производство!AN10*'Расх перем'!$E$8+Производство!AN11*'Расх перем'!$G$8)*Исх!$C$19</f>
        <v>18432.000000000004</v>
      </c>
      <c r="AO14" s="29">
        <f>(Производство!AO10*'Расх перем'!$E$8+Производство!AO11*'Расх перем'!$G$8)*Исх!$C$19</f>
        <v>18432.000000000004</v>
      </c>
      <c r="AP14" s="27">
        <f t="shared" si="11"/>
        <v>203904.00000000003</v>
      </c>
      <c r="AQ14" s="29">
        <f>(Производство!AQ10*'Расх перем'!$E$8+Производство!AQ11*'Расх перем'!$G$8)*Исх!$C$19</f>
        <v>221184.00000000003</v>
      </c>
      <c r="AR14" s="29">
        <f>(Производство!AR10*'Расх перем'!$E$8+Производство!AR11*'Расх перем'!$G$8)*Исх!$C$19</f>
        <v>235008</v>
      </c>
      <c r="AS14" s="29">
        <f>(Производство!AS10*'Расх перем'!$E$8+Производство!AS11*'Расх перем'!$G$8)*Исх!$C$19</f>
        <v>248832.00000000003</v>
      </c>
      <c r="AT14" s="29">
        <f>(Производство!AT10*'Расх перем'!$E$8+Производство!AT11*'Расх перем'!$G$8)*Исх!$C$19</f>
        <v>262656.00000000006</v>
      </c>
      <c r="AU14" s="29">
        <f>(Производство!AU10*'Расх перем'!$E$8+Производство!AU11*'Расх перем'!$G$8)*Исх!$C$19</f>
        <v>276480.00000000006</v>
      </c>
    </row>
    <row r="15" spans="1:47" ht="12.75">
      <c r="A15" s="28" t="s">
        <v>262</v>
      </c>
      <c r="B15" s="27">
        <f t="shared" si="8"/>
        <v>144568.80000000002</v>
      </c>
      <c r="C15" s="32"/>
      <c r="D15" s="29">
        <f>'2-ф2'!D11/2*Исх!$C$19+'2-ф2'!D11/2</f>
        <v>0</v>
      </c>
      <c r="E15" s="29">
        <f>'2-ф2'!E11/2*Исх!$C$19+'2-ф2'!E11/2</f>
        <v>0</v>
      </c>
      <c r="F15" s="29"/>
      <c r="G15" s="29">
        <f>'2-ф2'!G11/2*Исх!$C$19+'2-ф2'!G11/2</f>
        <v>0</v>
      </c>
      <c r="H15" s="29">
        <f>'2-ф2'!H11/2*Исх!$C$19+'2-ф2'!H11/2</f>
        <v>0</v>
      </c>
      <c r="I15" s="29">
        <f>'2-ф2'!I11/2*Исх!$C$19+'2-ф2'!I11/2</f>
        <v>0</v>
      </c>
      <c r="J15" s="29">
        <f>'2-ф2'!J11*Исх!$C$19</f>
        <v>0</v>
      </c>
      <c r="K15" s="29">
        <f>'2-ф2'!K11*Исх!$C$19</f>
        <v>0</v>
      </c>
      <c r="L15" s="29">
        <f>'2-ф2'!L11*Исх!$C$19</f>
        <v>0</v>
      </c>
      <c r="M15" s="29">
        <f>'2-ф2'!M11*Исх!$C$19</f>
        <v>0</v>
      </c>
      <c r="N15" s="29">
        <f>'2-ф2'!N11*Исх!$C$19</f>
        <v>0</v>
      </c>
      <c r="O15" s="29"/>
      <c r="P15" s="27">
        <f t="shared" si="9"/>
        <v>0</v>
      </c>
      <c r="Q15" s="29">
        <f>(Производство!Q10*'Расх перем'!$E$9+Производство!Q11*'Расх перем'!$G$9)*Исх!$C$19</f>
        <v>838.08</v>
      </c>
      <c r="R15" s="29">
        <f>(Производство!R10*'Расх перем'!$E$9+Производство!R11*'Расх перем'!$G$9)*Исх!$C$19</f>
        <v>838.08</v>
      </c>
      <c r="S15" s="29">
        <f>(Производство!S10*'Расх перем'!$E$9+Производство!S11*'Расх перем'!$G$9)*Исх!$C$19</f>
        <v>838.08</v>
      </c>
      <c r="T15" s="29">
        <f>(Производство!T10*'Расх перем'!$E$9+Производство!T11*'Расх перем'!$G$9)*Исх!$C$19</f>
        <v>942.8399999999999</v>
      </c>
      <c r="U15" s="29">
        <f>(Производство!U10*'Расх перем'!$E$9+Производство!U11*'Расх перем'!$G$9)*Исх!$C$19</f>
        <v>942.8399999999999</v>
      </c>
      <c r="V15" s="29">
        <f>(Производство!V10*'Расх перем'!$E$9+Производство!V11*'Расх перем'!$G$9)*Исх!$C$19</f>
        <v>942.8399999999999</v>
      </c>
      <c r="W15" s="29">
        <f>(Производство!W10*'Расх перем'!$E$9+Производство!W11*'Расх перем'!$G$9)*Исх!$C$19</f>
        <v>1152.3600000000001</v>
      </c>
      <c r="X15" s="29">
        <f>(Производство!X10*'Расх перем'!$E$9+Производство!X11*'Расх перем'!$G$9)*Исх!$C$19</f>
        <v>1152.3600000000001</v>
      </c>
      <c r="Y15" s="29">
        <f>(Производство!Y10*'Расх перем'!$E$9+Производство!Y11*'Расх перем'!$G$9)*Исх!$C$19</f>
        <v>1152.3600000000001</v>
      </c>
      <c r="Z15" s="29">
        <f>(Производство!Z10*'Расх перем'!$E$9+Производство!Z11*'Расх перем'!$G$9)*Исх!$C$19</f>
        <v>1361.88</v>
      </c>
      <c r="AA15" s="29">
        <f>(Производство!AA10*'Расх перем'!$E$9+Производство!AA11*'Расх перем'!$G$9)*Исх!$C$19</f>
        <v>1361.88</v>
      </c>
      <c r="AB15" s="29">
        <f>(Производство!AB10*'Расх перем'!$E$9+Производство!AB11*'Расх перем'!$G$9)*Исх!$C$19</f>
        <v>1361.88</v>
      </c>
      <c r="AC15" s="27">
        <f t="shared" si="10"/>
        <v>12885.480000000003</v>
      </c>
      <c r="AD15" s="29">
        <f>(Производство!AD10*'Расх перем'!$E$9+Производство!AD11*'Расх перем'!$G$9)*Исх!$C$19</f>
        <v>1466.64</v>
      </c>
      <c r="AE15" s="29">
        <f>(Производство!AE10*'Расх перем'!$E$9+Производство!AE11*'Расх перем'!$G$9)*Исх!$C$19</f>
        <v>1466.64</v>
      </c>
      <c r="AF15" s="29">
        <f>(Производство!AF10*'Расх перем'!$E$9+Производство!AF11*'Расх перем'!$G$9)*Исх!$C$19</f>
        <v>1466.64</v>
      </c>
      <c r="AG15" s="29">
        <f>(Производство!AG10*'Расх перем'!$E$9+Производство!AG11*'Расх перем'!$G$9)*Исх!$C$19</f>
        <v>1466.64</v>
      </c>
      <c r="AH15" s="29">
        <f>(Производство!AH10*'Расх перем'!$E$9+Производство!AH11*'Расх перем'!$G$9)*Исх!$C$19</f>
        <v>1466.64</v>
      </c>
      <c r="AI15" s="29">
        <f>(Производство!AI10*'Расх перем'!$E$9+Производство!AI11*'Расх перем'!$G$9)*Исх!$C$19</f>
        <v>1466.64</v>
      </c>
      <c r="AJ15" s="29">
        <f>(Производство!AJ10*'Расх перем'!$E$9+Производство!AJ11*'Расх перем'!$G$9)*Исх!$C$19</f>
        <v>1571.4</v>
      </c>
      <c r="AK15" s="29">
        <f>(Производство!AK10*'Расх перем'!$E$9+Производство!AK11*'Расх перем'!$G$9)*Исх!$C$19</f>
        <v>1571.4</v>
      </c>
      <c r="AL15" s="29">
        <f>(Производство!AL10*'Расх перем'!$E$9+Производство!AL11*'Расх перем'!$G$9)*Исх!$C$19</f>
        <v>1571.4</v>
      </c>
      <c r="AM15" s="29">
        <f>(Производство!AM10*'Расх перем'!$E$9+Производство!AM11*'Расх перем'!$G$9)*Исх!$C$19</f>
        <v>1676.16</v>
      </c>
      <c r="AN15" s="29">
        <f>(Производство!AN10*'Расх перем'!$E$9+Производство!AN11*'Расх перем'!$G$9)*Исх!$C$19</f>
        <v>1676.16</v>
      </c>
      <c r="AO15" s="29">
        <f>(Производство!AO10*'Расх перем'!$E$9+Производство!AO11*'Расх перем'!$G$9)*Исх!$C$19</f>
        <v>1676.16</v>
      </c>
      <c r="AP15" s="27">
        <f t="shared" si="11"/>
        <v>18542.52</v>
      </c>
      <c r="AQ15" s="29">
        <f>(Производство!AQ10*'Расх перем'!$E$9+Производство!AQ11*'Расх перем'!$G$9)*Исх!$C$19</f>
        <v>20113.920000000002</v>
      </c>
      <c r="AR15" s="29">
        <f>(Производство!AR10*'Расх перем'!$E$9+Производство!AR11*'Расх перем'!$G$9)*Исх!$C$19</f>
        <v>21371.039999999997</v>
      </c>
      <c r="AS15" s="29">
        <f>(Производство!AS10*'Расх перем'!$E$9+Производство!AS11*'Расх перем'!$G$9)*Исх!$C$19</f>
        <v>22628.16</v>
      </c>
      <c r="AT15" s="29">
        <f>(Производство!AT10*'Расх перем'!$E$9+Производство!AT11*'Расх перем'!$G$9)*Исх!$C$19</f>
        <v>23885.28</v>
      </c>
      <c r="AU15" s="29">
        <f>(Производство!AU10*'Расх перем'!$E$9+Производство!AU11*'Расх перем'!$G$9)*Исх!$C$19</f>
        <v>25142.4</v>
      </c>
    </row>
    <row r="16" spans="1:47" ht="12.75">
      <c r="A16" s="28" t="s">
        <v>145</v>
      </c>
      <c r="B16" s="27">
        <f t="shared" si="8"/>
        <v>539335.6814363279</v>
      </c>
      <c r="C16" s="2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7">
        <f t="shared" si="9"/>
        <v>0</v>
      </c>
      <c r="Q16" s="29">
        <f>(Пост!$D$16-Пост!$D$5)*Исх!$C$19+Пост!$D$5+Пост!$D$18+Пост!$D$21</f>
        <v>5751.452740625</v>
      </c>
      <c r="R16" s="29">
        <f>(Пост!$D$16-Пост!$D$5)*Исх!$C$19+Пост!$D$5+Пост!$D$18+Пост!$D$21</f>
        <v>5751.452740625</v>
      </c>
      <c r="S16" s="29">
        <f>(Пост!$D$16-Пост!$D$5)*Исх!$C$19+Пост!$D$5+Пост!$D$18+Пост!$D$21</f>
        <v>5751.452740625</v>
      </c>
      <c r="T16" s="29">
        <f>(Пост!$D$16-Пост!$D$5)*Исх!$C$19+Пост!$D$5+Пост!$D$18+Пост!$D$21</f>
        <v>5751.452740625</v>
      </c>
      <c r="U16" s="29">
        <f>(Пост!$D$16-Пост!$D$5)*Исх!$C$19+Пост!$D$5+Пост!$D$18+Пост!$D$21</f>
        <v>5751.452740625</v>
      </c>
      <c r="V16" s="29">
        <f>(Пост!$D$16-Пост!$D$5)*Исх!$C$19+Пост!$D$5+Пост!$D$18+Пост!$D$21</f>
        <v>5751.452740625</v>
      </c>
      <c r="W16" s="29">
        <f>(Пост!$D$16-Пост!$D$5)*Исх!$C$19+Пост!$D$5+Пост!$D$18+Пост!$D$21</f>
        <v>5751.452740625</v>
      </c>
      <c r="X16" s="29">
        <f>(Пост!$D$16-Пост!$D$5)*Исх!$C$19+Пост!$D$5+Пост!$D$18+Пост!$D$21</f>
        <v>5751.452740625</v>
      </c>
      <c r="Y16" s="29">
        <f>(Пост!$D$16-Пост!$D$5)*Исх!$C$19+Пост!$D$5+Пост!$D$18+Пост!$D$21</f>
        <v>5751.452740625</v>
      </c>
      <c r="Z16" s="29">
        <f>(Пост!$D$16-Пост!$D$5)*Исх!$C$19+Пост!$D$5+Пост!$D$18+Пост!$D$21</f>
        <v>5751.452740625</v>
      </c>
      <c r="AA16" s="29">
        <f>(Пост!$D$16-Пост!$D$5)*Исх!$C$19+Пост!$D$5+Пост!$D$18+Пост!$D$21</f>
        <v>5751.452740625</v>
      </c>
      <c r="AB16" s="29">
        <f>(Пост!$D$16-Пост!$D$5)*Исх!$C$19+Пост!$D$5+Пост!$D$18+Пост!$D$21</f>
        <v>5751.452740625</v>
      </c>
      <c r="AC16" s="27">
        <f t="shared" si="10"/>
        <v>69017.43288749999</v>
      </c>
      <c r="AD16" s="29">
        <f>(Пост!$E$16-Пост!$E$5)*Исх!$C$19+Пост!$E$5+Пост!$E$18+Пост!$E$21</f>
        <v>5952.509889375</v>
      </c>
      <c r="AE16" s="29">
        <f>(Пост!$E$16-Пост!$E$5)*Исх!$C$19+Пост!$E$5+Пост!$E$18+Пост!$E$21</f>
        <v>5952.509889375</v>
      </c>
      <c r="AF16" s="29">
        <f>(Пост!$E$16-Пост!$E$5)*Исх!$C$19+Пост!$E$5+Пост!$E$18+Пост!$E$21</f>
        <v>5952.509889375</v>
      </c>
      <c r="AG16" s="29">
        <f>(Пост!$E$16-Пост!$E$5)*Исх!$C$19+Пост!$E$5+Пост!$E$18+Пост!$E$21</f>
        <v>5952.509889375</v>
      </c>
      <c r="AH16" s="29">
        <f>(Пост!$E$16-Пост!$E$5)*Исх!$C$19+Пост!$E$5+Пост!$E$18+Пост!$E$21</f>
        <v>5952.509889375</v>
      </c>
      <c r="AI16" s="29">
        <f>(Пост!$E$16-Пост!$E$5)*Исх!$C$19+Пост!$E$5+Пост!$E$18+Пост!$E$21</f>
        <v>5952.509889375</v>
      </c>
      <c r="AJ16" s="29">
        <f>(Пост!$E$16-Пост!$E$5)*Исх!$C$19+Пост!$E$5+Пост!$E$18+Пост!$E$21</f>
        <v>5952.509889375</v>
      </c>
      <c r="AK16" s="29">
        <f>(Пост!$E$16-Пост!$E$5)*Исх!$C$19+Пост!$E$5+Пост!$E$18+Пост!$E$21</f>
        <v>5952.509889375</v>
      </c>
      <c r="AL16" s="29">
        <f>(Пост!$E$16-Пост!$E$5)*Исх!$C$19+Пост!$E$5+Пост!$E$18+Пост!$E$21</f>
        <v>5952.509889375</v>
      </c>
      <c r="AM16" s="29">
        <f>(Пост!$E$16-Пост!$E$5)*Исх!$C$19+Пост!$E$5+Пост!$E$18+Пост!$E$21</f>
        <v>5952.509889375</v>
      </c>
      <c r="AN16" s="29">
        <f>(Пост!$E$16-Пост!$E$5)*Исх!$C$19+Пост!$E$5+Пост!$E$18+Пост!$E$21</f>
        <v>5952.509889375</v>
      </c>
      <c r="AO16" s="29">
        <f>(Пост!$E$16-Пост!$E$5)*Исх!$C$19+Пост!$E$5+Пост!$E$18+Пост!$E$21</f>
        <v>5952.509889375</v>
      </c>
      <c r="AP16" s="27">
        <f t="shared" si="11"/>
        <v>71430.11867249999</v>
      </c>
      <c r="AQ16" s="29">
        <f>((Пост!F16-Пост!F5)*Исх!$C$19+Пост!F5+Пост!F18+Пост!F21)*12</f>
        <v>73993.5310905</v>
      </c>
      <c r="AR16" s="29">
        <f>((Пост!G16-Пост!G5)*Исх!$C$19+Пост!G5+Пост!G18+Пост!G21)*12</f>
        <v>76715.20647315003</v>
      </c>
      <c r="AS16" s="29">
        <f>((Пост!H16-Пост!H5)*Исх!$C$19+Пост!H5+Пост!H18+Пост!H21)*12</f>
        <v>79603.0579686825</v>
      </c>
      <c r="AT16" s="29">
        <f>((Пост!I16-Пост!I5)*Исх!$C$19+Пост!I5+Пост!I18+Пост!I21)*12</f>
        <v>82665.39438274165</v>
      </c>
      <c r="AU16" s="29">
        <f>((Пост!J16-Пост!J5)*Исх!$C$19+Пост!J5+Пост!J18+Пост!J21)*12</f>
        <v>85910.9399612537</v>
      </c>
    </row>
    <row r="17" spans="1:47" ht="12.75">
      <c r="A17" s="28" t="s">
        <v>54</v>
      </c>
      <c r="B17" s="27">
        <f t="shared" si="8"/>
        <v>289123.67599284276</v>
      </c>
      <c r="C17" s="27"/>
      <c r="D17" s="29">
        <f>кр!C26</f>
        <v>0</v>
      </c>
      <c r="E17" s="29">
        <f>кр!D26</f>
        <v>0</v>
      </c>
      <c r="F17" s="29">
        <f>кр!E26</f>
        <v>0</v>
      </c>
      <c r="G17" s="29">
        <f>кр!F26</f>
        <v>0</v>
      </c>
      <c r="H17" s="29">
        <f>кр!G26</f>
        <v>0</v>
      </c>
      <c r="I17" s="29">
        <f>кр!H26</f>
        <v>0</v>
      </c>
      <c r="J17" s="29">
        <f>кр!I26</f>
        <v>0</v>
      </c>
      <c r="K17" s="29">
        <f>кр!J26</f>
        <v>0</v>
      </c>
      <c r="L17" s="29">
        <f>кр!K26</f>
        <v>0</v>
      </c>
      <c r="M17" s="29">
        <f>кр!L26</f>
        <v>0</v>
      </c>
      <c r="N17" s="29">
        <f>кр!M26</f>
        <v>0</v>
      </c>
      <c r="O17" s="29">
        <f>кр!N26</f>
        <v>0</v>
      </c>
      <c r="P17" s="27">
        <f t="shared" si="9"/>
        <v>0</v>
      </c>
      <c r="Q17" s="29">
        <f>кр!P26</f>
        <v>7412.500099041335</v>
      </c>
      <c r="R17" s="29">
        <f>кр!Q26</f>
        <v>7329.363920790379</v>
      </c>
      <c r="S17" s="29">
        <f>кр!R26</f>
        <v>7245.742781499625</v>
      </c>
      <c r="T17" s="29">
        <f>кр!S26</f>
        <v>7161.6338522296755</v>
      </c>
      <c r="U17" s="29">
        <f>кр!T26</f>
        <v>7077.034287538986</v>
      </c>
      <c r="V17" s="29">
        <f>кр!U26</f>
        <v>6991.941225387599</v>
      </c>
      <c r="W17" s="29">
        <f>кр!V26</f>
        <v>6906.3517870403275</v>
      </c>
      <c r="X17" s="29">
        <f>кр!W26</f>
        <v>6820.263076969365</v>
      </c>
      <c r="Y17" s="29">
        <f>кр!X26</f>
        <v>6733.672182756322</v>
      </c>
      <c r="Z17" s="29">
        <f>кр!Y26</f>
        <v>6646.576174993704</v>
      </c>
      <c r="AA17" s="29">
        <f>кр!Z26</f>
        <v>6558.972107185803</v>
      </c>
      <c r="AB17" s="29">
        <f>кр!AA26</f>
        <v>6470.857015649023</v>
      </c>
      <c r="AC17" s="27">
        <f t="shared" si="10"/>
        <v>83354.90851108215</v>
      </c>
      <c r="AD17" s="29">
        <f>кр!AC26</f>
        <v>6382.22791941161</v>
      </c>
      <c r="AE17" s="29">
        <f>кр!AD26</f>
        <v>6293.081820112814</v>
      </c>
      <c r="AF17" s="29">
        <f>кр!AE26</f>
        <v>6203.415701901442</v>
      </c>
      <c r="AG17" s="29">
        <f>кр!AF26</f>
        <v>6113.226531333836</v>
      </c>
      <c r="AH17" s="29">
        <f>кр!AG26</f>
        <v>6022.511257271252</v>
      </c>
      <c r="AI17" s="29">
        <f>кр!AH26</f>
        <v>5931.266810776637</v>
      </c>
      <c r="AJ17" s="29">
        <f>кр!AI26</f>
        <v>5839.490105010803</v>
      </c>
      <c r="AK17" s="29">
        <f>кр!AJ26</f>
        <v>5747.178035128002</v>
      </c>
      <c r="AL17" s="29">
        <f>кр!AK26</f>
        <v>5654.327478170885</v>
      </c>
      <c r="AM17" s="29">
        <f>кр!AL26</f>
        <v>5560.935292964851</v>
      </c>
      <c r="AN17" s="29">
        <f>кр!AM26</f>
        <v>5466.998320011782</v>
      </c>
      <c r="AO17" s="29">
        <f>кр!AN26</f>
        <v>5372.513381383153</v>
      </c>
      <c r="AP17" s="27">
        <f t="shared" si="11"/>
        <v>70587.17265347706</v>
      </c>
      <c r="AQ17" s="33">
        <f>кр!BB26</f>
        <v>56896.45613837467</v>
      </c>
      <c r="AR17" s="33">
        <f>кр!BO26</f>
        <v>42216.036619415725</v>
      </c>
      <c r="AS17" s="33">
        <f>кр!CB26</f>
        <v>26474.368386427763</v>
      </c>
      <c r="AT17" s="33">
        <f>кр!CO26</f>
        <v>9594.733684065068</v>
      </c>
      <c r="AU17" s="33">
        <f>кр!DB26</f>
        <v>3.5524863051250584E-10</v>
      </c>
    </row>
    <row r="18" spans="1:47" ht="14.25" customHeight="1">
      <c r="A18" s="28" t="s">
        <v>208</v>
      </c>
      <c r="B18" s="27">
        <f t="shared" si="8"/>
        <v>1079178.0158714098</v>
      </c>
      <c r="C18" s="27"/>
      <c r="D18" s="29">
        <f>'2-ф2'!D16</f>
        <v>0</v>
      </c>
      <c r="E18" s="29">
        <f>'2-ф2'!E16</f>
        <v>0</v>
      </c>
      <c r="F18" s="29">
        <f>'2-ф2'!F16</f>
        <v>0</v>
      </c>
      <c r="G18" s="29">
        <f>'2-ф2'!G16</f>
        <v>0</v>
      </c>
      <c r="H18" s="29">
        <f>'2-ф2'!H16</f>
        <v>0</v>
      </c>
      <c r="I18" s="29">
        <f>'2-ф2'!I16</f>
        <v>0</v>
      </c>
      <c r="J18" s="29">
        <f>'2-ф2'!J16</f>
        <v>0</v>
      </c>
      <c r="K18" s="29">
        <f>'2-ф2'!K16</f>
        <v>0</v>
      </c>
      <c r="L18" s="29">
        <f>'2-ф2'!L16</f>
        <v>0</v>
      </c>
      <c r="M18" s="29">
        <f>'2-ф2'!M16</f>
        <v>0</v>
      </c>
      <c r="N18" s="29">
        <f>'2-ф2'!N16</f>
        <v>0</v>
      </c>
      <c r="O18" s="29">
        <f>'2-ф2'!O16</f>
        <v>0</v>
      </c>
      <c r="P18" s="27">
        <f t="shared" si="9"/>
        <v>0</v>
      </c>
      <c r="Q18" s="29">
        <f>'2-ф2'!Q16</f>
        <v>0</v>
      </c>
      <c r="R18" s="29">
        <f>'2-ф2'!R16</f>
        <v>0</v>
      </c>
      <c r="S18" s="29">
        <f>'2-ф2'!S16</f>
        <v>0</v>
      </c>
      <c r="T18" s="29">
        <f>'2-ф2'!T16</f>
        <v>0</v>
      </c>
      <c r="U18" s="29">
        <f>'2-ф2'!U16</f>
        <v>0</v>
      </c>
      <c r="V18" s="29">
        <f>'2-ф2'!V16</f>
        <v>1248.7590882904333</v>
      </c>
      <c r="W18" s="29">
        <f>'2-ф2'!W16</f>
        <v>4832.1690046710155</v>
      </c>
      <c r="X18" s="29">
        <f>'2-ф2'!X16</f>
        <v>4849.386746685209</v>
      </c>
      <c r="Y18" s="29">
        <f>'2-ф2'!Y16</f>
        <v>5996.901721446183</v>
      </c>
      <c r="Z18" s="29">
        <f>'2-ф2'!Z16</f>
        <v>7863.733861774218</v>
      </c>
      <c r="AA18" s="29">
        <f>'2-ф2'!AA16</f>
        <v>9216.94179778478</v>
      </c>
      <c r="AB18" s="29">
        <f>'2-ф2'!AB16</f>
        <v>9234.564816092136</v>
      </c>
      <c r="AC18" s="27">
        <f t="shared" si="10"/>
        <v>43242.45703674397</v>
      </c>
      <c r="AD18" s="29">
        <f>'2-ф2'!AD16</f>
        <v>10241.176552528394</v>
      </c>
      <c r="AE18" s="29">
        <f>'2-ф2'!AE16</f>
        <v>10259.005772388155</v>
      </c>
      <c r="AF18" s="29">
        <f>'2-ф2'!AF16</f>
        <v>10276.938996030429</v>
      </c>
      <c r="AG18" s="29">
        <f>'2-ф2'!AG16</f>
        <v>10294.976830143949</v>
      </c>
      <c r="AH18" s="29">
        <f>'2-ф2'!AH16</f>
        <v>10313.119884956466</v>
      </c>
      <c r="AI18" s="29">
        <f>'2-ф2'!AI16</f>
        <v>10331.368774255388</v>
      </c>
      <c r="AJ18" s="29">
        <f>'2-ф2'!AJ16</f>
        <v>11377.175748061614</v>
      </c>
      <c r="AK18" s="29">
        <f>'2-ф2'!AK16</f>
        <v>11395.638162038173</v>
      </c>
      <c r="AL18" s="29">
        <f>'2-ф2'!AL16</f>
        <v>11414.208273429596</v>
      </c>
      <c r="AM18" s="29">
        <f>'2-ф2'!AM16</f>
        <v>12460.338343123869</v>
      </c>
      <c r="AN18" s="29">
        <f>'2-ф2'!AN16</f>
        <v>12479.12573771448</v>
      </c>
      <c r="AO18" s="29">
        <f>'2-ф2'!AO16</f>
        <v>12498.022725440207</v>
      </c>
      <c r="AP18" s="27">
        <f t="shared" si="11"/>
        <v>133341.09580011072</v>
      </c>
      <c r="AQ18" s="29">
        <f>'2-ф2'!AQ16</f>
        <v>150999.0671093271</v>
      </c>
      <c r="AR18" s="29">
        <f>'2-ф2'!AR16</f>
        <v>165742.0083284256</v>
      </c>
      <c r="AS18" s="29">
        <f>'2-ф2'!AS16</f>
        <v>180665.05270775344</v>
      </c>
      <c r="AT18" s="29">
        <f>'2-ф2'!AT16</f>
        <v>195781.93646925088</v>
      </c>
      <c r="AU18" s="29">
        <f>'2-ф2'!AU16</f>
        <v>209406.3984197981</v>
      </c>
    </row>
    <row r="19" spans="1:47" ht="12.75">
      <c r="A19" s="28" t="s">
        <v>34</v>
      </c>
      <c r="B19" s="27">
        <f t="shared" si="8"/>
        <v>661374.1298409794</v>
      </c>
      <c r="C19" s="27"/>
      <c r="D19" s="29">
        <f>'2-ф2'!D29</f>
        <v>0</v>
      </c>
      <c r="E19" s="29">
        <f>'2-ф2'!E29</f>
        <v>0</v>
      </c>
      <c r="F19" s="29">
        <f>'2-ф2'!F29</f>
        <v>0</v>
      </c>
      <c r="G19" s="29">
        <f>'2-ф2'!G29</f>
        <v>0</v>
      </c>
      <c r="H19" s="29">
        <f>'2-ф2'!H29</f>
        <v>0</v>
      </c>
      <c r="I19" s="29">
        <f>'2-ф2'!I29</f>
        <v>0</v>
      </c>
      <c r="J19" s="29">
        <f>'2-ф2'!J29</f>
        <v>0</v>
      </c>
      <c r="K19" s="29">
        <f>'2-ф2'!K29</f>
        <v>0</v>
      </c>
      <c r="L19" s="29">
        <f>'2-ф2'!L29</f>
        <v>0</v>
      </c>
      <c r="M19" s="29">
        <f>'2-ф2'!M29</f>
        <v>0</v>
      </c>
      <c r="N19" s="29">
        <f>'2-ф2'!N29</f>
        <v>0</v>
      </c>
      <c r="O19" s="29">
        <f>'2-ф2'!O29</f>
        <v>0</v>
      </c>
      <c r="P19" s="27">
        <f t="shared" si="9"/>
        <v>0</v>
      </c>
      <c r="Q19" s="29">
        <f>'2-ф2'!Q29</f>
        <v>0</v>
      </c>
      <c r="R19" s="29">
        <f>'2-ф2'!R29</f>
        <v>0</v>
      </c>
      <c r="S19" s="29">
        <f>'2-ф2'!S29</f>
        <v>0</v>
      </c>
      <c r="T19" s="29">
        <f>'2-ф2'!T29</f>
        <v>0</v>
      </c>
      <c r="U19" s="29">
        <f>'2-ф2'!U29</f>
        <v>0</v>
      </c>
      <c r="V19" s="29">
        <f>'2-ф2'!V29</f>
        <v>0</v>
      </c>
      <c r="W19" s="29">
        <f>'2-ф2'!W29</f>
        <v>0</v>
      </c>
      <c r="X19" s="29">
        <f>'2-ф2'!X29</f>
        <v>0</v>
      </c>
      <c r="Y19" s="29">
        <f>'2-ф2'!Y29</f>
        <v>0</v>
      </c>
      <c r="Z19" s="29">
        <f>'2-ф2'!Z29</f>
        <v>0</v>
      </c>
      <c r="AA19" s="29">
        <f>'2-ф2'!AA29</f>
        <v>0</v>
      </c>
      <c r="AB19" s="29">
        <f>'2-ф2'!AB29</f>
        <v>0</v>
      </c>
      <c r="AC19" s="27">
        <f t="shared" si="10"/>
        <v>0</v>
      </c>
      <c r="AD19" s="29">
        <f>'2-ф2'!AD29</f>
        <v>0</v>
      </c>
      <c r="AE19" s="29">
        <f>'2-ф2'!AE29</f>
        <v>0</v>
      </c>
      <c r="AF19" s="29">
        <f>'2-ф2'!AF29</f>
        <v>0</v>
      </c>
      <c r="AG19" s="29">
        <f>'2-ф2'!AG29</f>
        <v>0</v>
      </c>
      <c r="AH19" s="29">
        <f>'2-ф2'!AH29</f>
        <v>0</v>
      </c>
      <c r="AI19" s="29">
        <f>'2-ф2'!AI29</f>
        <v>0</v>
      </c>
      <c r="AJ19" s="29">
        <f>'2-ф2'!AJ29</f>
        <v>0</v>
      </c>
      <c r="AK19" s="29">
        <f>'2-ф2'!AK29</f>
        <v>0</v>
      </c>
      <c r="AL19" s="29">
        <f>'2-ф2'!AL29</f>
        <v>0</v>
      </c>
      <c r="AM19" s="29">
        <f>'2-ф2'!AM29</f>
        <v>0</v>
      </c>
      <c r="AN19" s="29">
        <f>'2-ф2'!AN29</f>
        <v>0</v>
      </c>
      <c r="AO19" s="29">
        <f>'2-ф2'!AO29</f>
        <v>7616.318289795896</v>
      </c>
      <c r="AP19" s="27">
        <f t="shared" si="11"/>
        <v>7616.318289795896</v>
      </c>
      <c r="AQ19" s="29">
        <f>'2-ф2'!AQ29</f>
        <v>116185.14808163264</v>
      </c>
      <c r="AR19" s="29">
        <f>'2-ф2'!AR29</f>
        <v>123473.93583673466</v>
      </c>
      <c r="AS19" s="29">
        <f>'2-ф2'!AS29</f>
        <v>130757.28039183671</v>
      </c>
      <c r="AT19" s="29">
        <f>'2-ф2'!AT29</f>
        <v>138034.90958693874</v>
      </c>
      <c r="AU19" s="29">
        <f>'2-ф2'!AU29</f>
        <v>145306.5376540408</v>
      </c>
    </row>
    <row r="20" spans="1:47" s="21" customFormat="1" ht="25.5">
      <c r="A20" s="34" t="s">
        <v>19</v>
      </c>
      <c r="B20" s="18">
        <f>B9-B12</f>
        <v>5128206.583715582</v>
      </c>
      <c r="C20" s="18"/>
      <c r="D20" s="18">
        <f aca="true" t="shared" si="12" ref="D20:AU20">D9-D12</f>
        <v>0</v>
      </c>
      <c r="E20" s="18">
        <f t="shared" si="12"/>
        <v>0</v>
      </c>
      <c r="F20" s="18">
        <f t="shared" si="12"/>
        <v>0</v>
      </c>
      <c r="G20" s="18">
        <f t="shared" si="12"/>
        <v>0</v>
      </c>
      <c r="H20" s="18">
        <f t="shared" si="12"/>
        <v>0</v>
      </c>
      <c r="I20" s="18">
        <f t="shared" si="12"/>
        <v>0</v>
      </c>
      <c r="J20" s="18">
        <f t="shared" si="12"/>
        <v>0</v>
      </c>
      <c r="K20" s="18">
        <f t="shared" si="12"/>
        <v>0</v>
      </c>
      <c r="L20" s="18">
        <f t="shared" si="12"/>
        <v>0</v>
      </c>
      <c r="M20" s="18">
        <f t="shared" si="12"/>
        <v>0</v>
      </c>
      <c r="N20" s="18">
        <f t="shared" si="12"/>
        <v>0</v>
      </c>
      <c r="O20" s="18">
        <f t="shared" si="12"/>
        <v>-31012.416</v>
      </c>
      <c r="P20" s="18">
        <f t="shared" si="12"/>
        <v>-31012.416</v>
      </c>
      <c r="Q20" s="18">
        <f t="shared" si="12"/>
        <v>-7659.833982523476</v>
      </c>
      <c r="R20" s="18">
        <f t="shared" si="12"/>
        <v>-822.4120899868067</v>
      </c>
      <c r="S20" s="18">
        <f t="shared" si="12"/>
        <v>6015.494763589661</v>
      </c>
      <c r="T20" s="18">
        <f t="shared" si="12"/>
        <v>16074.761407145328</v>
      </c>
      <c r="U20" s="18">
        <f t="shared" si="12"/>
        <v>23757.93240040745</v>
      </c>
      <c r="V20" s="18">
        <f t="shared" si="12"/>
        <v>22594.2663742684</v>
      </c>
      <c r="W20" s="18">
        <f t="shared" si="12"/>
        <v>27226.761324806524</v>
      </c>
      <c r="X20" s="18">
        <f t="shared" si="12"/>
        <v>27295.632292863294</v>
      </c>
      <c r="Y20" s="18">
        <f t="shared" si="12"/>
        <v>35521.8510694582</v>
      </c>
      <c r="Z20" s="18">
        <f t="shared" si="12"/>
        <v>43561.00179403566</v>
      </c>
      <c r="AA20" s="18">
        <f t="shared" si="12"/>
        <v>53271.11221154728</v>
      </c>
      <c r="AB20" s="18">
        <f t="shared" si="12"/>
        <v>53341.6042847767</v>
      </c>
      <c r="AC20" s="18">
        <f t="shared" si="12"/>
        <v>300178.1718503883</v>
      </c>
      <c r="AD20" s="18">
        <f t="shared" si="12"/>
        <v>57976.293638685</v>
      </c>
      <c r="AE20" s="18">
        <f t="shared" si="12"/>
        <v>58047.610518124035</v>
      </c>
      <c r="AF20" s="18">
        <f t="shared" si="12"/>
        <v>58119.34341269314</v>
      </c>
      <c r="AG20" s="18">
        <f t="shared" si="12"/>
        <v>58191.49474914722</v>
      </c>
      <c r="AH20" s="18">
        <f t="shared" si="12"/>
        <v>58264.06696839728</v>
      </c>
      <c r="AI20" s="18">
        <f t="shared" si="12"/>
        <v>58337.06252559298</v>
      </c>
      <c r="AJ20" s="18">
        <f t="shared" si="12"/>
        <v>63136.76140040972</v>
      </c>
      <c r="AK20" s="18">
        <f t="shared" si="12"/>
        <v>63210.61105631596</v>
      </c>
      <c r="AL20" s="18">
        <f t="shared" si="12"/>
        <v>63284.891501881655</v>
      </c>
      <c r="AM20" s="18">
        <f t="shared" si="12"/>
        <v>68085.88276025056</v>
      </c>
      <c r="AN20" s="18">
        <f t="shared" si="12"/>
        <v>68161.03233861302</v>
      </c>
      <c r="AO20" s="18">
        <f t="shared" si="12"/>
        <v>60620.30199972003</v>
      </c>
      <c r="AP20" s="18">
        <f t="shared" si="12"/>
        <v>735435.3528698308</v>
      </c>
      <c r="AQ20" s="18">
        <f t="shared" si="12"/>
        <v>706641.7930087369</v>
      </c>
      <c r="AR20" s="18">
        <f t="shared" si="12"/>
        <v>765613.5578851313</v>
      </c>
      <c r="AS20" s="18">
        <f t="shared" si="12"/>
        <v>825305.7354024423</v>
      </c>
      <c r="AT20" s="18">
        <f t="shared" si="12"/>
        <v>885773.2704484321</v>
      </c>
      <c r="AU20" s="18">
        <f t="shared" si="12"/>
        <v>940271.1182506212</v>
      </c>
    </row>
    <row r="21" spans="1:47" s="21" customFormat="1" ht="12.75">
      <c r="A21" s="22" t="s">
        <v>20</v>
      </c>
      <c r="B21" s="23"/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3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35"/>
      <c r="AQ21" s="35"/>
      <c r="AR21" s="35"/>
      <c r="AS21" s="35"/>
      <c r="AT21" s="35"/>
      <c r="AU21" s="35"/>
    </row>
    <row r="22" spans="1:47" s="21" customFormat="1" ht="12.75">
      <c r="A22" s="26" t="s">
        <v>6</v>
      </c>
      <c r="B22" s="27"/>
      <c r="C22" s="2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7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27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7"/>
      <c r="AQ22" s="27"/>
      <c r="AR22" s="27"/>
      <c r="AS22" s="27"/>
      <c r="AT22" s="27"/>
      <c r="AU22" s="27"/>
    </row>
    <row r="23" spans="1:47" s="21" customFormat="1" ht="12.75">
      <c r="A23" s="26" t="s">
        <v>7</v>
      </c>
      <c r="B23" s="27">
        <f>SUM(B24:B25)</f>
        <v>1374319.3752000001</v>
      </c>
      <c r="C23" s="27"/>
      <c r="D23" s="27">
        <f aca="true" t="shared" si="13" ref="D23:AB23">SUM(D24:D25)</f>
        <v>0</v>
      </c>
      <c r="E23" s="27">
        <f t="shared" si="13"/>
        <v>0</v>
      </c>
      <c r="F23" s="27">
        <f t="shared" si="13"/>
        <v>0</v>
      </c>
      <c r="G23" s="27">
        <f t="shared" si="13"/>
        <v>134813.7</v>
      </c>
      <c r="H23" s="27">
        <f>SUM(H24:H25)</f>
        <v>134813.7</v>
      </c>
      <c r="I23" s="27">
        <f t="shared" si="13"/>
        <v>362414.0370666667</v>
      </c>
      <c r="J23" s="27">
        <f t="shared" si="13"/>
        <v>134813.7</v>
      </c>
      <c r="K23" s="27">
        <f t="shared" si="13"/>
        <v>362414.0370666667</v>
      </c>
      <c r="L23" s="27">
        <f t="shared" si="13"/>
        <v>0</v>
      </c>
      <c r="M23" s="27">
        <f t="shared" si="13"/>
        <v>227600.3370666667</v>
      </c>
      <c r="N23" s="27">
        <f t="shared" si="13"/>
        <v>17449.864</v>
      </c>
      <c r="O23" s="27">
        <f t="shared" si="13"/>
        <v>0</v>
      </c>
      <c r="P23" s="27">
        <f t="shared" si="13"/>
        <v>1374319.3752000001</v>
      </c>
      <c r="Q23" s="27">
        <f t="shared" si="13"/>
        <v>0</v>
      </c>
      <c r="R23" s="27">
        <f t="shared" si="13"/>
        <v>0</v>
      </c>
      <c r="S23" s="27">
        <f t="shared" si="13"/>
        <v>0</v>
      </c>
      <c r="T23" s="27">
        <f t="shared" si="13"/>
        <v>0</v>
      </c>
      <c r="U23" s="27">
        <f t="shared" si="13"/>
        <v>0</v>
      </c>
      <c r="V23" s="27">
        <f t="shared" si="13"/>
        <v>0</v>
      </c>
      <c r="W23" s="27">
        <f t="shared" si="13"/>
        <v>0</v>
      </c>
      <c r="X23" s="27">
        <f t="shared" si="13"/>
        <v>0</v>
      </c>
      <c r="Y23" s="27">
        <f t="shared" si="13"/>
        <v>0</v>
      </c>
      <c r="Z23" s="27">
        <f t="shared" si="13"/>
        <v>0</v>
      </c>
      <c r="AA23" s="27">
        <f t="shared" si="13"/>
        <v>0</v>
      </c>
      <c r="AB23" s="27">
        <f t="shared" si="13"/>
        <v>0</v>
      </c>
      <c r="AC23" s="27">
        <f>SUM(AC24:AC25)</f>
        <v>0</v>
      </c>
      <c r="AD23" s="27">
        <f aca="true" t="shared" si="14" ref="AD23:AP23">SUM(AD24:AD25)</f>
        <v>0</v>
      </c>
      <c r="AE23" s="27">
        <f t="shared" si="14"/>
        <v>0</v>
      </c>
      <c r="AF23" s="27">
        <f t="shared" si="14"/>
        <v>0</v>
      </c>
      <c r="AG23" s="27">
        <f t="shared" si="14"/>
        <v>0</v>
      </c>
      <c r="AH23" s="27">
        <f t="shared" si="14"/>
        <v>0</v>
      </c>
      <c r="AI23" s="27">
        <f t="shared" si="14"/>
        <v>0</v>
      </c>
      <c r="AJ23" s="27">
        <f t="shared" si="14"/>
        <v>0</v>
      </c>
      <c r="AK23" s="27">
        <f t="shared" si="14"/>
        <v>0</v>
      </c>
      <c r="AL23" s="27">
        <f t="shared" si="14"/>
        <v>0</v>
      </c>
      <c r="AM23" s="27">
        <f t="shared" si="14"/>
        <v>0</v>
      </c>
      <c r="AN23" s="27">
        <f t="shared" si="14"/>
        <v>0</v>
      </c>
      <c r="AO23" s="27">
        <f t="shared" si="14"/>
        <v>0</v>
      </c>
      <c r="AP23" s="27">
        <f t="shared" si="14"/>
        <v>0</v>
      </c>
      <c r="AQ23" s="27">
        <f>SUM(AQ24:AQ25)</f>
        <v>0</v>
      </c>
      <c r="AR23" s="27">
        <f>SUM(AR24:AR25)</f>
        <v>0</v>
      </c>
      <c r="AS23" s="27">
        <f>SUM(AS24:AS25)</f>
        <v>0</v>
      </c>
      <c r="AT23" s="27">
        <f>SUM(AT24:AT25)</f>
        <v>0</v>
      </c>
      <c r="AU23" s="27">
        <f>SUM(AU24:AU25)</f>
        <v>0</v>
      </c>
    </row>
    <row r="24" spans="1:47" ht="12.75">
      <c r="A24" s="37" t="s">
        <v>21</v>
      </c>
      <c r="B24" s="27">
        <f>P24+AC24+AP24+AQ24+AR24+AS24+AT24+AU24</f>
        <v>1374319.3752000001</v>
      </c>
      <c r="C24" s="27"/>
      <c r="D24" s="29">
        <f>Инв!E14</f>
        <v>0</v>
      </c>
      <c r="E24" s="29">
        <f>Инв!F14</f>
        <v>0</v>
      </c>
      <c r="F24" s="29">
        <f>Инв!G14</f>
        <v>0</v>
      </c>
      <c r="G24" s="29">
        <f>Инв!H14</f>
        <v>134813.7</v>
      </c>
      <c r="H24" s="29">
        <f>Инв!I14</f>
        <v>134813.7</v>
      </c>
      <c r="I24" s="29">
        <f>Инв!J14</f>
        <v>362414.0370666667</v>
      </c>
      <c r="J24" s="29">
        <f>Инв!K14</f>
        <v>134813.7</v>
      </c>
      <c r="K24" s="29">
        <f>Инв!L14</f>
        <v>362414.0370666667</v>
      </c>
      <c r="L24" s="29">
        <f>Инв!M14</f>
        <v>0</v>
      </c>
      <c r="M24" s="29">
        <f>Инв!N14</f>
        <v>227600.3370666667</v>
      </c>
      <c r="N24" s="29">
        <f>Инв!O14</f>
        <v>17449.864</v>
      </c>
      <c r="O24" s="29">
        <f>Инв!P14</f>
        <v>0</v>
      </c>
      <c r="P24" s="27">
        <f>SUM(D24:O24)</f>
        <v>1374319.3752000001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>
        <f>SUM(Q24:AB24)</f>
        <v>0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7">
        <f>SUM(AD24:AO24)</f>
        <v>0</v>
      </c>
      <c r="AQ24" s="27"/>
      <c r="AR24" s="27"/>
      <c r="AS24" s="27"/>
      <c r="AT24" s="27"/>
      <c r="AU24" s="27"/>
    </row>
    <row r="25" spans="1:47" ht="12.75" outlineLevel="1">
      <c r="A25" s="37"/>
      <c r="B25" s="27">
        <f>P25+AC25+AP25+AQ25+AR25+AS25+AT25+AU25</f>
        <v>0</v>
      </c>
      <c r="C25" s="2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7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7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7"/>
      <c r="AQ25" s="27"/>
      <c r="AR25" s="27"/>
      <c r="AS25" s="27"/>
      <c r="AT25" s="27"/>
      <c r="AU25" s="27"/>
    </row>
    <row r="26" spans="1:47" s="21" customFormat="1" ht="25.5">
      <c r="A26" s="38" t="s">
        <v>22</v>
      </c>
      <c r="B26" s="18">
        <f>B22-B23</f>
        <v>-1374319.3752000001</v>
      </c>
      <c r="C26" s="18"/>
      <c r="D26" s="18">
        <f>D22-D23</f>
        <v>0</v>
      </c>
      <c r="E26" s="18">
        <f aca="true" t="shared" si="15" ref="E26:AB26">E22-E23</f>
        <v>0</v>
      </c>
      <c r="F26" s="18">
        <f t="shared" si="15"/>
        <v>0</v>
      </c>
      <c r="G26" s="18">
        <f t="shared" si="15"/>
        <v>-134813.7</v>
      </c>
      <c r="H26" s="18">
        <f t="shared" si="15"/>
        <v>-134813.7</v>
      </c>
      <c r="I26" s="18">
        <f t="shared" si="15"/>
        <v>-362414.0370666667</v>
      </c>
      <c r="J26" s="18">
        <f>J22-J23</f>
        <v>-134813.7</v>
      </c>
      <c r="K26" s="18">
        <f t="shared" si="15"/>
        <v>-362414.0370666667</v>
      </c>
      <c r="L26" s="18">
        <f t="shared" si="15"/>
        <v>0</v>
      </c>
      <c r="M26" s="18">
        <f t="shared" si="15"/>
        <v>-227600.3370666667</v>
      </c>
      <c r="N26" s="18">
        <f t="shared" si="15"/>
        <v>-17449.864</v>
      </c>
      <c r="O26" s="18">
        <f t="shared" si="15"/>
        <v>0</v>
      </c>
      <c r="P26" s="18">
        <f>SUM(D26:O26)</f>
        <v>-1374319.3752000001</v>
      </c>
      <c r="Q26" s="18">
        <f t="shared" si="15"/>
        <v>0</v>
      </c>
      <c r="R26" s="18">
        <f t="shared" si="15"/>
        <v>0</v>
      </c>
      <c r="S26" s="18">
        <f t="shared" si="15"/>
        <v>0</v>
      </c>
      <c r="T26" s="18">
        <f t="shared" si="15"/>
        <v>0</v>
      </c>
      <c r="U26" s="18">
        <f t="shared" si="15"/>
        <v>0</v>
      </c>
      <c r="V26" s="18">
        <f t="shared" si="15"/>
        <v>0</v>
      </c>
      <c r="W26" s="18">
        <f t="shared" si="15"/>
        <v>0</v>
      </c>
      <c r="X26" s="18">
        <f t="shared" si="15"/>
        <v>0</v>
      </c>
      <c r="Y26" s="18">
        <f t="shared" si="15"/>
        <v>0</v>
      </c>
      <c r="Z26" s="18">
        <f t="shared" si="15"/>
        <v>0</v>
      </c>
      <c r="AA26" s="18">
        <f t="shared" si="15"/>
        <v>0</v>
      </c>
      <c r="AB26" s="18">
        <f t="shared" si="15"/>
        <v>0</v>
      </c>
      <c r="AC26" s="18">
        <f>SUM(Q26:AB26)</f>
        <v>0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>
        <f>SUM(AD26:AO26)</f>
        <v>0</v>
      </c>
      <c r="AQ26" s="18"/>
      <c r="AR26" s="18"/>
      <c r="AS26" s="18"/>
      <c r="AT26" s="18"/>
      <c r="AU26" s="18"/>
    </row>
    <row r="27" spans="1:47" s="42" customFormat="1" ht="12.75">
      <c r="A27" s="39" t="s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Q27" s="41"/>
      <c r="AR27" s="41"/>
      <c r="AS27" s="41"/>
      <c r="AT27" s="41"/>
      <c r="AU27" s="41"/>
    </row>
    <row r="28" spans="1:47" s="21" customFormat="1" ht="12.75">
      <c r="A28" s="22" t="s">
        <v>24</v>
      </c>
      <c r="B28" s="23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3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35"/>
      <c r="AQ28" s="35"/>
      <c r="AR28" s="35"/>
      <c r="AS28" s="35"/>
      <c r="AT28" s="35"/>
      <c r="AU28" s="35"/>
    </row>
    <row r="29" spans="1:47" s="21" customFormat="1" ht="12.75">
      <c r="A29" s="26" t="s">
        <v>6</v>
      </c>
      <c r="B29" s="27">
        <f>SUM(B30:B31)</f>
        <v>1455331.7912</v>
      </c>
      <c r="C29" s="27"/>
      <c r="D29" s="27">
        <f>SUM(D30:D31)</f>
        <v>0</v>
      </c>
      <c r="E29" s="27">
        <f aca="true" t="shared" si="16" ref="E29:O29">SUM(E30:E31)</f>
        <v>0</v>
      </c>
      <c r="F29" s="27">
        <f t="shared" si="16"/>
        <v>0</v>
      </c>
      <c r="G29" s="27">
        <f t="shared" si="16"/>
        <v>134813.7</v>
      </c>
      <c r="H29" s="27">
        <f t="shared" si="16"/>
        <v>134813.7</v>
      </c>
      <c r="I29" s="27">
        <f t="shared" si="16"/>
        <v>362414.0370666667</v>
      </c>
      <c r="J29" s="27">
        <f t="shared" si="16"/>
        <v>134813.7</v>
      </c>
      <c r="K29" s="27">
        <f t="shared" si="16"/>
        <v>362414.0370666667</v>
      </c>
      <c r="L29" s="27">
        <f t="shared" si="16"/>
        <v>0</v>
      </c>
      <c r="M29" s="27">
        <f t="shared" si="16"/>
        <v>227600.3370666667</v>
      </c>
      <c r="N29" s="27">
        <f t="shared" si="16"/>
        <v>17449.864</v>
      </c>
      <c r="O29" s="27">
        <f t="shared" si="16"/>
        <v>81012.416</v>
      </c>
      <c r="P29" s="27">
        <f aca="true" t="shared" si="17" ref="P29:AB29">SUM(P30:P31)</f>
        <v>1455331.7912</v>
      </c>
      <c r="Q29" s="27">
        <f t="shared" si="17"/>
        <v>0</v>
      </c>
      <c r="R29" s="27">
        <f t="shared" si="17"/>
        <v>0</v>
      </c>
      <c r="S29" s="27">
        <f t="shared" si="17"/>
        <v>0</v>
      </c>
      <c r="T29" s="27">
        <f t="shared" si="17"/>
        <v>0</v>
      </c>
      <c r="U29" s="27">
        <f t="shared" si="17"/>
        <v>0</v>
      </c>
      <c r="V29" s="27">
        <f t="shared" si="17"/>
        <v>0</v>
      </c>
      <c r="W29" s="27">
        <f t="shared" si="17"/>
        <v>0</v>
      </c>
      <c r="X29" s="27">
        <f t="shared" si="17"/>
        <v>0</v>
      </c>
      <c r="Y29" s="27">
        <f t="shared" si="17"/>
        <v>0</v>
      </c>
      <c r="Z29" s="27">
        <f t="shared" si="17"/>
        <v>0</v>
      </c>
      <c r="AA29" s="27">
        <f t="shared" si="17"/>
        <v>0</v>
      </c>
      <c r="AB29" s="27">
        <f t="shared" si="17"/>
        <v>0</v>
      </c>
      <c r="AC29" s="27">
        <f>SUM(AC30:AC31)</f>
        <v>0</v>
      </c>
      <c r="AD29" s="27">
        <f aca="true" t="shared" si="18" ref="AD29:AP29">SUM(AD30:AD31)</f>
        <v>0</v>
      </c>
      <c r="AE29" s="27">
        <f t="shared" si="18"/>
        <v>0</v>
      </c>
      <c r="AF29" s="27">
        <f t="shared" si="18"/>
        <v>0</v>
      </c>
      <c r="AG29" s="27">
        <f t="shared" si="18"/>
        <v>0</v>
      </c>
      <c r="AH29" s="27">
        <f t="shared" si="18"/>
        <v>0</v>
      </c>
      <c r="AI29" s="27">
        <f t="shared" si="18"/>
        <v>0</v>
      </c>
      <c r="AJ29" s="27">
        <f t="shared" si="18"/>
        <v>0</v>
      </c>
      <c r="AK29" s="27">
        <f t="shared" si="18"/>
        <v>0</v>
      </c>
      <c r="AL29" s="27">
        <f t="shared" si="18"/>
        <v>0</v>
      </c>
      <c r="AM29" s="27">
        <f t="shared" si="18"/>
        <v>0</v>
      </c>
      <c r="AN29" s="27">
        <f t="shared" si="18"/>
        <v>0</v>
      </c>
      <c r="AO29" s="27">
        <f t="shared" si="18"/>
        <v>0</v>
      </c>
      <c r="AP29" s="27">
        <f t="shared" si="18"/>
        <v>0</v>
      </c>
      <c r="AQ29" s="27">
        <f>SUM(AQ30:AQ31)</f>
        <v>0</v>
      </c>
      <c r="AR29" s="27">
        <f>SUM(AR30:AR31)</f>
        <v>0</v>
      </c>
      <c r="AS29" s="27">
        <f>SUM(AS30:AS31)</f>
        <v>0</v>
      </c>
      <c r="AT29" s="27">
        <f>SUM(AT30:AT31)</f>
        <v>0</v>
      </c>
      <c r="AU29" s="27">
        <f>SUM(AU30:AU31)</f>
        <v>0</v>
      </c>
    </row>
    <row r="30" spans="1:47" ht="12.75" customHeight="1">
      <c r="A30" s="37" t="s">
        <v>56</v>
      </c>
      <c r="B30" s="27">
        <f>P30+AC30+AP30+AQ30+AR30+AS30+AT30+AU30</f>
        <v>218299.76868</v>
      </c>
      <c r="C30" s="27"/>
      <c r="D30" s="29"/>
      <c r="E30" s="29"/>
      <c r="F30" s="29"/>
      <c r="G30" s="29">
        <f>G23*0.15</f>
        <v>20222.055</v>
      </c>
      <c r="H30" s="29">
        <f aca="true" t="shared" si="19" ref="H30:N30">H23*0.15</f>
        <v>20222.055</v>
      </c>
      <c r="I30" s="29">
        <f t="shared" si="19"/>
        <v>54362.10556</v>
      </c>
      <c r="J30" s="29">
        <f t="shared" si="19"/>
        <v>20222.055</v>
      </c>
      <c r="K30" s="29">
        <f t="shared" si="19"/>
        <v>54362.10556</v>
      </c>
      <c r="L30" s="29">
        <f t="shared" si="19"/>
        <v>0</v>
      </c>
      <c r="M30" s="29">
        <f t="shared" si="19"/>
        <v>34140.05056</v>
      </c>
      <c r="N30" s="29">
        <f t="shared" si="19"/>
        <v>2617.4796</v>
      </c>
      <c r="O30" s="29">
        <f>(O23+O13+O14+50000)*0.15</f>
        <v>12151.8624</v>
      </c>
      <c r="P30" s="27">
        <f>SUM(D30:O30)</f>
        <v>218299.76868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7">
        <f>SUM(Q30:AB30)</f>
        <v>0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>
        <f>SUM(AD30:AO30)</f>
        <v>0</v>
      </c>
      <c r="AQ30" s="27"/>
      <c r="AR30" s="27"/>
      <c r="AS30" s="27"/>
      <c r="AT30" s="27"/>
      <c r="AU30" s="27"/>
    </row>
    <row r="31" spans="1:47" ht="12.75">
      <c r="A31" s="43" t="s">
        <v>160</v>
      </c>
      <c r="B31" s="27">
        <f>P31+AC31+AP31+AQ31+AR31+AS31+AT31+AU31</f>
        <v>1237032.02252</v>
      </c>
      <c r="C31" s="27"/>
      <c r="D31" s="29"/>
      <c r="E31" s="29"/>
      <c r="F31" s="29"/>
      <c r="G31" s="29">
        <f>G23-G30</f>
        <v>114591.64500000002</v>
      </c>
      <c r="H31" s="29">
        <f aca="true" t="shared" si="20" ref="H31:N31">H23-H30</f>
        <v>114591.64500000002</v>
      </c>
      <c r="I31" s="29">
        <f t="shared" si="20"/>
        <v>308051.9315066667</v>
      </c>
      <c r="J31" s="29">
        <f t="shared" si="20"/>
        <v>114591.64500000002</v>
      </c>
      <c r="K31" s="29">
        <f t="shared" si="20"/>
        <v>308051.9315066667</v>
      </c>
      <c r="L31" s="29">
        <f t="shared" si="20"/>
        <v>0</v>
      </c>
      <c r="M31" s="29">
        <f t="shared" si="20"/>
        <v>193460.2865066667</v>
      </c>
      <c r="N31" s="29">
        <f t="shared" si="20"/>
        <v>14832.3844</v>
      </c>
      <c r="O31" s="29">
        <f>O23+O13+O14-O30+50000</f>
        <v>68860.5536</v>
      </c>
      <c r="P31" s="27">
        <f>SUM(D31:O31)</f>
        <v>1237032.02252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7">
        <f>SUM(Q31:AB31)</f>
        <v>0</v>
      </c>
      <c r="AD31" s="29"/>
      <c r="AE31" s="29"/>
      <c r="AF31" s="29"/>
      <c r="AG31" s="29"/>
      <c r="AH31" s="29"/>
      <c r="AI31" s="29"/>
      <c r="AJ31" s="44"/>
      <c r="AK31" s="44"/>
      <c r="AL31" s="44"/>
      <c r="AM31" s="44"/>
      <c r="AN31" s="44"/>
      <c r="AO31" s="44"/>
      <c r="AP31" s="27">
        <f>SUM(AD31:AO31)</f>
        <v>0</v>
      </c>
      <c r="AQ31" s="27"/>
      <c r="AR31" s="27"/>
      <c r="AS31" s="27"/>
      <c r="AT31" s="27"/>
      <c r="AU31" s="27"/>
    </row>
    <row r="32" spans="1:47" s="21" customFormat="1" ht="12.75">
      <c r="A32" s="26" t="s">
        <v>7</v>
      </c>
      <c r="B32" s="27">
        <f>SUM(B33:B34)</f>
        <v>1270714.3026927952</v>
      </c>
      <c r="C32" s="27"/>
      <c r="D32" s="27">
        <f>SUM(D33:D34)</f>
        <v>0</v>
      </c>
      <c r="E32" s="27">
        <f aca="true" t="shared" si="21" ref="E32:AR32">SUM(E33:E34)</f>
        <v>0</v>
      </c>
      <c r="F32" s="27">
        <f t="shared" si="21"/>
        <v>0</v>
      </c>
      <c r="G32" s="27">
        <f t="shared" si="21"/>
        <v>0</v>
      </c>
      <c r="H32" s="27">
        <f t="shared" si="21"/>
        <v>0</v>
      </c>
      <c r="I32" s="27">
        <f>SUM(I33:I34)</f>
        <v>0</v>
      </c>
      <c r="J32" s="27">
        <f t="shared" si="21"/>
        <v>0</v>
      </c>
      <c r="K32" s="27">
        <f t="shared" si="21"/>
        <v>0</v>
      </c>
      <c r="L32" s="27">
        <f t="shared" si="21"/>
        <v>0</v>
      </c>
      <c r="M32" s="27">
        <f t="shared" si="21"/>
        <v>0</v>
      </c>
      <c r="N32" s="27">
        <f t="shared" si="21"/>
        <v>0</v>
      </c>
      <c r="O32" s="27">
        <f t="shared" si="21"/>
        <v>0</v>
      </c>
      <c r="P32" s="27">
        <f t="shared" si="21"/>
        <v>0</v>
      </c>
      <c r="Q32" s="27">
        <f t="shared" si="21"/>
        <v>14251.91627159252</v>
      </c>
      <c r="R32" s="27">
        <f t="shared" si="21"/>
        <v>14335.052449843475</v>
      </c>
      <c r="S32" s="27">
        <f t="shared" si="21"/>
        <v>14418.673589134229</v>
      </c>
      <c r="T32" s="27">
        <f t="shared" si="21"/>
        <v>14502.78251840418</v>
      </c>
      <c r="U32" s="27">
        <f t="shared" si="21"/>
        <v>14587.382083094868</v>
      </c>
      <c r="V32" s="27">
        <f t="shared" si="21"/>
        <v>14672.475145246255</v>
      </c>
      <c r="W32" s="27">
        <f t="shared" si="21"/>
        <v>14758.064583593528</v>
      </c>
      <c r="X32" s="27">
        <f t="shared" si="21"/>
        <v>14844.15329366449</v>
      </c>
      <c r="Y32" s="27">
        <f t="shared" si="21"/>
        <v>14930.744187877532</v>
      </c>
      <c r="Z32" s="27">
        <f t="shared" si="21"/>
        <v>15017.84019564015</v>
      </c>
      <c r="AA32" s="27">
        <f t="shared" si="21"/>
        <v>15105.444263448051</v>
      </c>
      <c r="AB32" s="27">
        <f t="shared" si="21"/>
        <v>15193.55935498483</v>
      </c>
      <c r="AC32" s="27">
        <f>SUM(AC33:AC34)</f>
        <v>176618.08793652413</v>
      </c>
      <c r="AD32" s="27">
        <f aca="true" t="shared" si="22" ref="AD32:AP32">SUM(AD33:AD34)</f>
        <v>15282.188451222246</v>
      </c>
      <c r="AE32" s="27">
        <f t="shared" si="22"/>
        <v>15371.334550521042</v>
      </c>
      <c r="AF32" s="27">
        <f t="shared" si="22"/>
        <v>15461.000668732413</v>
      </c>
      <c r="AG32" s="27">
        <f t="shared" si="22"/>
        <v>15551.18983930002</v>
      </c>
      <c r="AH32" s="27">
        <f t="shared" si="22"/>
        <v>15641.905113362602</v>
      </c>
      <c r="AI32" s="27">
        <f t="shared" si="22"/>
        <v>15733.149559857218</v>
      </c>
      <c r="AJ32" s="27">
        <f t="shared" si="22"/>
        <v>15824.926265623053</v>
      </c>
      <c r="AK32" s="27">
        <f t="shared" si="22"/>
        <v>15917.238335505852</v>
      </c>
      <c r="AL32" s="27">
        <f t="shared" si="22"/>
        <v>16010.088892462969</v>
      </c>
      <c r="AM32" s="27">
        <f t="shared" si="22"/>
        <v>16103.481077669003</v>
      </c>
      <c r="AN32" s="27">
        <f t="shared" si="22"/>
        <v>16197.418050622073</v>
      </c>
      <c r="AO32" s="27">
        <f t="shared" si="22"/>
        <v>16291.902989250702</v>
      </c>
      <c r="AP32" s="27">
        <f t="shared" si="22"/>
        <v>189385.8237941292</v>
      </c>
      <c r="AQ32" s="27">
        <f t="shared" si="21"/>
        <v>203076.54030923158</v>
      </c>
      <c r="AR32" s="27">
        <f t="shared" si="21"/>
        <v>217756.95982819056</v>
      </c>
      <c r="AS32" s="27">
        <f>SUM(AS33:AS34)</f>
        <v>233498.62806117852</v>
      </c>
      <c r="AT32" s="27">
        <f>SUM(AT33:AT34)</f>
        <v>250378.2627635412</v>
      </c>
      <c r="AU32" s="27">
        <f>SUM(AU33:AU34)</f>
        <v>0</v>
      </c>
    </row>
    <row r="33" spans="1:47" ht="12.75">
      <c r="A33" s="28" t="s">
        <v>33</v>
      </c>
      <c r="B33" s="27">
        <f>P33+AC33+AP33+AQ33+AR33+AS33+AT33+AU33</f>
        <v>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27">
        <f>SUM(D33:O33)</f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27">
        <f>SUM(Q33:AB33)</f>
        <v>0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7">
        <f>SUM(AD33:AO33)</f>
        <v>0</v>
      </c>
      <c r="AQ33" s="27"/>
      <c r="AR33" s="27"/>
      <c r="AS33" s="27"/>
      <c r="AT33" s="27"/>
      <c r="AU33" s="27"/>
    </row>
    <row r="34" spans="1:47" ht="13.5" customHeight="1">
      <c r="A34" s="37" t="s">
        <v>159</v>
      </c>
      <c r="B34" s="27">
        <f>P34+AC34+AP34+AQ34+AR34+AS34+AT34+AU34</f>
        <v>1270714.3026927952</v>
      </c>
      <c r="C34" s="27"/>
      <c r="D34" s="33">
        <f>кр!C25</f>
        <v>0</v>
      </c>
      <c r="E34" s="33">
        <f>кр!D25</f>
        <v>0</v>
      </c>
      <c r="F34" s="33">
        <f>кр!E25</f>
        <v>0</v>
      </c>
      <c r="G34" s="33">
        <f>кр!F25</f>
        <v>0</v>
      </c>
      <c r="H34" s="33">
        <f>кр!G25</f>
        <v>0</v>
      </c>
      <c r="I34" s="33">
        <f>кр!H25</f>
        <v>0</v>
      </c>
      <c r="J34" s="33">
        <f>кр!I25</f>
        <v>0</v>
      </c>
      <c r="K34" s="33">
        <f>кр!J25</f>
        <v>0</v>
      </c>
      <c r="L34" s="33">
        <f>кр!K25</f>
        <v>0</v>
      </c>
      <c r="M34" s="33">
        <f>кр!L25</f>
        <v>0</v>
      </c>
      <c r="N34" s="33">
        <f>кр!M25</f>
        <v>0</v>
      </c>
      <c r="O34" s="33">
        <f>кр!N25</f>
        <v>0</v>
      </c>
      <c r="P34" s="27">
        <f>SUM(D34:O34)</f>
        <v>0</v>
      </c>
      <c r="Q34" s="33">
        <f>кр!P25</f>
        <v>14251.91627159252</v>
      </c>
      <c r="R34" s="33">
        <f>кр!Q25</f>
        <v>14335.052449843475</v>
      </c>
      <c r="S34" s="33">
        <f>кр!R25</f>
        <v>14418.673589134229</v>
      </c>
      <c r="T34" s="33">
        <f>кр!S25</f>
        <v>14502.78251840418</v>
      </c>
      <c r="U34" s="33">
        <f>кр!T25</f>
        <v>14587.382083094868</v>
      </c>
      <c r="V34" s="33">
        <f>кр!U25</f>
        <v>14672.475145246255</v>
      </c>
      <c r="W34" s="33">
        <f>кр!V25</f>
        <v>14758.064583593528</v>
      </c>
      <c r="X34" s="33">
        <f>кр!W25</f>
        <v>14844.15329366449</v>
      </c>
      <c r="Y34" s="33">
        <f>кр!X25</f>
        <v>14930.744187877532</v>
      </c>
      <c r="Z34" s="33">
        <f>кр!Y25</f>
        <v>15017.84019564015</v>
      </c>
      <c r="AA34" s="33">
        <f>кр!Z25</f>
        <v>15105.444263448051</v>
      </c>
      <c r="AB34" s="33">
        <f>кр!AA25</f>
        <v>15193.55935498483</v>
      </c>
      <c r="AC34" s="27">
        <f>SUM(Q34:AB34)</f>
        <v>176618.08793652413</v>
      </c>
      <c r="AD34" s="33">
        <f>кр!AC25</f>
        <v>15282.188451222246</v>
      </c>
      <c r="AE34" s="33">
        <f>кр!AD25</f>
        <v>15371.334550521042</v>
      </c>
      <c r="AF34" s="33">
        <f>кр!AE25</f>
        <v>15461.000668732413</v>
      </c>
      <c r="AG34" s="33">
        <f>кр!AF25</f>
        <v>15551.18983930002</v>
      </c>
      <c r="AH34" s="33">
        <f>кр!AG25</f>
        <v>15641.905113362602</v>
      </c>
      <c r="AI34" s="33">
        <f>кр!AH25</f>
        <v>15733.149559857218</v>
      </c>
      <c r="AJ34" s="33">
        <f>кр!AI25</f>
        <v>15824.926265623053</v>
      </c>
      <c r="AK34" s="33">
        <f>кр!AJ25</f>
        <v>15917.238335505852</v>
      </c>
      <c r="AL34" s="33">
        <f>кр!AK25</f>
        <v>16010.088892462969</v>
      </c>
      <c r="AM34" s="33">
        <f>кр!AL25</f>
        <v>16103.481077669003</v>
      </c>
      <c r="AN34" s="33">
        <f>кр!AM25</f>
        <v>16197.418050622073</v>
      </c>
      <c r="AO34" s="33">
        <f>кр!AN25</f>
        <v>16291.902989250702</v>
      </c>
      <c r="AP34" s="27">
        <f>SUM(AD34:AO34)</f>
        <v>189385.8237941292</v>
      </c>
      <c r="AQ34" s="33">
        <f>кр!BB25</f>
        <v>203076.54030923158</v>
      </c>
      <c r="AR34" s="33">
        <f>кр!BO25</f>
        <v>217756.95982819056</v>
      </c>
      <c r="AS34" s="33">
        <f>кр!CB25</f>
        <v>233498.62806117852</v>
      </c>
      <c r="AT34" s="33">
        <f>кр!CO25</f>
        <v>250378.2627635412</v>
      </c>
      <c r="AU34" s="33">
        <f>кр!DB25</f>
        <v>0</v>
      </c>
    </row>
    <row r="35" spans="1:47" s="21" customFormat="1" ht="12.75">
      <c r="A35" s="38" t="s">
        <v>25</v>
      </c>
      <c r="B35" s="18">
        <f>B29-B32</f>
        <v>184617.48850720492</v>
      </c>
      <c r="C35" s="18"/>
      <c r="D35" s="18">
        <f>D29-D32</f>
        <v>0</v>
      </c>
      <c r="E35" s="18">
        <f aca="true" t="shared" si="23" ref="E35:AR35">E29-E32</f>
        <v>0</v>
      </c>
      <c r="F35" s="18">
        <f t="shared" si="23"/>
        <v>0</v>
      </c>
      <c r="G35" s="18">
        <f t="shared" si="23"/>
        <v>134813.7</v>
      </c>
      <c r="H35" s="18">
        <f t="shared" si="23"/>
        <v>134813.7</v>
      </c>
      <c r="I35" s="18">
        <f t="shared" si="23"/>
        <v>362414.0370666667</v>
      </c>
      <c r="J35" s="18">
        <f t="shared" si="23"/>
        <v>134813.7</v>
      </c>
      <c r="K35" s="18">
        <f t="shared" si="23"/>
        <v>362414.0370666667</v>
      </c>
      <c r="L35" s="18">
        <f t="shared" si="23"/>
        <v>0</v>
      </c>
      <c r="M35" s="18">
        <f t="shared" si="23"/>
        <v>227600.3370666667</v>
      </c>
      <c r="N35" s="18">
        <f t="shared" si="23"/>
        <v>17449.864</v>
      </c>
      <c r="O35" s="18">
        <f t="shared" si="23"/>
        <v>81012.416</v>
      </c>
      <c r="P35" s="18">
        <f t="shared" si="23"/>
        <v>1455331.7912</v>
      </c>
      <c r="Q35" s="18">
        <f t="shared" si="23"/>
        <v>-14251.91627159252</v>
      </c>
      <c r="R35" s="18">
        <f t="shared" si="23"/>
        <v>-14335.052449843475</v>
      </c>
      <c r="S35" s="18">
        <f t="shared" si="23"/>
        <v>-14418.673589134229</v>
      </c>
      <c r="T35" s="18">
        <f t="shared" si="23"/>
        <v>-14502.78251840418</v>
      </c>
      <c r="U35" s="18">
        <f t="shared" si="23"/>
        <v>-14587.382083094868</v>
      </c>
      <c r="V35" s="18">
        <f t="shared" si="23"/>
        <v>-14672.475145246255</v>
      </c>
      <c r="W35" s="18">
        <f t="shared" si="23"/>
        <v>-14758.064583593528</v>
      </c>
      <c r="X35" s="18">
        <f t="shared" si="23"/>
        <v>-14844.15329366449</v>
      </c>
      <c r="Y35" s="18">
        <f t="shared" si="23"/>
        <v>-14930.744187877532</v>
      </c>
      <c r="Z35" s="18">
        <f t="shared" si="23"/>
        <v>-15017.84019564015</v>
      </c>
      <c r="AA35" s="18">
        <f t="shared" si="23"/>
        <v>-15105.444263448051</v>
      </c>
      <c r="AB35" s="18">
        <f t="shared" si="23"/>
        <v>-15193.55935498483</v>
      </c>
      <c r="AC35" s="18">
        <f>AC29-AC32</f>
        <v>-176618.08793652413</v>
      </c>
      <c r="AD35" s="18">
        <f aca="true" t="shared" si="24" ref="AD35:AP35">AD29-AD32</f>
        <v>-15282.188451222246</v>
      </c>
      <c r="AE35" s="18">
        <f t="shared" si="24"/>
        <v>-15371.334550521042</v>
      </c>
      <c r="AF35" s="18">
        <f t="shared" si="24"/>
        <v>-15461.000668732413</v>
      </c>
      <c r="AG35" s="18">
        <f t="shared" si="24"/>
        <v>-15551.18983930002</v>
      </c>
      <c r="AH35" s="18">
        <f t="shared" si="24"/>
        <v>-15641.905113362602</v>
      </c>
      <c r="AI35" s="18">
        <f t="shared" si="24"/>
        <v>-15733.149559857218</v>
      </c>
      <c r="AJ35" s="18">
        <f t="shared" si="24"/>
        <v>-15824.926265623053</v>
      </c>
      <c r="AK35" s="18">
        <f t="shared" si="24"/>
        <v>-15917.238335505852</v>
      </c>
      <c r="AL35" s="18">
        <f t="shared" si="24"/>
        <v>-16010.088892462969</v>
      </c>
      <c r="AM35" s="18">
        <f t="shared" si="24"/>
        <v>-16103.481077669003</v>
      </c>
      <c r="AN35" s="18">
        <f t="shared" si="24"/>
        <v>-16197.418050622073</v>
      </c>
      <c r="AO35" s="18">
        <f t="shared" si="24"/>
        <v>-16291.902989250702</v>
      </c>
      <c r="AP35" s="18">
        <f t="shared" si="24"/>
        <v>-189385.8237941292</v>
      </c>
      <c r="AQ35" s="18">
        <f t="shared" si="23"/>
        <v>-203076.54030923158</v>
      </c>
      <c r="AR35" s="18">
        <f t="shared" si="23"/>
        <v>-217756.95982819056</v>
      </c>
      <c r="AS35" s="18">
        <f>AS29-AS32</f>
        <v>-233498.62806117852</v>
      </c>
      <c r="AT35" s="18">
        <f>AT29-AT32</f>
        <v>-250378.2627635412</v>
      </c>
      <c r="AU35" s="18">
        <f>AU29-AU32</f>
        <v>0</v>
      </c>
    </row>
    <row r="36" spans="1:47" s="47" customFormat="1" ht="12.75">
      <c r="A36" s="45" t="s">
        <v>26</v>
      </c>
      <c r="B36" s="46">
        <f>B20+B26+B35</f>
        <v>3938504.6970227873</v>
      </c>
      <c r="C36" s="27"/>
      <c r="D36" s="46">
        <f>D20+D26+D35</f>
        <v>0</v>
      </c>
      <c r="E36" s="46">
        <f aca="true" t="shared" si="25" ref="E36:AR36">E20+E26+E35</f>
        <v>0</v>
      </c>
      <c r="F36" s="46">
        <f t="shared" si="25"/>
        <v>0</v>
      </c>
      <c r="G36" s="46">
        <f t="shared" si="25"/>
        <v>0</v>
      </c>
      <c r="H36" s="46">
        <f t="shared" si="25"/>
        <v>0</v>
      </c>
      <c r="I36" s="46">
        <f t="shared" si="25"/>
        <v>0</v>
      </c>
      <c r="J36" s="46">
        <f t="shared" si="25"/>
        <v>0</v>
      </c>
      <c r="K36" s="46">
        <f t="shared" si="25"/>
        <v>0</v>
      </c>
      <c r="L36" s="46">
        <f t="shared" si="25"/>
        <v>0</v>
      </c>
      <c r="M36" s="46">
        <f t="shared" si="25"/>
        <v>0</v>
      </c>
      <c r="N36" s="46">
        <f t="shared" si="25"/>
        <v>0</v>
      </c>
      <c r="O36" s="46">
        <f t="shared" si="25"/>
        <v>50000</v>
      </c>
      <c r="P36" s="46">
        <f t="shared" si="25"/>
        <v>50000</v>
      </c>
      <c r="Q36" s="46">
        <f t="shared" si="25"/>
        <v>-21911.750254115996</v>
      </c>
      <c r="R36" s="46">
        <f t="shared" si="25"/>
        <v>-15157.464539830282</v>
      </c>
      <c r="S36" s="46">
        <f t="shared" si="25"/>
        <v>-8403.178825544568</v>
      </c>
      <c r="T36" s="46">
        <f t="shared" si="25"/>
        <v>1571.9788887411487</v>
      </c>
      <c r="U36" s="46">
        <f t="shared" si="25"/>
        <v>9170.550317312584</v>
      </c>
      <c r="V36" s="46">
        <f t="shared" si="25"/>
        <v>7921.791229022147</v>
      </c>
      <c r="W36" s="46">
        <f t="shared" si="25"/>
        <v>12468.696741212996</v>
      </c>
      <c r="X36" s="46">
        <f t="shared" si="25"/>
        <v>12451.478999198804</v>
      </c>
      <c r="Y36" s="46">
        <f t="shared" si="25"/>
        <v>20591.10688158067</v>
      </c>
      <c r="Z36" s="46">
        <f t="shared" si="25"/>
        <v>28543.161598395513</v>
      </c>
      <c r="AA36" s="46">
        <f t="shared" si="25"/>
        <v>38165.66794809923</v>
      </c>
      <c r="AB36" s="46">
        <f t="shared" si="25"/>
        <v>38148.04492979187</v>
      </c>
      <c r="AC36" s="46">
        <f>AC20+AC26+AC35</f>
        <v>123560.08391386416</v>
      </c>
      <c r="AD36" s="46">
        <f aca="true" t="shared" si="26" ref="AD36:AP36">AD20+AD26+AD35</f>
        <v>42694.10518746275</v>
      </c>
      <c r="AE36" s="46">
        <f t="shared" si="26"/>
        <v>42676.275967603</v>
      </c>
      <c r="AF36" s="46">
        <f t="shared" si="26"/>
        <v>42658.342743960726</v>
      </c>
      <c r="AG36" s="46">
        <f t="shared" si="26"/>
        <v>42640.3049098472</v>
      </c>
      <c r="AH36" s="46">
        <f t="shared" si="26"/>
        <v>42622.161855034676</v>
      </c>
      <c r="AI36" s="46">
        <f t="shared" si="26"/>
        <v>42603.912965735755</v>
      </c>
      <c r="AJ36" s="46">
        <f t="shared" si="26"/>
        <v>47311.83513478667</v>
      </c>
      <c r="AK36" s="46">
        <f t="shared" si="26"/>
        <v>47293.372720810105</v>
      </c>
      <c r="AL36" s="46">
        <f t="shared" si="26"/>
        <v>47274.802609418686</v>
      </c>
      <c r="AM36" s="46">
        <f t="shared" si="26"/>
        <v>51982.40168258156</v>
      </c>
      <c r="AN36" s="46">
        <f t="shared" si="26"/>
        <v>51963.614287990946</v>
      </c>
      <c r="AO36" s="46">
        <f t="shared" si="26"/>
        <v>44328.39901046933</v>
      </c>
      <c r="AP36" s="46">
        <f t="shared" si="26"/>
        <v>546049.5290757016</v>
      </c>
      <c r="AQ36" s="46">
        <f t="shared" si="25"/>
        <v>503565.2526995053</v>
      </c>
      <c r="AR36" s="46">
        <f t="shared" si="25"/>
        <v>547856.5980569408</v>
      </c>
      <c r="AS36" s="46">
        <f>AS20+AS26+AS35</f>
        <v>591807.1073412638</v>
      </c>
      <c r="AT36" s="46">
        <f>AT20+AT26+AT35</f>
        <v>635395.0076848909</v>
      </c>
      <c r="AU36" s="46">
        <f>AU20+AU26+AU35</f>
        <v>940271.1182506212</v>
      </c>
    </row>
    <row r="37" spans="1:55" s="21" customFormat="1" ht="12.75">
      <c r="A37" s="48" t="s">
        <v>55</v>
      </c>
      <c r="B37" s="27">
        <f>B7+B20+B26+B35</f>
        <v>3938504.6970227873</v>
      </c>
      <c r="C37" s="49"/>
      <c r="D37" s="50">
        <f aca="true" t="shared" si="27" ref="D37:O37">D7+D20+D26+D35</f>
        <v>0</v>
      </c>
      <c r="E37" s="50">
        <f t="shared" si="27"/>
        <v>0</v>
      </c>
      <c r="F37" s="50">
        <f t="shared" si="27"/>
        <v>0</v>
      </c>
      <c r="G37" s="50">
        <f t="shared" si="27"/>
        <v>0</v>
      </c>
      <c r="H37" s="50">
        <f t="shared" si="27"/>
        <v>0</v>
      </c>
      <c r="I37" s="50">
        <f t="shared" si="27"/>
        <v>0</v>
      </c>
      <c r="J37" s="50">
        <f t="shared" si="27"/>
        <v>0</v>
      </c>
      <c r="K37" s="50">
        <f t="shared" si="27"/>
        <v>0</v>
      </c>
      <c r="L37" s="50">
        <f t="shared" si="27"/>
        <v>0</v>
      </c>
      <c r="M37" s="50">
        <f t="shared" si="27"/>
        <v>0</v>
      </c>
      <c r="N37" s="50">
        <f t="shared" si="27"/>
        <v>0</v>
      </c>
      <c r="O37" s="50">
        <f t="shared" si="27"/>
        <v>50000</v>
      </c>
      <c r="P37" s="51">
        <f>O37</f>
        <v>50000</v>
      </c>
      <c r="Q37" s="50">
        <f>P37+Q20+Q26+Q35</f>
        <v>28088.249745884008</v>
      </c>
      <c r="R37" s="50">
        <f aca="true" t="shared" si="28" ref="R37:AB37">Q37+R20+R26+R35</f>
        <v>12930.785206053726</v>
      </c>
      <c r="S37" s="50">
        <f t="shared" si="28"/>
        <v>4527.606380509158</v>
      </c>
      <c r="T37" s="50">
        <f t="shared" si="28"/>
        <v>6099.585269250307</v>
      </c>
      <c r="U37" s="50">
        <f t="shared" si="28"/>
        <v>15270.13558656289</v>
      </c>
      <c r="V37" s="50">
        <f t="shared" si="28"/>
        <v>23191.92681558504</v>
      </c>
      <c r="W37" s="50">
        <f t="shared" si="28"/>
        <v>35660.62355679803</v>
      </c>
      <c r="X37" s="50">
        <f t="shared" si="28"/>
        <v>48112.10255599684</v>
      </c>
      <c r="Y37" s="50">
        <f t="shared" si="28"/>
        <v>68703.2094375775</v>
      </c>
      <c r="Z37" s="50">
        <f t="shared" si="28"/>
        <v>97246.37103597302</v>
      </c>
      <c r="AA37" s="50">
        <f t="shared" si="28"/>
        <v>135412.03898407222</v>
      </c>
      <c r="AB37" s="50">
        <f t="shared" si="28"/>
        <v>173560.08391386407</v>
      </c>
      <c r="AC37" s="51">
        <f>AB37</f>
        <v>173560.08391386407</v>
      </c>
      <c r="AD37" s="50">
        <f aca="true" t="shared" si="29" ref="AD37:AO37">AC37+AD20+AD26+AD35</f>
        <v>216254.1891013268</v>
      </c>
      <c r="AE37" s="50">
        <f t="shared" si="29"/>
        <v>258930.46506892977</v>
      </c>
      <c r="AF37" s="50">
        <f t="shared" si="29"/>
        <v>301588.8078128905</v>
      </c>
      <c r="AG37" s="50">
        <f t="shared" si="29"/>
        <v>344229.1127227377</v>
      </c>
      <c r="AH37" s="50">
        <f t="shared" si="29"/>
        <v>386851.2745777724</v>
      </c>
      <c r="AI37" s="50">
        <f t="shared" si="29"/>
        <v>429455.1875435082</v>
      </c>
      <c r="AJ37" s="50">
        <f t="shared" si="29"/>
        <v>476767.02267829486</v>
      </c>
      <c r="AK37" s="50">
        <f t="shared" si="29"/>
        <v>524060.39539910504</v>
      </c>
      <c r="AL37" s="50">
        <f t="shared" si="29"/>
        <v>571335.1980085237</v>
      </c>
      <c r="AM37" s="50">
        <f t="shared" si="29"/>
        <v>623317.5996911053</v>
      </c>
      <c r="AN37" s="50">
        <f t="shared" si="29"/>
        <v>675281.2139790963</v>
      </c>
      <c r="AO37" s="50">
        <f t="shared" si="29"/>
        <v>719609.6129895656</v>
      </c>
      <c r="AP37" s="51">
        <f>AO37</f>
        <v>719609.6129895656</v>
      </c>
      <c r="AQ37" s="50">
        <f>AP37+AQ20+AQ26+AQ35</f>
        <v>1223174.8656890711</v>
      </c>
      <c r="AR37" s="50">
        <f>AQ37+AR20+AR26+AR35</f>
        <v>1771031.463746012</v>
      </c>
      <c r="AS37" s="50">
        <f>AR37+AS20+AS26+AS35</f>
        <v>2362838.5710872756</v>
      </c>
      <c r="AT37" s="50">
        <f>AS37+AT20+AT26+AT35</f>
        <v>2998233.5787721667</v>
      </c>
      <c r="AU37" s="50">
        <f>AT37+AU20+AU26+AU35</f>
        <v>3938504.697022788</v>
      </c>
      <c r="AV37" s="7">
        <v>2014</v>
      </c>
      <c r="AW37" s="7">
        <f aca="true" t="shared" si="30" ref="AW37:AZ38">AV37+1</f>
        <v>2015</v>
      </c>
      <c r="AX37" s="7">
        <f t="shared" si="30"/>
        <v>2016</v>
      </c>
      <c r="AY37" s="7">
        <f t="shared" si="30"/>
        <v>2017</v>
      </c>
      <c r="AZ37" s="7">
        <f t="shared" si="30"/>
        <v>2018</v>
      </c>
      <c r="BA37" s="7">
        <f aca="true" t="shared" si="31" ref="BA37:BC38">AZ37+1</f>
        <v>2019</v>
      </c>
      <c r="BB37" s="7">
        <f t="shared" si="31"/>
        <v>2020</v>
      </c>
      <c r="BC37" s="7">
        <f t="shared" si="31"/>
        <v>2021</v>
      </c>
    </row>
    <row r="38" spans="1:55" ht="12.75">
      <c r="A38" s="52"/>
      <c r="B38" s="53">
        <f>AU37</f>
        <v>3938504.697022788</v>
      </c>
      <c r="C38" s="54"/>
      <c r="D38" s="55">
        <f aca="true" t="shared" si="32" ref="D38:N38">D7+D36-D37</f>
        <v>0</v>
      </c>
      <c r="E38" s="55">
        <f t="shared" si="32"/>
        <v>0</v>
      </c>
      <c r="F38" s="55">
        <f t="shared" si="32"/>
        <v>0</v>
      </c>
      <c r="G38" s="55">
        <f t="shared" si="32"/>
        <v>0</v>
      </c>
      <c r="H38" s="55">
        <f t="shared" si="32"/>
        <v>0</v>
      </c>
      <c r="I38" s="55">
        <f t="shared" si="32"/>
        <v>0</v>
      </c>
      <c r="J38" s="55">
        <f t="shared" si="32"/>
        <v>0</v>
      </c>
      <c r="K38" s="55">
        <f t="shared" si="32"/>
        <v>0</v>
      </c>
      <c r="L38" s="55">
        <f t="shared" si="32"/>
        <v>0</v>
      </c>
      <c r="M38" s="55">
        <f t="shared" si="32"/>
        <v>0</v>
      </c>
      <c r="N38" s="55">
        <f t="shared" si="32"/>
        <v>0</v>
      </c>
      <c r="O38" s="55"/>
      <c r="P38" s="55"/>
      <c r="Q38" s="55">
        <f>Q7+Q36-Q37</f>
        <v>0</v>
      </c>
      <c r="R38" s="55"/>
      <c r="S38" s="55"/>
      <c r="T38" s="55">
        <f>T7+T36-T37</f>
        <v>0</v>
      </c>
      <c r="U38" s="55">
        <f>U7+U36-U37</f>
        <v>0</v>
      </c>
      <c r="V38" s="55">
        <f>V7+V36-V37</f>
        <v>0</v>
      </c>
      <c r="W38" s="55"/>
      <c r="X38" s="55">
        <f>X7+X36-X37</f>
        <v>0</v>
      </c>
      <c r="Y38" s="55">
        <f>Y7+Y36-Y37</f>
        <v>0</v>
      </c>
      <c r="Z38" s="55">
        <f>Z7+Z36-Z37</f>
        <v>0</v>
      </c>
      <c r="AA38" s="55">
        <f>AA7+AA36-AA37</f>
        <v>0</v>
      </c>
      <c r="AB38" s="55">
        <f>AB7+AB36-AB37</f>
        <v>0</v>
      </c>
      <c r="AC38" s="55"/>
      <c r="AD38" s="55">
        <f aca="true" t="shared" si="33" ref="AD38:AO38">AD7+AD36-AD37</f>
        <v>0</v>
      </c>
      <c r="AE38" s="55">
        <f t="shared" si="33"/>
        <v>0</v>
      </c>
      <c r="AF38" s="55">
        <f t="shared" si="33"/>
        <v>0</v>
      </c>
      <c r="AG38" s="55">
        <f t="shared" si="33"/>
        <v>0</v>
      </c>
      <c r="AH38" s="55">
        <f t="shared" si="33"/>
        <v>0</v>
      </c>
      <c r="AI38" s="55">
        <f t="shared" si="33"/>
        <v>0</v>
      </c>
      <c r="AJ38" s="55">
        <f t="shared" si="33"/>
        <v>0</v>
      </c>
      <c r="AK38" s="55">
        <f t="shared" si="33"/>
        <v>0</v>
      </c>
      <c r="AL38" s="55">
        <f t="shared" si="33"/>
        <v>0</v>
      </c>
      <c r="AM38" s="55">
        <f t="shared" si="33"/>
        <v>0</v>
      </c>
      <c r="AN38" s="55">
        <f t="shared" si="33"/>
        <v>0</v>
      </c>
      <c r="AO38" s="55">
        <f t="shared" si="33"/>
        <v>0</v>
      </c>
      <c r="AP38" s="55"/>
      <c r="AQ38" s="55">
        <f>AQ7+AQ36-AQ37</f>
        <v>0</v>
      </c>
      <c r="AR38" s="55">
        <f>AR7+AR36-AR37</f>
        <v>0</v>
      </c>
      <c r="AS38" s="55">
        <f>AS7+AS36-AS37</f>
        <v>0</v>
      </c>
      <c r="AT38" s="55">
        <f>AT7+AT36-AT37</f>
        <v>0</v>
      </c>
      <c r="AU38" s="55">
        <f>AU7+AU36-AU37</f>
        <v>0</v>
      </c>
      <c r="AV38" s="62">
        <v>0</v>
      </c>
      <c r="AW38" s="62">
        <f>AV38+1</f>
        <v>1</v>
      </c>
      <c r="AX38" s="62">
        <f t="shared" si="30"/>
        <v>2</v>
      </c>
      <c r="AY38" s="62">
        <f t="shared" si="30"/>
        <v>3</v>
      </c>
      <c r="AZ38" s="62">
        <f t="shared" si="30"/>
        <v>4</v>
      </c>
      <c r="BA38" s="62">
        <f t="shared" si="31"/>
        <v>5</v>
      </c>
      <c r="BB38" s="62">
        <f t="shared" si="31"/>
        <v>6</v>
      </c>
      <c r="BC38" s="62">
        <f t="shared" si="31"/>
        <v>7</v>
      </c>
    </row>
    <row r="39" spans="1:55" ht="12.75">
      <c r="A39" s="52" t="s">
        <v>61</v>
      </c>
      <c r="B39" s="63">
        <f>B37-B38</f>
        <v>0</v>
      </c>
      <c r="C39" s="54"/>
      <c r="Q39" s="57"/>
      <c r="AD39" s="57"/>
      <c r="AV39" s="57">
        <f>P36</f>
        <v>50000</v>
      </c>
      <c r="AW39" s="57">
        <f>AC36</f>
        <v>123560.08391386416</v>
      </c>
      <c r="AX39" s="57">
        <f aca="true" t="shared" si="34" ref="AX39:BC39">AP36</f>
        <v>546049.5290757016</v>
      </c>
      <c r="AY39" s="57">
        <f t="shared" si="34"/>
        <v>503565.2526995053</v>
      </c>
      <c r="AZ39" s="57">
        <f t="shared" si="34"/>
        <v>547856.5980569408</v>
      </c>
      <c r="BA39" s="57">
        <f t="shared" si="34"/>
        <v>591807.1073412638</v>
      </c>
      <c r="BB39" s="57">
        <f t="shared" si="34"/>
        <v>635395.0076848909</v>
      </c>
      <c r="BC39" s="57">
        <f t="shared" si="34"/>
        <v>940271.1182506212</v>
      </c>
    </row>
    <row r="40" spans="1:55" ht="12.75">
      <c r="A40" s="52" t="s">
        <v>62</v>
      </c>
      <c r="B40" s="54"/>
      <c r="C40" s="54"/>
      <c r="AV40" s="57">
        <f>AV39+P34+P33+P17</f>
        <v>50000</v>
      </c>
      <c r="AW40" s="57">
        <f>AW39+AC34+AC33+AC17</f>
        <v>383533.08036147046</v>
      </c>
      <c r="AX40" s="57">
        <f aca="true" t="shared" si="35" ref="AX40:BC40">AX39+AP34+AP33+AP17</f>
        <v>806022.5255233078</v>
      </c>
      <c r="AY40" s="57">
        <f t="shared" si="35"/>
        <v>763538.2491471115</v>
      </c>
      <c r="AZ40" s="57">
        <f t="shared" si="35"/>
        <v>807829.5945045471</v>
      </c>
      <c r="BA40" s="57">
        <f t="shared" si="35"/>
        <v>851780.10378887</v>
      </c>
      <c r="BB40" s="57">
        <f t="shared" si="35"/>
        <v>895368.0041324971</v>
      </c>
      <c r="BC40" s="57">
        <f t="shared" si="35"/>
        <v>940271.1182506216</v>
      </c>
    </row>
    <row r="41" spans="1:55" ht="12.75">
      <c r="A41" s="52" t="s">
        <v>63</v>
      </c>
      <c r="B41" s="54"/>
      <c r="C41" s="54"/>
      <c r="V41" s="57"/>
      <c r="AI41" s="57"/>
      <c r="AV41" s="57">
        <f>P29</f>
        <v>1455331.7912</v>
      </c>
      <c r="AW41" s="57">
        <f>AC29</f>
        <v>0</v>
      </c>
      <c r="AX41" s="57"/>
      <c r="AY41" s="57"/>
      <c r="AZ41" s="57"/>
      <c r="BA41" s="57"/>
      <c r="BB41" s="57"/>
      <c r="BC41" s="57"/>
    </row>
    <row r="42" spans="1:55" ht="12.75">
      <c r="A42" s="64" t="s">
        <v>64</v>
      </c>
      <c r="B42" s="54"/>
      <c r="C42" s="54"/>
      <c r="AV42" s="65">
        <f>AV40-AV41</f>
        <v>-1405331.7912</v>
      </c>
      <c r="AW42" s="65">
        <f aca="true" t="shared" si="36" ref="AW42:BB42">AW40-AW41</f>
        <v>383533.08036147046</v>
      </c>
      <c r="AX42" s="65">
        <f t="shared" si="36"/>
        <v>806022.5255233078</v>
      </c>
      <c r="AY42" s="65">
        <f t="shared" si="36"/>
        <v>763538.2491471115</v>
      </c>
      <c r="AZ42" s="65">
        <f t="shared" si="36"/>
        <v>807829.5945045471</v>
      </c>
      <c r="BA42" s="65">
        <f t="shared" si="36"/>
        <v>851780.10378887</v>
      </c>
      <c r="BB42" s="65">
        <f t="shared" si="36"/>
        <v>895368.0041324971</v>
      </c>
      <c r="BC42" s="65">
        <f>BC40-BC41</f>
        <v>940271.1182506216</v>
      </c>
    </row>
    <row r="43" spans="1:55" ht="12.75">
      <c r="A43" s="66" t="s">
        <v>65</v>
      </c>
      <c r="B43" s="54"/>
      <c r="C43" s="54"/>
      <c r="AV43" s="67">
        <f>AV42/(1+Исх!$C$8)^'1-Ф3'!AV38</f>
        <v>-1405331.7912</v>
      </c>
      <c r="AW43" s="67">
        <f>AW42/(1+Исх!$C$8)^'1-Ф3'!AW38</f>
        <v>355914.14287441585</v>
      </c>
      <c r="AX43" s="67">
        <f>AX42/(1+Исх!$C$8)^'1-Ф3'!AX38</f>
        <v>694115.9331386522</v>
      </c>
      <c r="AY43" s="67">
        <f>AY42/(1+Исх!$C$8)^'1-Ф3'!AY38</f>
        <v>610180.1138413654</v>
      </c>
      <c r="AZ43" s="67">
        <f>AZ42/(1+Исх!$C$8)^'1-Ф3'!AZ38</f>
        <v>599086.3555586085</v>
      </c>
      <c r="BA43" s="67">
        <f>BA42/(1+Исх!$C$8)^'1-Ф3'!BA38</f>
        <v>586191.5825367144</v>
      </c>
      <c r="BB43" s="67">
        <f>BB42/(1+Исх!$C$8)^'1-Ф3'!BB38</f>
        <v>571815.6989809542</v>
      </c>
      <c r="BC43" s="67">
        <f>BC42/(1+Исх!$C$8)^'1-Ф3'!BC38</f>
        <v>557249.9232581629</v>
      </c>
    </row>
    <row r="44" spans="1:55" ht="12.75">
      <c r="A44" s="64" t="s">
        <v>66</v>
      </c>
      <c r="B44" s="54"/>
      <c r="C44" s="54"/>
      <c r="AV44" s="65">
        <f>AV42</f>
        <v>-1405331.7912</v>
      </c>
      <c r="AW44" s="65">
        <f aca="true" t="shared" si="37" ref="AW44:AZ45">AV44+AW42</f>
        <v>-1021798.7108385296</v>
      </c>
      <c r="AX44" s="65">
        <f t="shared" si="37"/>
        <v>-215776.18531522178</v>
      </c>
      <c r="AY44" s="65">
        <f t="shared" si="37"/>
        <v>547762.0638318898</v>
      </c>
      <c r="AZ44" s="65">
        <f t="shared" si="37"/>
        <v>1355591.6583364368</v>
      </c>
      <c r="BA44" s="65">
        <f aca="true" t="shared" si="38" ref="BA44:BC45">AZ44+BA42</f>
        <v>2207371.7621253068</v>
      </c>
      <c r="BB44" s="65">
        <f t="shared" si="38"/>
        <v>3102739.766257804</v>
      </c>
      <c r="BC44" s="65">
        <f t="shared" si="38"/>
        <v>4043010.8845084254</v>
      </c>
    </row>
    <row r="45" spans="1:55" ht="12.75">
      <c r="A45" s="66" t="s">
        <v>67</v>
      </c>
      <c r="B45" s="54"/>
      <c r="C45" s="54"/>
      <c r="AV45" s="67">
        <f>AV43</f>
        <v>-1405331.7912</v>
      </c>
      <c r="AW45" s="67">
        <f t="shared" si="37"/>
        <v>-1049417.6483255844</v>
      </c>
      <c r="AX45" s="67">
        <f t="shared" si="37"/>
        <v>-355301.7151869321</v>
      </c>
      <c r="AY45" s="67">
        <f t="shared" si="37"/>
        <v>254878.39865443332</v>
      </c>
      <c r="AZ45" s="67">
        <f t="shared" si="37"/>
        <v>853964.7542130419</v>
      </c>
      <c r="BA45" s="67">
        <f t="shared" si="38"/>
        <v>1440156.3367497562</v>
      </c>
      <c r="BB45" s="67">
        <f t="shared" si="38"/>
        <v>2011972.0357307105</v>
      </c>
      <c r="BC45" s="67">
        <f t="shared" si="38"/>
        <v>2569221.9589888733</v>
      </c>
    </row>
    <row r="46" spans="1:55" ht="12.75">
      <c r="A46" s="52" t="s">
        <v>68</v>
      </c>
      <c r="B46" s="54"/>
      <c r="C46" s="54"/>
      <c r="AV46" s="57">
        <f>NPV(Исх!$C$8,'1-Ф3'!$AV40:AV40)</f>
        <v>46399.40608760208</v>
      </c>
      <c r="AW46" s="57">
        <f>NPV(Исх!$C$8,'1-Ф3'!$AV40:AW40)</f>
        <v>376683.50303861906</v>
      </c>
      <c r="AX46" s="57">
        <f>NPV(Исх!$C$8,'1-Ф3'!$AV40:AX40)</f>
        <v>1020814.8441101228</v>
      </c>
      <c r="AY46" s="57">
        <f>NPV(Исх!$C$8,'1-Ф3'!$AV40:AY40)</f>
        <v>1587054.7418842185</v>
      </c>
      <c r="AZ46" s="57">
        <f>NPV(Исх!$C$8,'1-Ф3'!$AV40:AZ40)</f>
        <v>2142999.7637463277</v>
      </c>
      <c r="BA46" s="57">
        <f>NPV(Исх!$C$8,'1-Ф3'!$AV40:BA40)</f>
        <v>2686978.58941143</v>
      </c>
      <c r="BB46" s="57">
        <f>NPV(Исх!$C$8,'1-Ф3'!$AV40:BB40)</f>
        <v>3217616.7658970966</v>
      </c>
      <c r="BC46" s="57">
        <f>NPV(Исх!$C$8,'1-Ф3'!$AV40:BC40)</f>
        <v>3734738.0755279083</v>
      </c>
    </row>
    <row r="47" spans="1:55" ht="12.75">
      <c r="A47" s="52" t="s">
        <v>69</v>
      </c>
      <c r="B47" s="54"/>
      <c r="C47" s="54"/>
      <c r="AV47" s="57">
        <f>NPV(Исх!$C$8,'1-Ф3'!$AV41:AV41)</f>
        <v>1350530.6154417226</v>
      </c>
      <c r="AW47" s="57">
        <f>NPV(Исх!$C$8,'1-Ф3'!$AV41:AW41)</f>
        <v>1350530.6154417226</v>
      </c>
      <c r="AX47" s="57">
        <f>NPV(Исх!$C$8,'1-Ф3'!$AV41:AX41)</f>
        <v>1350530.6154417226</v>
      </c>
      <c r="AY47" s="57">
        <f>NPV(Исх!$C$8,'1-Ф3'!$AV41:AY41)</f>
        <v>1350530.6154417226</v>
      </c>
      <c r="AZ47" s="57">
        <f>NPV(Исх!$C$8,'1-Ф3'!$AV41:AZ41)</f>
        <v>1350530.6154417226</v>
      </c>
      <c r="BA47" s="57">
        <f>NPV(Исх!$C$8,'1-Ф3'!$AV41:BA41)</f>
        <v>1350530.6154417226</v>
      </c>
      <c r="BB47" s="57">
        <f>NPV(Исх!$C$8,'1-Ф3'!$AV41:BB41)</f>
        <v>1350530.6154417226</v>
      </c>
      <c r="BC47" s="57">
        <f>NPV(Исх!$C$8,'1-Ф3'!$AV41:BC41)</f>
        <v>1350530.6154417226</v>
      </c>
    </row>
    <row r="48" spans="1:55" ht="12.75">
      <c r="A48" s="52" t="s">
        <v>70</v>
      </c>
      <c r="B48" s="54"/>
      <c r="C48" s="54"/>
      <c r="AV48" s="57">
        <f aca="true" t="shared" si="39" ref="AV48:BB48">AV46-AV47</f>
        <v>-1304131.2093541205</v>
      </c>
      <c r="AW48" s="57">
        <f t="shared" si="39"/>
        <v>-973847.1124031035</v>
      </c>
      <c r="AX48" s="57">
        <f t="shared" si="39"/>
        <v>-329715.7713315998</v>
      </c>
      <c r="AY48" s="57">
        <f t="shared" si="39"/>
        <v>236524.12644249597</v>
      </c>
      <c r="AZ48" s="57">
        <f t="shared" si="39"/>
        <v>792469.1483046052</v>
      </c>
      <c r="BA48" s="57">
        <f t="shared" si="39"/>
        <v>1336447.9739697075</v>
      </c>
      <c r="BB48" s="57">
        <f t="shared" si="39"/>
        <v>1867086.150455374</v>
      </c>
      <c r="BC48" s="57">
        <f>BC46-BC47</f>
        <v>2384207.4600861855</v>
      </c>
    </row>
    <row r="49" spans="1:55" ht="12.75">
      <c r="A49" s="52" t="s">
        <v>71</v>
      </c>
      <c r="B49" s="54"/>
      <c r="C49" s="54"/>
      <c r="AV49" s="68">
        <f aca="true" t="shared" si="40" ref="AV49:BB49">AV46/AV47</f>
        <v>0.0343564266941302</v>
      </c>
      <c r="AW49" s="68">
        <f t="shared" si="40"/>
        <v>0.2789151898755112</v>
      </c>
      <c r="AX49" s="68">
        <f t="shared" si="40"/>
        <v>0.7558620533576289</v>
      </c>
      <c r="AY49" s="68">
        <f t="shared" si="40"/>
        <v>1.1751342203857669</v>
      </c>
      <c r="AZ49" s="68">
        <f t="shared" si="40"/>
        <v>1.5867835495498261</v>
      </c>
      <c r="BA49" s="68">
        <f t="shared" si="40"/>
        <v>1.989572512232602</v>
      </c>
      <c r="BB49" s="68">
        <f t="shared" si="40"/>
        <v>2.3824833951244413</v>
      </c>
      <c r="BC49" s="68">
        <f>BC46/BC47</f>
        <v>2.7653857178990164</v>
      </c>
    </row>
    <row r="50" spans="1:55" ht="12.75">
      <c r="A50" s="52" t="s">
        <v>72</v>
      </c>
      <c r="B50" s="54"/>
      <c r="C50" s="54"/>
      <c r="AS50" s="69"/>
      <c r="AT50" s="69"/>
      <c r="AU50" s="69"/>
      <c r="AV50" s="69" t="str">
        <f>IF(ISERROR(IRR($AV42:AV$42))," ",IF(IRR($AV42:AV$42)&lt;0," ",IRR($AV42:AV$42)))</f>
        <v> </v>
      </c>
      <c r="AW50" s="69" t="str">
        <f>IF(ISERROR(IRR($AV42:AW$42))," ",IF(IRR($AV42:AW$42)&lt;0," ",IRR($AV42:AW$42)))</f>
        <v> </v>
      </c>
      <c r="AX50" s="69" t="str">
        <f>IF(ISERROR(IRR($AV42:AX$42))," ",IF(IRR($AV42:AX$42)&lt;0," ",IRR($AV42:AX$42)))</f>
        <v> </v>
      </c>
      <c r="AY50" s="69">
        <f>IF(ISERROR(IRR($AV42:AY$42))," ",IF(IRR($AV42:AY$42)&lt;0," ",IRR($AV42:AY$42)))</f>
        <v>0.16525617822546934</v>
      </c>
      <c r="AZ50" s="69">
        <f>IF(ISERROR(IRR($AV42:AZ$42))," ",IF(IRR($AV42:AZ$42)&lt;0," ",IRR($AV42:AZ$42)))</f>
        <v>0.2988664836949997</v>
      </c>
      <c r="BA50" s="69">
        <f>IF(ISERROR(IRR($AV42:BA$42))," ",IF(IRR($AV42:BA$42)&lt;0," ",IRR($AV42:BA$42)))</f>
        <v>0.37244671644655214</v>
      </c>
      <c r="BB50" s="69">
        <f>IF(ISERROR(IRR($AV42:BB$42))," ",IF(IRR($AV42:BB$42)&lt;0," ",IRR($AV42:BB$42)))</f>
        <v>0.4153428285133738</v>
      </c>
      <c r="BC50" s="69">
        <f>IF(ISERROR(IRR($AV42:BC$42))," ",IF(IRR($AV42:BC$42)&lt;0," ",IRR($AV42:BC$42)))</f>
        <v>0.4414960708877911</v>
      </c>
    </row>
    <row r="51" spans="1:3" ht="12.75">
      <c r="A51" s="70" t="s">
        <v>35</v>
      </c>
      <c r="B51" s="58">
        <f>AX38-AX44/AY42</f>
        <v>2.282600361614167</v>
      </c>
      <c r="C51" s="54"/>
    </row>
    <row r="52" spans="1:3" ht="12.75">
      <c r="A52" s="70" t="s">
        <v>29</v>
      </c>
      <c r="B52" s="58">
        <f>AX38-AX45/AY43</f>
        <v>2.5822898962572607</v>
      </c>
      <c r="C52" s="54"/>
    </row>
    <row r="53" spans="1:3" ht="12.75">
      <c r="A53" s="52"/>
      <c r="B53" s="58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44" ht="12.75">
      <c r="A65" s="52"/>
      <c r="B65" s="54"/>
      <c r="C65" s="5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52"/>
      <c r="B66" s="54"/>
      <c r="C66" s="5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52"/>
      <c r="B67" s="54"/>
      <c r="C67" s="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52"/>
      <c r="B68" s="54"/>
      <c r="C68" s="5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52"/>
      <c r="B69" s="54"/>
      <c r="C69" s="5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52"/>
      <c r="B70" s="54"/>
      <c r="C70" s="5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52"/>
      <c r="B71" s="54"/>
      <c r="C71" s="5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52"/>
      <c r="B72" s="54"/>
      <c r="C72" s="5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52"/>
      <c r="B73" s="54"/>
      <c r="C73" s="5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52"/>
      <c r="B74" s="54"/>
      <c r="C74" s="5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52"/>
      <c r="B75" s="54"/>
      <c r="C75" s="5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52"/>
      <c r="B76" s="54"/>
      <c r="C76" s="5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52"/>
      <c r="B77" s="54"/>
      <c r="C77" s="5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52"/>
      <c r="B78" s="54"/>
      <c r="C78" s="5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52"/>
      <c r="B79" s="54"/>
      <c r="C79" s="5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52"/>
      <c r="B80" s="54"/>
      <c r="C80" s="5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52"/>
      <c r="B81" s="54"/>
      <c r="C81" s="5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52"/>
      <c r="B82" s="54"/>
      <c r="C82" s="5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52"/>
      <c r="B83" s="54"/>
      <c r="C83" s="5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52"/>
      <c r="B84" s="54"/>
      <c r="C84" s="5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52"/>
      <c r="B85" s="54"/>
      <c r="C85" s="5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52"/>
      <c r="B86" s="54"/>
      <c r="C86" s="5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52"/>
      <c r="B87" s="54"/>
      <c r="C87" s="5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52"/>
      <c r="B88" s="54"/>
      <c r="C88" s="5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52"/>
      <c r="B89" s="54"/>
      <c r="C89" s="5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52"/>
      <c r="B90" s="54"/>
      <c r="C90" s="5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52"/>
      <c r="B91" s="54"/>
      <c r="C91" s="5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52"/>
      <c r="B92" s="54"/>
      <c r="C92" s="5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52"/>
      <c r="B93" s="54"/>
      <c r="C93" s="5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52"/>
      <c r="B94" s="54"/>
      <c r="C94" s="5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52"/>
      <c r="B95" s="54"/>
      <c r="C95" s="5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52"/>
      <c r="B96" s="54"/>
      <c r="C96" s="5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52"/>
      <c r="B97" s="54"/>
      <c r="C97" s="5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52"/>
      <c r="B98" s="54"/>
      <c r="C98" s="5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52"/>
      <c r="B99" s="54"/>
      <c r="C99" s="5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52"/>
      <c r="B100" s="54"/>
      <c r="C100" s="5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52"/>
      <c r="B101" s="54"/>
      <c r="C101" s="5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52"/>
      <c r="B102" s="54"/>
      <c r="C102" s="5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52"/>
      <c r="B103" s="54"/>
      <c r="C103" s="5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52"/>
      <c r="B104" s="54"/>
      <c r="C104" s="5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52"/>
      <c r="B105" s="54"/>
      <c r="C105" s="5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52"/>
      <c r="B106" s="54"/>
      <c r="C106" s="5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52"/>
      <c r="B107" s="54"/>
      <c r="C107" s="5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52"/>
      <c r="B108" s="54"/>
      <c r="C108" s="5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52"/>
      <c r="B109" s="54"/>
      <c r="C109" s="5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52"/>
      <c r="B110" s="54"/>
      <c r="C110" s="5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52"/>
      <c r="B111" s="54"/>
      <c r="C111" s="5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52"/>
      <c r="B112" s="54"/>
      <c r="C112" s="5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52"/>
      <c r="B113" s="54"/>
      <c r="C113" s="5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52"/>
      <c r="B114" s="54"/>
      <c r="C114" s="5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52"/>
      <c r="B115" s="54"/>
      <c r="C115" s="5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52"/>
      <c r="B116" s="54"/>
      <c r="C116" s="5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52"/>
      <c r="B117" s="54"/>
      <c r="C117" s="5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52"/>
      <c r="B118" s="54"/>
      <c r="C118" s="5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52"/>
      <c r="B119" s="54"/>
      <c r="C119" s="5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52"/>
      <c r="B120" s="54"/>
      <c r="C120" s="5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52"/>
      <c r="B121" s="54"/>
      <c r="C121" s="5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52"/>
      <c r="B122" s="54"/>
      <c r="C122" s="5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52"/>
      <c r="B123" s="54"/>
      <c r="C123" s="5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52"/>
      <c r="B124" s="54"/>
      <c r="C124" s="5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52"/>
      <c r="B125" s="54"/>
      <c r="C125" s="5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52"/>
      <c r="B126" s="54"/>
      <c r="C126" s="5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52"/>
      <c r="B127" s="54"/>
      <c r="C127" s="5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52"/>
      <c r="B128" s="54"/>
      <c r="C128" s="5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52"/>
      <c r="B129" s="54"/>
      <c r="C129" s="5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52"/>
      <c r="B130" s="54"/>
      <c r="C130" s="5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52"/>
      <c r="B131" s="54"/>
      <c r="C131" s="5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52"/>
      <c r="B132" s="54"/>
      <c r="C132" s="5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52"/>
      <c r="B133" s="54"/>
      <c r="C133" s="5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52"/>
      <c r="B134" s="54"/>
      <c r="C134" s="5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52"/>
      <c r="B135" s="54"/>
      <c r="C135" s="5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52"/>
      <c r="B136" s="54"/>
      <c r="C136" s="5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52"/>
      <c r="B137" s="54"/>
      <c r="C137" s="5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52"/>
      <c r="B138" s="54"/>
      <c r="C138" s="5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52"/>
      <c r="B139" s="54"/>
      <c r="C139" s="5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52"/>
      <c r="B140" s="54"/>
      <c r="C140" s="5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52"/>
      <c r="B141" s="54"/>
      <c r="C141" s="5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52"/>
      <c r="B142" s="54"/>
      <c r="C142" s="5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12.75">
      <c r="A143" s="52"/>
      <c r="B143" s="54"/>
      <c r="C143" s="5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12.75">
      <c r="A144" s="52"/>
      <c r="B144" s="54"/>
      <c r="C144" s="5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</sheetData>
  <sheetProtection/>
  <mergeCells count="5">
    <mergeCell ref="A5:A6"/>
    <mergeCell ref="B5:B6"/>
    <mergeCell ref="D5:P5"/>
    <mergeCell ref="Q5:AC5"/>
    <mergeCell ref="AD5:AP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3"/>
  <headerFooter alignWithMargins="0">
    <oddHeader>&amp;RПриложение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P9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P73" sqref="CP73:CY73"/>
    </sheetView>
  </sheetViews>
  <sheetFormatPr defaultColWidth="9.00390625" defaultRowHeight="12.75" outlineLevelRow="1" outlineLevelCol="1"/>
  <cols>
    <col min="1" max="1" width="23.25390625" style="176" customWidth="1"/>
    <col min="2" max="2" width="12.125" style="176" customWidth="1"/>
    <col min="3" max="11" width="9.125" style="176" hidden="1" customWidth="1" outlineLevel="1"/>
    <col min="12" max="14" width="9.75390625" style="176" hidden="1" customWidth="1" outlineLevel="1"/>
    <col min="15" max="15" width="10.125" style="177" bestFit="1" customWidth="1" collapsed="1"/>
    <col min="16" max="21" width="9.75390625" style="176" hidden="1" customWidth="1" outlineLevel="1"/>
    <col min="22" max="22" width="9.625" style="176" hidden="1" customWidth="1" outlineLevel="1"/>
    <col min="23" max="27" width="9.75390625" style="176" hidden="1" customWidth="1" outlineLevel="1"/>
    <col min="28" max="28" width="10.125" style="177" bestFit="1" customWidth="1" collapsed="1"/>
    <col min="29" max="40" width="9.75390625" style="176" hidden="1" customWidth="1" outlineLevel="1"/>
    <col min="41" max="41" width="10.125" style="177" bestFit="1" customWidth="1" collapsed="1"/>
    <col min="42" max="53" width="9.75390625" style="176" hidden="1" customWidth="1" outlineLevel="1"/>
    <col min="54" max="54" width="9.75390625" style="177" bestFit="1" customWidth="1" collapsed="1"/>
    <col min="55" max="66" width="9.75390625" style="176" hidden="1" customWidth="1" outlineLevel="1"/>
    <col min="67" max="67" width="10.125" style="177" bestFit="1" customWidth="1" collapsed="1"/>
    <col min="68" max="79" width="9.75390625" style="176" hidden="1" customWidth="1" outlineLevel="1"/>
    <col min="80" max="80" width="10.125" style="177" bestFit="1" customWidth="1" collapsed="1"/>
    <col min="81" max="92" width="9.75390625" style="176" hidden="1" customWidth="1" outlineLevel="1"/>
    <col min="93" max="93" width="10.125" style="177" bestFit="1" customWidth="1" collapsed="1"/>
    <col min="94" max="98" width="9.75390625" style="176" hidden="1" customWidth="1" outlineLevel="1"/>
    <col min="99" max="105" width="8.75390625" style="176" hidden="1" customWidth="1" outlineLevel="1"/>
    <col min="106" max="106" width="10.125" style="177" bestFit="1" customWidth="1" collapsed="1"/>
    <col min="107" max="118" width="8.75390625" style="176" hidden="1" customWidth="1" outlineLevel="1"/>
    <col min="119" max="119" width="10.125" style="177" hidden="1" customWidth="1" collapsed="1"/>
    <col min="120" max="120" width="9.75390625" style="176" bestFit="1" customWidth="1"/>
    <col min="121" max="16384" width="9.125" style="176" customWidth="1"/>
  </cols>
  <sheetData>
    <row r="1" ht="9.75" customHeight="1"/>
    <row r="2" spans="1:15" ht="18.75" customHeight="1">
      <c r="A2" s="177" t="s">
        <v>99</v>
      </c>
      <c r="B2" s="178"/>
      <c r="D2" s="179"/>
      <c r="E2" s="179"/>
      <c r="F2" s="180"/>
      <c r="G2" s="179"/>
      <c r="O2" s="181"/>
    </row>
    <row r="3" spans="1:15" ht="13.5" customHeight="1">
      <c r="A3" s="182"/>
      <c r="B3" s="178"/>
      <c r="D3" s="179"/>
      <c r="E3" s="179"/>
      <c r="F3" s="180"/>
      <c r="G3" s="179"/>
      <c r="O3" s="181"/>
    </row>
    <row r="4" spans="1:2" ht="12.75" hidden="1">
      <c r="A4" s="183" t="s">
        <v>250</v>
      </c>
      <c r="B4" s="184"/>
    </row>
    <row r="5" spans="1:119" ht="15.75" customHeight="1" hidden="1">
      <c r="A5" s="185" t="s">
        <v>11</v>
      </c>
      <c r="B5" s="186">
        <f>Исх!C41</f>
        <v>0.07</v>
      </c>
      <c r="C5" s="380">
        <v>2012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>
        <v>2013</v>
      </c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>
        <v>2014</v>
      </c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>
        <v>2015</v>
      </c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>
        <v>2016</v>
      </c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>
        <v>2017</v>
      </c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>
        <v>2018</v>
      </c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>
        <v>2019</v>
      </c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>
        <v>2020</v>
      </c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</row>
    <row r="6" spans="1:119" s="191" customFormat="1" ht="15" customHeight="1" hidden="1">
      <c r="A6" s="187" t="s">
        <v>9</v>
      </c>
      <c r="B6" s="188" t="s">
        <v>12</v>
      </c>
      <c r="C6" s="189">
        <v>1</v>
      </c>
      <c r="D6" s="189">
        <v>2</v>
      </c>
      <c r="E6" s="189">
        <f>D6+1</f>
        <v>3</v>
      </c>
      <c r="F6" s="189">
        <f aca="true" t="shared" si="0" ref="F6:N6">E6+1</f>
        <v>4</v>
      </c>
      <c r="G6" s="189">
        <f t="shared" si="0"/>
        <v>5</v>
      </c>
      <c r="H6" s="189">
        <f t="shared" si="0"/>
        <v>6</v>
      </c>
      <c r="I6" s="189">
        <f t="shared" si="0"/>
        <v>7</v>
      </c>
      <c r="J6" s="189">
        <f t="shared" si="0"/>
        <v>8</v>
      </c>
      <c r="K6" s="189">
        <f t="shared" si="0"/>
        <v>9</v>
      </c>
      <c r="L6" s="189">
        <f t="shared" si="0"/>
        <v>10</v>
      </c>
      <c r="M6" s="189">
        <f t="shared" si="0"/>
        <v>11</v>
      </c>
      <c r="N6" s="189">
        <f t="shared" si="0"/>
        <v>12</v>
      </c>
      <c r="O6" s="190" t="s">
        <v>0</v>
      </c>
      <c r="P6" s="189">
        <v>1</v>
      </c>
      <c r="Q6" s="189">
        <v>2</v>
      </c>
      <c r="R6" s="189">
        <f>Q6+1</f>
        <v>3</v>
      </c>
      <c r="S6" s="189">
        <f aca="true" t="shared" si="1" ref="S6:AA6">R6+1</f>
        <v>4</v>
      </c>
      <c r="T6" s="189">
        <f t="shared" si="1"/>
        <v>5</v>
      </c>
      <c r="U6" s="189">
        <f t="shared" si="1"/>
        <v>6</v>
      </c>
      <c r="V6" s="189">
        <f t="shared" si="1"/>
        <v>7</v>
      </c>
      <c r="W6" s="189">
        <f t="shared" si="1"/>
        <v>8</v>
      </c>
      <c r="X6" s="189">
        <f t="shared" si="1"/>
        <v>9</v>
      </c>
      <c r="Y6" s="189">
        <f t="shared" si="1"/>
        <v>10</v>
      </c>
      <c r="Z6" s="189">
        <f t="shared" si="1"/>
        <v>11</v>
      </c>
      <c r="AA6" s="189">
        <f t="shared" si="1"/>
        <v>12</v>
      </c>
      <c r="AB6" s="190" t="s">
        <v>0</v>
      </c>
      <c r="AC6" s="189">
        <v>1</v>
      </c>
      <c r="AD6" s="189">
        <v>2</v>
      </c>
      <c r="AE6" s="189">
        <f aca="true" t="shared" si="2" ref="AE6:BN6">AD6+1</f>
        <v>3</v>
      </c>
      <c r="AF6" s="189">
        <f t="shared" si="2"/>
        <v>4</v>
      </c>
      <c r="AG6" s="189">
        <f t="shared" si="2"/>
        <v>5</v>
      </c>
      <c r="AH6" s="189">
        <f t="shared" si="2"/>
        <v>6</v>
      </c>
      <c r="AI6" s="189">
        <f t="shared" si="2"/>
        <v>7</v>
      </c>
      <c r="AJ6" s="189">
        <f t="shared" si="2"/>
        <v>8</v>
      </c>
      <c r="AK6" s="189">
        <f t="shared" si="2"/>
        <v>9</v>
      </c>
      <c r="AL6" s="189">
        <f t="shared" si="2"/>
        <v>10</v>
      </c>
      <c r="AM6" s="189">
        <f t="shared" si="2"/>
        <v>11</v>
      </c>
      <c r="AN6" s="189">
        <f t="shared" si="2"/>
        <v>12</v>
      </c>
      <c r="AO6" s="190" t="s">
        <v>0</v>
      </c>
      <c r="AP6" s="189">
        <v>1</v>
      </c>
      <c r="AQ6" s="189">
        <v>2</v>
      </c>
      <c r="AR6" s="189">
        <f>AQ6+1</f>
        <v>3</v>
      </c>
      <c r="AS6" s="189">
        <f t="shared" si="2"/>
        <v>4</v>
      </c>
      <c r="AT6" s="189">
        <f t="shared" si="2"/>
        <v>5</v>
      </c>
      <c r="AU6" s="189">
        <f t="shared" si="2"/>
        <v>6</v>
      </c>
      <c r="AV6" s="189">
        <f t="shared" si="2"/>
        <v>7</v>
      </c>
      <c r="AW6" s="189">
        <f t="shared" si="2"/>
        <v>8</v>
      </c>
      <c r="AX6" s="189">
        <f t="shared" si="2"/>
        <v>9</v>
      </c>
      <c r="AY6" s="189">
        <f t="shared" si="2"/>
        <v>10</v>
      </c>
      <c r="AZ6" s="189">
        <f t="shared" si="2"/>
        <v>11</v>
      </c>
      <c r="BA6" s="189">
        <f t="shared" si="2"/>
        <v>12</v>
      </c>
      <c r="BB6" s="190" t="s">
        <v>0</v>
      </c>
      <c r="BC6" s="189">
        <v>1</v>
      </c>
      <c r="BD6" s="189">
        <v>2</v>
      </c>
      <c r="BE6" s="189">
        <f>BD6+1</f>
        <v>3</v>
      </c>
      <c r="BF6" s="189">
        <f t="shared" si="2"/>
        <v>4</v>
      </c>
      <c r="BG6" s="189">
        <f t="shared" si="2"/>
        <v>5</v>
      </c>
      <c r="BH6" s="189">
        <f t="shared" si="2"/>
        <v>6</v>
      </c>
      <c r="BI6" s="189">
        <f t="shared" si="2"/>
        <v>7</v>
      </c>
      <c r="BJ6" s="189">
        <f t="shared" si="2"/>
        <v>8</v>
      </c>
      <c r="BK6" s="189">
        <f t="shared" si="2"/>
        <v>9</v>
      </c>
      <c r="BL6" s="189">
        <f t="shared" si="2"/>
        <v>10</v>
      </c>
      <c r="BM6" s="189">
        <f t="shared" si="2"/>
        <v>11</v>
      </c>
      <c r="BN6" s="189">
        <f t="shared" si="2"/>
        <v>12</v>
      </c>
      <c r="BO6" s="190" t="s">
        <v>0</v>
      </c>
      <c r="BP6" s="189">
        <v>1</v>
      </c>
      <c r="BQ6" s="189">
        <v>2</v>
      </c>
      <c r="BR6" s="189">
        <f aca="true" t="shared" si="3" ref="BR6:CA6">BQ6+1</f>
        <v>3</v>
      </c>
      <c r="BS6" s="189">
        <f t="shared" si="3"/>
        <v>4</v>
      </c>
      <c r="BT6" s="189">
        <f t="shared" si="3"/>
        <v>5</v>
      </c>
      <c r="BU6" s="189">
        <f t="shared" si="3"/>
        <v>6</v>
      </c>
      <c r="BV6" s="189">
        <f t="shared" si="3"/>
        <v>7</v>
      </c>
      <c r="BW6" s="189">
        <f t="shared" si="3"/>
        <v>8</v>
      </c>
      <c r="BX6" s="189">
        <f t="shared" si="3"/>
        <v>9</v>
      </c>
      <c r="BY6" s="189">
        <f t="shared" si="3"/>
        <v>10</v>
      </c>
      <c r="BZ6" s="189">
        <f t="shared" si="3"/>
        <v>11</v>
      </c>
      <c r="CA6" s="189">
        <f t="shared" si="3"/>
        <v>12</v>
      </c>
      <c r="CB6" s="190" t="s">
        <v>0</v>
      </c>
      <c r="CC6" s="189">
        <v>1</v>
      </c>
      <c r="CD6" s="189">
        <v>2</v>
      </c>
      <c r="CE6" s="189">
        <f aca="true" t="shared" si="4" ref="CE6:CN6">CD6+1</f>
        <v>3</v>
      </c>
      <c r="CF6" s="189">
        <f t="shared" si="4"/>
        <v>4</v>
      </c>
      <c r="CG6" s="189">
        <f t="shared" si="4"/>
        <v>5</v>
      </c>
      <c r="CH6" s="189">
        <f t="shared" si="4"/>
        <v>6</v>
      </c>
      <c r="CI6" s="189">
        <f t="shared" si="4"/>
        <v>7</v>
      </c>
      <c r="CJ6" s="189">
        <f t="shared" si="4"/>
        <v>8</v>
      </c>
      <c r="CK6" s="189">
        <f t="shared" si="4"/>
        <v>9</v>
      </c>
      <c r="CL6" s="189">
        <f t="shared" si="4"/>
        <v>10</v>
      </c>
      <c r="CM6" s="189">
        <f t="shared" si="4"/>
        <v>11</v>
      </c>
      <c r="CN6" s="189">
        <f t="shared" si="4"/>
        <v>12</v>
      </c>
      <c r="CO6" s="190" t="s">
        <v>0</v>
      </c>
      <c r="CP6" s="189">
        <v>1</v>
      </c>
      <c r="CQ6" s="189">
        <v>2</v>
      </c>
      <c r="CR6" s="189">
        <f aca="true" t="shared" si="5" ref="CR6:DA6">CQ6+1</f>
        <v>3</v>
      </c>
      <c r="CS6" s="189">
        <f t="shared" si="5"/>
        <v>4</v>
      </c>
      <c r="CT6" s="189">
        <f t="shared" si="5"/>
        <v>5</v>
      </c>
      <c r="CU6" s="189">
        <f t="shared" si="5"/>
        <v>6</v>
      </c>
      <c r="CV6" s="189">
        <f t="shared" si="5"/>
        <v>7</v>
      </c>
      <c r="CW6" s="189">
        <f t="shared" si="5"/>
        <v>8</v>
      </c>
      <c r="CX6" s="189">
        <f t="shared" si="5"/>
        <v>9</v>
      </c>
      <c r="CY6" s="189">
        <f t="shared" si="5"/>
        <v>10</v>
      </c>
      <c r="CZ6" s="189">
        <f t="shared" si="5"/>
        <v>11</v>
      </c>
      <c r="DA6" s="189">
        <f t="shared" si="5"/>
        <v>12</v>
      </c>
      <c r="DB6" s="190" t="s">
        <v>0</v>
      </c>
      <c r="DC6" s="189">
        <v>1</v>
      </c>
      <c r="DD6" s="189">
        <v>2</v>
      </c>
      <c r="DE6" s="189">
        <f aca="true" t="shared" si="6" ref="DE6:DN6">DD6+1</f>
        <v>3</v>
      </c>
      <c r="DF6" s="189">
        <f t="shared" si="6"/>
        <v>4</v>
      </c>
      <c r="DG6" s="189">
        <f t="shared" si="6"/>
        <v>5</v>
      </c>
      <c r="DH6" s="189">
        <f t="shared" si="6"/>
        <v>6</v>
      </c>
      <c r="DI6" s="189">
        <f t="shared" si="6"/>
        <v>7</v>
      </c>
      <c r="DJ6" s="189">
        <f t="shared" si="6"/>
        <v>8</v>
      </c>
      <c r="DK6" s="189">
        <f t="shared" si="6"/>
        <v>9</v>
      </c>
      <c r="DL6" s="189">
        <f t="shared" si="6"/>
        <v>10</v>
      </c>
      <c r="DM6" s="189">
        <f t="shared" si="6"/>
        <v>11</v>
      </c>
      <c r="DN6" s="189">
        <f t="shared" si="6"/>
        <v>12</v>
      </c>
      <c r="DO6" s="190" t="s">
        <v>1</v>
      </c>
    </row>
    <row r="7" spans="1:120" ht="12.75" hidden="1">
      <c r="A7" s="187" t="s">
        <v>106</v>
      </c>
      <c r="B7" s="192">
        <f>O7+AB7+AO7+BB7+BO7+CB7+CO7+DB7+DO7</f>
        <v>1237032.02252</v>
      </c>
      <c r="C7" s="193">
        <f>'1-Ф3'!D31</f>
        <v>0</v>
      </c>
      <c r="D7" s="193">
        <f>'1-Ф3'!E31</f>
        <v>0</v>
      </c>
      <c r="E7" s="193">
        <f>'1-Ф3'!F31</f>
        <v>0</v>
      </c>
      <c r="F7" s="193">
        <f>'1-Ф3'!G31</f>
        <v>114591.64500000002</v>
      </c>
      <c r="G7" s="193">
        <f>'1-Ф3'!H31</f>
        <v>114591.64500000002</v>
      </c>
      <c r="H7" s="193">
        <f>'1-Ф3'!I31</f>
        <v>308051.9315066667</v>
      </c>
      <c r="I7" s="193">
        <f>'1-Ф3'!J31</f>
        <v>114591.64500000002</v>
      </c>
      <c r="J7" s="193">
        <f>'1-Ф3'!K31</f>
        <v>308051.9315066667</v>
      </c>
      <c r="K7" s="193">
        <f>'1-Ф3'!L31</f>
        <v>0</v>
      </c>
      <c r="L7" s="193">
        <f>'1-Ф3'!M31</f>
        <v>193460.2865066667</v>
      </c>
      <c r="M7" s="193">
        <f>'1-Ф3'!N31</f>
        <v>14832.3844</v>
      </c>
      <c r="N7" s="193">
        <f>'1-Ф3'!O31</f>
        <v>68860.5536</v>
      </c>
      <c r="O7" s="194">
        <f>SUM(C7:N7)</f>
        <v>1237032.02252</v>
      </c>
      <c r="P7" s="193">
        <f>'1-Ф3'!Q31</f>
        <v>0</v>
      </c>
      <c r="Q7" s="193">
        <f>'1-Ф3'!R31</f>
        <v>0</v>
      </c>
      <c r="R7" s="193">
        <f>'1-Ф3'!S31</f>
        <v>0</v>
      </c>
      <c r="S7" s="193">
        <f>'1-Ф3'!T31</f>
        <v>0</v>
      </c>
      <c r="T7" s="193">
        <f>'1-Ф3'!U31</f>
        <v>0</v>
      </c>
      <c r="U7" s="193">
        <f>'1-Ф3'!V31</f>
        <v>0</v>
      </c>
      <c r="V7" s="193">
        <f>'1-Ф3'!W31</f>
        <v>0</v>
      </c>
      <c r="W7" s="193">
        <f>'1-Ф3'!X31</f>
        <v>0</v>
      </c>
      <c r="X7" s="193">
        <f>'1-Ф3'!Y31</f>
        <v>0</v>
      </c>
      <c r="Y7" s="193">
        <f>'1-Ф3'!Z31</f>
        <v>0</v>
      </c>
      <c r="Z7" s="193">
        <f>'1-Ф3'!AA31</f>
        <v>0</v>
      </c>
      <c r="AA7" s="193">
        <f>'1-Ф3'!AB31</f>
        <v>0</v>
      </c>
      <c r="AB7" s="193">
        <f>SUM(P7:AA7)</f>
        <v>0</v>
      </c>
      <c r="AC7" s="193">
        <f>'1-Ф3'!AD31</f>
        <v>0</v>
      </c>
      <c r="AD7" s="193">
        <f>'1-Ф3'!AE31</f>
        <v>0</v>
      </c>
      <c r="AE7" s="193">
        <f>'1-Ф3'!AF31</f>
        <v>0</v>
      </c>
      <c r="AF7" s="193">
        <f>'1-Ф3'!AG31</f>
        <v>0</v>
      </c>
      <c r="AG7" s="193">
        <f>'1-Ф3'!AH31</f>
        <v>0</v>
      </c>
      <c r="AH7" s="193">
        <f>'1-Ф3'!AI31</f>
        <v>0</v>
      </c>
      <c r="AI7" s="193">
        <f>'1-Ф3'!AJ31</f>
        <v>0</v>
      </c>
      <c r="AJ7" s="193">
        <f>'1-Ф3'!AK31</f>
        <v>0</v>
      </c>
      <c r="AK7" s="193">
        <f>'1-Ф3'!AL31</f>
        <v>0</v>
      </c>
      <c r="AL7" s="193">
        <f>'1-Ф3'!AM31</f>
        <v>0</v>
      </c>
      <c r="AM7" s="193">
        <f>'1-Ф3'!AN31</f>
        <v>0</v>
      </c>
      <c r="AN7" s="193">
        <f>'1-Ф3'!AO31</f>
        <v>0</v>
      </c>
      <c r="AO7" s="193">
        <f>SUM(AC7:AN7)</f>
        <v>0</v>
      </c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5"/>
    </row>
    <row r="8" spans="1:119" s="196" customFormat="1" ht="20.25" customHeight="1" hidden="1">
      <c r="A8" s="187" t="s">
        <v>31</v>
      </c>
      <c r="B8" s="192">
        <f>O8+AB8+AO8+BB8+BO8+CB8+CO8+DB8+DO8</f>
        <v>185218.70293150007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>
        <f>SUM(C8:N8)</f>
        <v>0</v>
      </c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4">
        <f>SUM(P8:AA8)</f>
        <v>0</v>
      </c>
      <c r="AC8" s="193"/>
      <c r="AD8" s="193"/>
      <c r="AE8" s="193"/>
      <c r="AF8" s="193"/>
      <c r="AG8" s="193"/>
      <c r="AH8" s="193"/>
      <c r="AI8" s="193"/>
      <c r="AJ8" s="193"/>
      <c r="AK8" s="193">
        <f>SUM(O9,AB9,(AC9:AK9))</f>
        <v>185218.70293150007</v>
      </c>
      <c r="AL8" s="193"/>
      <c r="AM8" s="193"/>
      <c r="AN8" s="193"/>
      <c r="AO8" s="194">
        <f>SUM(AC8:AN8)</f>
        <v>185218.70293150007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4">
        <f>SUM(AP8:BA8)</f>
        <v>0</v>
      </c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4">
        <f>SUM(BC8:BN8)</f>
        <v>0</v>
      </c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4">
        <f>SUM(BP8:CA8)</f>
        <v>0</v>
      </c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4">
        <f>SUM(CC8:CN8)</f>
        <v>0</v>
      </c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4">
        <f>SUM(CP8:DA8)</f>
        <v>0</v>
      </c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4">
        <f>SUM(DC8:DN8)</f>
        <v>0</v>
      </c>
    </row>
    <row r="9" spans="1:119" s="196" customFormat="1" ht="12.75" hidden="1">
      <c r="A9" s="197" t="s">
        <v>13</v>
      </c>
      <c r="B9" s="192">
        <f>O9+AB9+AO9+BB9+BO9+CB9+CO9+DB9+DO9</f>
        <v>488039.5865588829</v>
      </c>
      <c r="C9" s="193"/>
      <c r="D9" s="193">
        <f>C12*$B$5/12</f>
        <v>0</v>
      </c>
      <c r="E9" s="193">
        <f>D12*$B$5/12</f>
        <v>0</v>
      </c>
      <c r="F9" s="193">
        <f>E12*$B$5/12</f>
        <v>0</v>
      </c>
      <c r="G9" s="193">
        <f>F12*$B$5/12</f>
        <v>668.4512625000001</v>
      </c>
      <c r="H9" s="193">
        <f>G12*$B$5/12</f>
        <v>1336.9025250000002</v>
      </c>
      <c r="I9" s="193">
        <f aca="true" t="shared" si="7" ref="I9:AA9">H12*$B$5/12</f>
        <v>3133.872125455556</v>
      </c>
      <c r="J9" s="193">
        <f t="shared" si="7"/>
        <v>3802.323387955557</v>
      </c>
      <c r="K9" s="193">
        <f t="shared" si="7"/>
        <v>5599.292988411112</v>
      </c>
      <c r="L9" s="193">
        <f>K12*$B$5/12</f>
        <v>5599.292988411112</v>
      </c>
      <c r="M9" s="193">
        <f t="shared" si="7"/>
        <v>6727.811326366667</v>
      </c>
      <c r="N9" s="193">
        <f t="shared" si="7"/>
        <v>6814.333568700001</v>
      </c>
      <c r="O9" s="194">
        <f>SUM(C9:N9)</f>
        <v>33682.280172800005</v>
      </c>
      <c r="P9" s="193">
        <f t="shared" si="7"/>
        <v>7216.0201313666685</v>
      </c>
      <c r="Q9" s="193">
        <f t="shared" si="7"/>
        <v>7216.0201313666685</v>
      </c>
      <c r="R9" s="193">
        <f t="shared" si="7"/>
        <v>7216.0201313666685</v>
      </c>
      <c r="S9" s="193">
        <f t="shared" si="7"/>
        <v>7216.0201313666685</v>
      </c>
      <c r="T9" s="193">
        <f t="shared" si="7"/>
        <v>7216.0201313666685</v>
      </c>
      <c r="U9" s="193">
        <f t="shared" si="7"/>
        <v>7216.0201313666685</v>
      </c>
      <c r="V9" s="193">
        <f t="shared" si="7"/>
        <v>7216.0201313666685</v>
      </c>
      <c r="W9" s="193">
        <f t="shared" si="7"/>
        <v>7216.0201313666685</v>
      </c>
      <c r="X9" s="193">
        <f t="shared" si="7"/>
        <v>7216.0201313666685</v>
      </c>
      <c r="Y9" s="193">
        <f t="shared" si="7"/>
        <v>7216.0201313666685</v>
      </c>
      <c r="Z9" s="193">
        <f t="shared" si="7"/>
        <v>7216.0201313666685</v>
      </c>
      <c r="AA9" s="193">
        <f t="shared" si="7"/>
        <v>7216.0201313666685</v>
      </c>
      <c r="AB9" s="194">
        <f>SUM(P9:AA9)</f>
        <v>86592.2415764</v>
      </c>
      <c r="AC9" s="193">
        <f aca="true" t="shared" si="8" ref="AC9:AN9">AB12*$B$5/12</f>
        <v>7216.0201313666685</v>
      </c>
      <c r="AD9" s="193">
        <f t="shared" si="8"/>
        <v>7216.0201313666685</v>
      </c>
      <c r="AE9" s="193">
        <f t="shared" si="8"/>
        <v>7216.0201313666685</v>
      </c>
      <c r="AF9" s="193">
        <f t="shared" si="8"/>
        <v>7216.0201313666685</v>
      </c>
      <c r="AG9" s="193">
        <f t="shared" si="8"/>
        <v>7216.0201313666685</v>
      </c>
      <c r="AH9" s="193">
        <f t="shared" si="8"/>
        <v>7216.0201313666685</v>
      </c>
      <c r="AI9" s="193">
        <f t="shared" si="8"/>
        <v>7216.0201313666685</v>
      </c>
      <c r="AJ9" s="193">
        <f t="shared" si="8"/>
        <v>7216.0201313666685</v>
      </c>
      <c r="AK9" s="193">
        <f t="shared" si="8"/>
        <v>7216.0201313666685</v>
      </c>
      <c r="AL9" s="193">
        <f t="shared" si="8"/>
        <v>8296.462565133752</v>
      </c>
      <c r="AM9" s="193">
        <f t="shared" si="8"/>
        <v>8181.233918395784</v>
      </c>
      <c r="AN9" s="193">
        <f t="shared" si="8"/>
        <v>8066.005271657815</v>
      </c>
      <c r="AO9" s="194">
        <f>SUM(AC9:AN9)</f>
        <v>89487.88293748737</v>
      </c>
      <c r="AP9" s="193">
        <f aca="true" t="shared" si="9" ref="AP9:BA9">AO12*$B$5/12</f>
        <v>7950.776624919848</v>
      </c>
      <c r="AQ9" s="193">
        <f t="shared" si="9"/>
        <v>7835.547978181879</v>
      </c>
      <c r="AR9" s="193">
        <f t="shared" si="9"/>
        <v>7720.319331443911</v>
      </c>
      <c r="AS9" s="193">
        <f t="shared" si="9"/>
        <v>7605.090684705942</v>
      </c>
      <c r="AT9" s="193">
        <f t="shared" si="9"/>
        <v>7489.862037967975</v>
      </c>
      <c r="AU9" s="193">
        <f t="shared" si="9"/>
        <v>7374.633391230007</v>
      </c>
      <c r="AV9" s="193">
        <f t="shared" si="9"/>
        <v>7259.404744492039</v>
      </c>
      <c r="AW9" s="193">
        <f t="shared" si="9"/>
        <v>7144.176097754072</v>
      </c>
      <c r="AX9" s="193">
        <f t="shared" si="9"/>
        <v>7028.947451016103</v>
      </c>
      <c r="AY9" s="193">
        <f t="shared" si="9"/>
        <v>6913.7188042781345</v>
      </c>
      <c r="AZ9" s="193">
        <f t="shared" si="9"/>
        <v>6798.490157540166</v>
      </c>
      <c r="BA9" s="193">
        <f t="shared" si="9"/>
        <v>6683.261510802199</v>
      </c>
      <c r="BB9" s="194">
        <f>SUM(AP9:BA9)</f>
        <v>87804.22881433227</v>
      </c>
      <c r="BC9" s="193">
        <f aca="true" t="shared" si="10" ref="BC9:BN9">BB12*$B$5/12</f>
        <v>6568.03286406423</v>
      </c>
      <c r="BD9" s="193">
        <f t="shared" si="10"/>
        <v>6452.804217326262</v>
      </c>
      <c r="BE9" s="193">
        <f t="shared" si="10"/>
        <v>6337.575570588294</v>
      </c>
      <c r="BF9" s="193">
        <f t="shared" si="10"/>
        <v>6222.346923850327</v>
      </c>
      <c r="BG9" s="193">
        <f t="shared" si="10"/>
        <v>6107.118277112357</v>
      </c>
      <c r="BH9" s="193">
        <f t="shared" si="10"/>
        <v>5991.889630374389</v>
      </c>
      <c r="BI9" s="193">
        <f t="shared" si="10"/>
        <v>5876.66098363642</v>
      </c>
      <c r="BJ9" s="193">
        <f t="shared" si="10"/>
        <v>5761.4323368984515</v>
      </c>
      <c r="BK9" s="193">
        <f t="shared" si="10"/>
        <v>5646.2036901604815</v>
      </c>
      <c r="BL9" s="193">
        <f t="shared" si="10"/>
        <v>5530.975043422513</v>
      </c>
      <c r="BM9" s="193">
        <f t="shared" si="10"/>
        <v>5415.746396684544</v>
      </c>
      <c r="BN9" s="193">
        <f t="shared" si="10"/>
        <v>5300.517749946576</v>
      </c>
      <c r="BO9" s="194">
        <f>SUM(BC9:BN9)</f>
        <v>71211.30368406486</v>
      </c>
      <c r="BP9" s="193">
        <f aca="true" t="shared" si="11" ref="BP9:CA9">BO12*$B$5/12</f>
        <v>5185.289103208607</v>
      </c>
      <c r="BQ9" s="193">
        <f t="shared" si="11"/>
        <v>5070.060456470638</v>
      </c>
      <c r="BR9" s="193">
        <f t="shared" si="11"/>
        <v>4954.831809732669</v>
      </c>
      <c r="BS9" s="193">
        <f t="shared" si="11"/>
        <v>4839.6031629947</v>
      </c>
      <c r="BT9" s="193">
        <f t="shared" si="11"/>
        <v>4724.374516256732</v>
      </c>
      <c r="BU9" s="193">
        <f t="shared" si="11"/>
        <v>4609.145869518763</v>
      </c>
      <c r="BV9" s="193">
        <f t="shared" si="11"/>
        <v>4493.917222780795</v>
      </c>
      <c r="BW9" s="193">
        <f t="shared" si="11"/>
        <v>4378.688576042826</v>
      </c>
      <c r="BX9" s="193">
        <f t="shared" si="11"/>
        <v>4263.459929304857</v>
      </c>
      <c r="BY9" s="193">
        <f t="shared" si="11"/>
        <v>4148.231282566888</v>
      </c>
      <c r="BZ9" s="193">
        <f t="shared" si="11"/>
        <v>4033.002635828919</v>
      </c>
      <c r="CA9" s="193">
        <f t="shared" si="11"/>
        <v>3917.7739890909506</v>
      </c>
      <c r="CB9" s="194">
        <f>SUM(BP9:CA9)</f>
        <v>54618.378553797345</v>
      </c>
      <c r="CC9" s="193">
        <f aca="true" t="shared" si="12" ref="CC9:CN9">CB12*$B$5/12</f>
        <v>3802.5453423529816</v>
      </c>
      <c r="CD9" s="193">
        <f t="shared" si="12"/>
        <v>3687.316695615013</v>
      </c>
      <c r="CE9" s="193">
        <f t="shared" si="12"/>
        <v>3572.088048877044</v>
      </c>
      <c r="CF9" s="193">
        <f t="shared" si="12"/>
        <v>3456.859402139076</v>
      </c>
      <c r="CG9" s="193">
        <f t="shared" si="12"/>
        <v>3341.630755401107</v>
      </c>
      <c r="CH9" s="193">
        <f t="shared" si="12"/>
        <v>3226.402108663138</v>
      </c>
      <c r="CI9" s="193">
        <f t="shared" si="12"/>
        <v>3111.1734619251692</v>
      </c>
      <c r="CJ9" s="193">
        <f t="shared" si="12"/>
        <v>2995.9448151872</v>
      </c>
      <c r="CK9" s="193">
        <f t="shared" si="12"/>
        <v>2880.7161684492316</v>
      </c>
      <c r="CL9" s="193">
        <f t="shared" si="12"/>
        <v>2765.4875217112626</v>
      </c>
      <c r="CM9" s="193">
        <f t="shared" si="12"/>
        <v>2650.258874973294</v>
      </c>
      <c r="CN9" s="193">
        <f t="shared" si="12"/>
        <v>2535.0302282353255</v>
      </c>
      <c r="CO9" s="194">
        <f>SUM(CC9:CN9)</f>
        <v>38025.45342352984</v>
      </c>
      <c r="CP9" s="193">
        <f aca="true" t="shared" si="13" ref="CP9:DA9">CO12*$B$5/12</f>
        <v>2419.8015814973564</v>
      </c>
      <c r="CQ9" s="193">
        <f t="shared" si="13"/>
        <v>2304.5729347593874</v>
      </c>
      <c r="CR9" s="193">
        <f t="shared" si="13"/>
        <v>2189.344288021419</v>
      </c>
      <c r="CS9" s="193">
        <f t="shared" si="13"/>
        <v>2074.1156412834503</v>
      </c>
      <c r="CT9" s="193">
        <f t="shared" si="13"/>
        <v>1958.8869945454815</v>
      </c>
      <c r="CU9" s="193">
        <f t="shared" si="13"/>
        <v>1843.6583478075127</v>
      </c>
      <c r="CV9" s="193">
        <f t="shared" si="13"/>
        <v>1728.4297010695439</v>
      </c>
      <c r="CW9" s="193">
        <f t="shared" si="13"/>
        <v>1613.2010543315753</v>
      </c>
      <c r="CX9" s="193">
        <f t="shared" si="13"/>
        <v>1497.9724075936062</v>
      </c>
      <c r="CY9" s="193">
        <f t="shared" si="13"/>
        <v>1382.7437608556374</v>
      </c>
      <c r="CZ9" s="193">
        <f t="shared" si="13"/>
        <v>1267.5151141176686</v>
      </c>
      <c r="DA9" s="193">
        <f t="shared" si="13"/>
        <v>1152.2864673797</v>
      </c>
      <c r="DB9" s="194">
        <f>SUM(CP9:DA9)</f>
        <v>21432.528293262338</v>
      </c>
      <c r="DC9" s="193">
        <f aca="true" t="shared" si="14" ref="DC9:DN9">DB12*$B$5/12</f>
        <v>1037.057820641731</v>
      </c>
      <c r="DD9" s="193">
        <f t="shared" si="14"/>
        <v>921.8291739037624</v>
      </c>
      <c r="DE9" s="193">
        <f t="shared" si="14"/>
        <v>806.6005271657937</v>
      </c>
      <c r="DF9" s="193">
        <f t="shared" si="14"/>
        <v>691.371880427825</v>
      </c>
      <c r="DG9" s="193">
        <f t="shared" si="14"/>
        <v>576.1432336898561</v>
      </c>
      <c r="DH9" s="193">
        <f t="shared" si="14"/>
        <v>460.9145869518873</v>
      </c>
      <c r="DI9" s="193">
        <f t="shared" si="14"/>
        <v>345.6859402139185</v>
      </c>
      <c r="DJ9" s="193">
        <f t="shared" si="14"/>
        <v>230.45729347594977</v>
      </c>
      <c r="DK9" s="193">
        <f t="shared" si="14"/>
        <v>115.22864673798101</v>
      </c>
      <c r="DL9" s="193">
        <f t="shared" si="14"/>
        <v>1.2223608791828158E-11</v>
      </c>
      <c r="DM9" s="193">
        <f t="shared" si="14"/>
        <v>1.2223608791828158E-11</v>
      </c>
      <c r="DN9" s="193">
        <f t="shared" si="14"/>
        <v>1.2223608791828158E-11</v>
      </c>
      <c r="DO9" s="194">
        <f>SUM(DC9:DN9)</f>
        <v>5185.289103208741</v>
      </c>
    </row>
    <row r="10" spans="1:120" ht="12.75" hidden="1">
      <c r="A10" s="187" t="s">
        <v>14</v>
      </c>
      <c r="B10" s="192">
        <f>O10+AB10+AO10+BB10+BO10+CB10+CO10+DB10+DO10</f>
        <v>1422250.7254515002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8"/>
      <c r="M10" s="198"/>
      <c r="N10" s="198"/>
      <c r="O10" s="194">
        <f>SUM(C10:N10)</f>
        <v>0</v>
      </c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4">
        <f>SUM(P10:AA10)</f>
        <v>0</v>
      </c>
      <c r="AC10" s="198"/>
      <c r="AD10" s="198"/>
      <c r="AE10" s="198"/>
      <c r="AF10" s="198"/>
      <c r="AG10" s="198"/>
      <c r="AH10" s="198"/>
      <c r="AI10" s="198"/>
      <c r="AJ10" s="198"/>
      <c r="AK10" s="198"/>
      <c r="AL10" s="193">
        <f>$AK$12/$B$13</f>
        <v>19753.482297937502</v>
      </c>
      <c r="AM10" s="193">
        <f aca="true" t="shared" si="15" ref="AM10:CY10">$AK$12/$B$13</f>
        <v>19753.482297937502</v>
      </c>
      <c r="AN10" s="193">
        <f t="shared" si="15"/>
        <v>19753.482297937502</v>
      </c>
      <c r="AO10" s="194">
        <f>SUM(AC10:AN10)</f>
        <v>59260.44689381251</v>
      </c>
      <c r="AP10" s="193">
        <f t="shared" si="15"/>
        <v>19753.482297937502</v>
      </c>
      <c r="AQ10" s="193">
        <f t="shared" si="15"/>
        <v>19753.482297937502</v>
      </c>
      <c r="AR10" s="193">
        <f t="shared" si="15"/>
        <v>19753.482297937502</v>
      </c>
      <c r="AS10" s="193">
        <f t="shared" si="15"/>
        <v>19753.482297937502</v>
      </c>
      <c r="AT10" s="193">
        <f t="shared" si="15"/>
        <v>19753.482297937502</v>
      </c>
      <c r="AU10" s="193">
        <f t="shared" si="15"/>
        <v>19753.482297937502</v>
      </c>
      <c r="AV10" s="193">
        <f t="shared" si="15"/>
        <v>19753.482297937502</v>
      </c>
      <c r="AW10" s="193">
        <f t="shared" si="15"/>
        <v>19753.482297937502</v>
      </c>
      <c r="AX10" s="193">
        <f t="shared" si="15"/>
        <v>19753.482297937502</v>
      </c>
      <c r="AY10" s="193">
        <f t="shared" si="15"/>
        <v>19753.482297937502</v>
      </c>
      <c r="AZ10" s="193">
        <f t="shared" si="15"/>
        <v>19753.482297937502</v>
      </c>
      <c r="BA10" s="193">
        <f t="shared" si="15"/>
        <v>19753.482297937502</v>
      </c>
      <c r="BB10" s="194">
        <f>SUM(AP10:BA10)</f>
        <v>237041.78757525003</v>
      </c>
      <c r="BC10" s="193">
        <f t="shared" si="15"/>
        <v>19753.482297937502</v>
      </c>
      <c r="BD10" s="193">
        <f t="shared" si="15"/>
        <v>19753.482297937502</v>
      </c>
      <c r="BE10" s="193">
        <f t="shared" si="15"/>
        <v>19753.482297937502</v>
      </c>
      <c r="BF10" s="193">
        <f t="shared" si="15"/>
        <v>19753.482297937502</v>
      </c>
      <c r="BG10" s="193">
        <f t="shared" si="15"/>
        <v>19753.482297937502</v>
      </c>
      <c r="BH10" s="193">
        <f t="shared" si="15"/>
        <v>19753.482297937502</v>
      </c>
      <c r="BI10" s="193">
        <f t="shared" si="15"/>
        <v>19753.482297937502</v>
      </c>
      <c r="BJ10" s="193">
        <f t="shared" si="15"/>
        <v>19753.482297937502</v>
      </c>
      <c r="BK10" s="193">
        <f t="shared" si="15"/>
        <v>19753.482297937502</v>
      </c>
      <c r="BL10" s="193">
        <f t="shared" si="15"/>
        <v>19753.482297937502</v>
      </c>
      <c r="BM10" s="193">
        <f t="shared" si="15"/>
        <v>19753.482297937502</v>
      </c>
      <c r="BN10" s="193">
        <f t="shared" si="15"/>
        <v>19753.482297937502</v>
      </c>
      <c r="BO10" s="194">
        <f>SUM(BC10:BN10)</f>
        <v>237041.78757525003</v>
      </c>
      <c r="BP10" s="193">
        <f t="shared" si="15"/>
        <v>19753.482297937502</v>
      </c>
      <c r="BQ10" s="193">
        <f t="shared" si="15"/>
        <v>19753.482297937502</v>
      </c>
      <c r="BR10" s="193">
        <f t="shared" si="15"/>
        <v>19753.482297937502</v>
      </c>
      <c r="BS10" s="193">
        <f t="shared" si="15"/>
        <v>19753.482297937502</v>
      </c>
      <c r="BT10" s="193">
        <f t="shared" si="15"/>
        <v>19753.482297937502</v>
      </c>
      <c r="BU10" s="193">
        <f t="shared" si="15"/>
        <v>19753.482297937502</v>
      </c>
      <c r="BV10" s="193">
        <f t="shared" si="15"/>
        <v>19753.482297937502</v>
      </c>
      <c r="BW10" s="193">
        <f t="shared" si="15"/>
        <v>19753.482297937502</v>
      </c>
      <c r="BX10" s="193">
        <f t="shared" si="15"/>
        <v>19753.482297937502</v>
      </c>
      <c r="BY10" s="193">
        <f t="shared" si="15"/>
        <v>19753.482297937502</v>
      </c>
      <c r="BZ10" s="193">
        <f t="shared" si="15"/>
        <v>19753.482297937502</v>
      </c>
      <c r="CA10" s="193">
        <f t="shared" si="15"/>
        <v>19753.482297937502</v>
      </c>
      <c r="CB10" s="194">
        <f>SUM(BP10:CA10)</f>
        <v>237041.78757525003</v>
      </c>
      <c r="CC10" s="193">
        <f t="shared" si="15"/>
        <v>19753.482297937502</v>
      </c>
      <c r="CD10" s="193">
        <f t="shared" si="15"/>
        <v>19753.482297937502</v>
      </c>
      <c r="CE10" s="193">
        <f t="shared" si="15"/>
        <v>19753.482297937502</v>
      </c>
      <c r="CF10" s="193">
        <f t="shared" si="15"/>
        <v>19753.482297937502</v>
      </c>
      <c r="CG10" s="193">
        <f t="shared" si="15"/>
        <v>19753.482297937502</v>
      </c>
      <c r="CH10" s="193">
        <f t="shared" si="15"/>
        <v>19753.482297937502</v>
      </c>
      <c r="CI10" s="193">
        <f t="shared" si="15"/>
        <v>19753.482297937502</v>
      </c>
      <c r="CJ10" s="193">
        <f t="shared" si="15"/>
        <v>19753.482297937502</v>
      </c>
      <c r="CK10" s="193">
        <f t="shared" si="15"/>
        <v>19753.482297937502</v>
      </c>
      <c r="CL10" s="193">
        <f t="shared" si="15"/>
        <v>19753.482297937502</v>
      </c>
      <c r="CM10" s="193">
        <f t="shared" si="15"/>
        <v>19753.482297937502</v>
      </c>
      <c r="CN10" s="193">
        <f t="shared" si="15"/>
        <v>19753.482297937502</v>
      </c>
      <c r="CO10" s="194">
        <f>SUM(CC10:CN10)</f>
        <v>237041.78757525003</v>
      </c>
      <c r="CP10" s="193">
        <f t="shared" si="15"/>
        <v>19753.482297937502</v>
      </c>
      <c r="CQ10" s="193">
        <f t="shared" si="15"/>
        <v>19753.482297937502</v>
      </c>
      <c r="CR10" s="193">
        <f t="shared" si="15"/>
        <v>19753.482297937502</v>
      </c>
      <c r="CS10" s="193">
        <f t="shared" si="15"/>
        <v>19753.482297937502</v>
      </c>
      <c r="CT10" s="193">
        <f t="shared" si="15"/>
        <v>19753.482297937502</v>
      </c>
      <c r="CU10" s="193">
        <f t="shared" si="15"/>
        <v>19753.482297937502</v>
      </c>
      <c r="CV10" s="193">
        <f t="shared" si="15"/>
        <v>19753.482297937502</v>
      </c>
      <c r="CW10" s="193">
        <f t="shared" si="15"/>
        <v>19753.482297937502</v>
      </c>
      <c r="CX10" s="193">
        <f t="shared" si="15"/>
        <v>19753.482297937502</v>
      </c>
      <c r="CY10" s="193">
        <f t="shared" si="15"/>
        <v>19753.482297937502</v>
      </c>
      <c r="CZ10" s="193">
        <f aca="true" t="shared" si="16" ref="CZ10:DK10">$AK$12/$B$13</f>
        <v>19753.482297937502</v>
      </c>
      <c r="DA10" s="193">
        <f t="shared" si="16"/>
        <v>19753.482297937502</v>
      </c>
      <c r="DB10" s="194">
        <f>SUM(CP10:DA10)</f>
        <v>237041.78757525003</v>
      </c>
      <c r="DC10" s="193">
        <f t="shared" si="16"/>
        <v>19753.482297937502</v>
      </c>
      <c r="DD10" s="193">
        <f t="shared" si="16"/>
        <v>19753.482297937502</v>
      </c>
      <c r="DE10" s="193">
        <f t="shared" si="16"/>
        <v>19753.482297937502</v>
      </c>
      <c r="DF10" s="193">
        <f t="shared" si="16"/>
        <v>19753.482297937502</v>
      </c>
      <c r="DG10" s="193">
        <f t="shared" si="16"/>
        <v>19753.482297937502</v>
      </c>
      <c r="DH10" s="193">
        <f t="shared" si="16"/>
        <v>19753.482297937502</v>
      </c>
      <c r="DI10" s="193">
        <f t="shared" si="16"/>
        <v>19753.482297937502</v>
      </c>
      <c r="DJ10" s="193">
        <f t="shared" si="16"/>
        <v>19753.482297937502</v>
      </c>
      <c r="DK10" s="193">
        <f t="shared" si="16"/>
        <v>19753.482297937502</v>
      </c>
      <c r="DL10" s="193"/>
      <c r="DM10" s="193"/>
      <c r="DN10" s="193"/>
      <c r="DO10" s="194">
        <f>SUM(DC10:DN10)</f>
        <v>177781.34068143752</v>
      </c>
      <c r="DP10" s="195"/>
    </row>
    <row r="11" spans="1:120" ht="12.75" hidden="1">
      <c r="A11" s="187" t="s">
        <v>15</v>
      </c>
      <c r="B11" s="192">
        <f>O11+AB11+AO11+BB11+BO11+CB11+CO11+DB11+DO11</f>
        <v>302820.88362738275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8"/>
      <c r="M11" s="198"/>
      <c r="N11" s="198"/>
      <c r="O11" s="194">
        <f>SUM(C11:N11)</f>
        <v>0</v>
      </c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4">
        <f>SUM(P11:AA11)</f>
        <v>0</v>
      </c>
      <c r="AC11" s="198"/>
      <c r="AD11" s="198"/>
      <c r="AE11" s="198"/>
      <c r="AF11" s="198"/>
      <c r="AG11" s="198"/>
      <c r="AH11" s="198"/>
      <c r="AI11" s="198"/>
      <c r="AJ11" s="198"/>
      <c r="AK11" s="198"/>
      <c r="AL11" s="193">
        <f aca="true" t="shared" si="17" ref="AL11:BN11">AL9</f>
        <v>8296.462565133752</v>
      </c>
      <c r="AM11" s="193">
        <f t="shared" si="17"/>
        <v>8181.233918395784</v>
      </c>
      <c r="AN11" s="193">
        <f t="shared" si="17"/>
        <v>8066.005271657815</v>
      </c>
      <c r="AO11" s="194">
        <f>SUM(AC11:AN11)</f>
        <v>24543.70175518735</v>
      </c>
      <c r="AP11" s="193">
        <f t="shared" si="17"/>
        <v>7950.776624919848</v>
      </c>
      <c r="AQ11" s="193">
        <f t="shared" si="17"/>
        <v>7835.547978181879</v>
      </c>
      <c r="AR11" s="193">
        <f t="shared" si="17"/>
        <v>7720.319331443911</v>
      </c>
      <c r="AS11" s="193">
        <f t="shared" si="17"/>
        <v>7605.090684705942</v>
      </c>
      <c r="AT11" s="193">
        <f t="shared" si="17"/>
        <v>7489.862037967975</v>
      </c>
      <c r="AU11" s="193">
        <f t="shared" si="17"/>
        <v>7374.633391230007</v>
      </c>
      <c r="AV11" s="193">
        <f t="shared" si="17"/>
        <v>7259.404744492039</v>
      </c>
      <c r="AW11" s="193">
        <f t="shared" si="17"/>
        <v>7144.176097754072</v>
      </c>
      <c r="AX11" s="193">
        <f t="shared" si="17"/>
        <v>7028.947451016103</v>
      </c>
      <c r="AY11" s="193">
        <f t="shared" si="17"/>
        <v>6913.7188042781345</v>
      </c>
      <c r="AZ11" s="193">
        <f t="shared" si="17"/>
        <v>6798.490157540166</v>
      </c>
      <c r="BA11" s="193">
        <f t="shared" si="17"/>
        <v>6683.261510802199</v>
      </c>
      <c r="BB11" s="194">
        <f>SUM(AP11:BA11)</f>
        <v>87804.22881433227</v>
      </c>
      <c r="BC11" s="193">
        <f t="shared" si="17"/>
        <v>6568.03286406423</v>
      </c>
      <c r="BD11" s="193">
        <f t="shared" si="17"/>
        <v>6452.804217326262</v>
      </c>
      <c r="BE11" s="193">
        <f t="shared" si="17"/>
        <v>6337.575570588294</v>
      </c>
      <c r="BF11" s="193">
        <f t="shared" si="17"/>
        <v>6222.346923850327</v>
      </c>
      <c r="BG11" s="193">
        <f t="shared" si="17"/>
        <v>6107.118277112357</v>
      </c>
      <c r="BH11" s="193">
        <f t="shared" si="17"/>
        <v>5991.889630374389</v>
      </c>
      <c r="BI11" s="193">
        <f t="shared" si="17"/>
        <v>5876.66098363642</v>
      </c>
      <c r="BJ11" s="193">
        <f t="shared" si="17"/>
        <v>5761.4323368984515</v>
      </c>
      <c r="BK11" s="193">
        <f t="shared" si="17"/>
        <v>5646.2036901604815</v>
      </c>
      <c r="BL11" s="193">
        <f t="shared" si="17"/>
        <v>5530.975043422513</v>
      </c>
      <c r="BM11" s="193">
        <f t="shared" si="17"/>
        <v>5415.746396684544</v>
      </c>
      <c r="BN11" s="193">
        <f t="shared" si="17"/>
        <v>5300.517749946576</v>
      </c>
      <c r="BO11" s="194">
        <f>SUM(BC11:BN11)</f>
        <v>71211.30368406486</v>
      </c>
      <c r="BP11" s="193">
        <f aca="true" t="shared" si="18" ref="BP11:CA11">BP9</f>
        <v>5185.289103208607</v>
      </c>
      <c r="BQ11" s="193">
        <f t="shared" si="18"/>
        <v>5070.060456470638</v>
      </c>
      <c r="BR11" s="193">
        <f t="shared" si="18"/>
        <v>4954.831809732669</v>
      </c>
      <c r="BS11" s="193">
        <f t="shared" si="18"/>
        <v>4839.6031629947</v>
      </c>
      <c r="BT11" s="193">
        <f t="shared" si="18"/>
        <v>4724.374516256732</v>
      </c>
      <c r="BU11" s="193">
        <f t="shared" si="18"/>
        <v>4609.145869518763</v>
      </c>
      <c r="BV11" s="193">
        <f t="shared" si="18"/>
        <v>4493.917222780795</v>
      </c>
      <c r="BW11" s="193">
        <f t="shared" si="18"/>
        <v>4378.688576042826</v>
      </c>
      <c r="BX11" s="193">
        <f t="shared" si="18"/>
        <v>4263.459929304857</v>
      </c>
      <c r="BY11" s="193">
        <f t="shared" si="18"/>
        <v>4148.231282566888</v>
      </c>
      <c r="BZ11" s="193">
        <f t="shared" si="18"/>
        <v>4033.002635828919</v>
      </c>
      <c r="CA11" s="193">
        <f t="shared" si="18"/>
        <v>3917.7739890909506</v>
      </c>
      <c r="CB11" s="194">
        <f>SUM(BP11:CA11)</f>
        <v>54618.378553797345</v>
      </c>
      <c r="CC11" s="193">
        <f aca="true" t="shared" si="19" ref="CC11:CN11">CC9</f>
        <v>3802.5453423529816</v>
      </c>
      <c r="CD11" s="193">
        <f t="shared" si="19"/>
        <v>3687.316695615013</v>
      </c>
      <c r="CE11" s="193">
        <f t="shared" si="19"/>
        <v>3572.088048877044</v>
      </c>
      <c r="CF11" s="193">
        <f t="shared" si="19"/>
        <v>3456.859402139076</v>
      </c>
      <c r="CG11" s="193">
        <f t="shared" si="19"/>
        <v>3341.630755401107</v>
      </c>
      <c r="CH11" s="193">
        <f t="shared" si="19"/>
        <v>3226.402108663138</v>
      </c>
      <c r="CI11" s="193">
        <f t="shared" si="19"/>
        <v>3111.1734619251692</v>
      </c>
      <c r="CJ11" s="193">
        <f t="shared" si="19"/>
        <v>2995.9448151872</v>
      </c>
      <c r="CK11" s="193">
        <f t="shared" si="19"/>
        <v>2880.7161684492316</v>
      </c>
      <c r="CL11" s="193">
        <f t="shared" si="19"/>
        <v>2765.4875217112626</v>
      </c>
      <c r="CM11" s="193">
        <f t="shared" si="19"/>
        <v>2650.258874973294</v>
      </c>
      <c r="CN11" s="193">
        <f t="shared" si="19"/>
        <v>2535.0302282353255</v>
      </c>
      <c r="CO11" s="194">
        <f>SUM(CC11:CN11)</f>
        <v>38025.45342352984</v>
      </c>
      <c r="CP11" s="193">
        <f aca="true" t="shared" si="20" ref="CP11:DA11">CP9</f>
        <v>2419.8015814973564</v>
      </c>
      <c r="CQ11" s="193">
        <f t="shared" si="20"/>
        <v>2304.5729347593874</v>
      </c>
      <c r="CR11" s="193">
        <f t="shared" si="20"/>
        <v>2189.344288021419</v>
      </c>
      <c r="CS11" s="193">
        <f t="shared" si="20"/>
        <v>2074.1156412834503</v>
      </c>
      <c r="CT11" s="193">
        <f t="shared" si="20"/>
        <v>1958.8869945454815</v>
      </c>
      <c r="CU11" s="193">
        <f t="shared" si="20"/>
        <v>1843.6583478075127</v>
      </c>
      <c r="CV11" s="193">
        <f t="shared" si="20"/>
        <v>1728.4297010695439</v>
      </c>
      <c r="CW11" s="193">
        <f t="shared" si="20"/>
        <v>1613.2010543315753</v>
      </c>
      <c r="CX11" s="193">
        <f t="shared" si="20"/>
        <v>1497.9724075936062</v>
      </c>
      <c r="CY11" s="193">
        <f t="shared" si="20"/>
        <v>1382.7437608556374</v>
      </c>
      <c r="CZ11" s="193">
        <f t="shared" si="20"/>
        <v>1267.5151141176686</v>
      </c>
      <c r="DA11" s="193">
        <f t="shared" si="20"/>
        <v>1152.2864673797</v>
      </c>
      <c r="DB11" s="194">
        <f>SUM(CP11:DA11)</f>
        <v>21432.528293262338</v>
      </c>
      <c r="DC11" s="193">
        <f aca="true" t="shared" si="21" ref="DC11:DN11">DC9</f>
        <v>1037.057820641731</v>
      </c>
      <c r="DD11" s="193">
        <f t="shared" si="21"/>
        <v>921.8291739037624</v>
      </c>
      <c r="DE11" s="193">
        <f t="shared" si="21"/>
        <v>806.6005271657937</v>
      </c>
      <c r="DF11" s="193">
        <f t="shared" si="21"/>
        <v>691.371880427825</v>
      </c>
      <c r="DG11" s="193">
        <f t="shared" si="21"/>
        <v>576.1432336898561</v>
      </c>
      <c r="DH11" s="193">
        <f t="shared" si="21"/>
        <v>460.9145869518873</v>
      </c>
      <c r="DI11" s="193">
        <f t="shared" si="21"/>
        <v>345.6859402139185</v>
      </c>
      <c r="DJ11" s="193">
        <f t="shared" si="21"/>
        <v>230.45729347594977</v>
      </c>
      <c r="DK11" s="193">
        <f t="shared" si="21"/>
        <v>115.22864673798101</v>
      </c>
      <c r="DL11" s="193">
        <f t="shared" si="21"/>
        <v>1.2223608791828158E-11</v>
      </c>
      <c r="DM11" s="193">
        <f t="shared" si="21"/>
        <v>1.2223608791828158E-11</v>
      </c>
      <c r="DN11" s="193">
        <f t="shared" si="21"/>
        <v>1.2223608791828158E-11</v>
      </c>
      <c r="DO11" s="194">
        <f>SUM(DC11:DN11)</f>
        <v>5185.289103208741</v>
      </c>
      <c r="DP11" s="195" t="s">
        <v>58</v>
      </c>
    </row>
    <row r="12" spans="1:120" ht="12.75" hidden="1">
      <c r="A12" s="187" t="s">
        <v>16</v>
      </c>
      <c r="B12" s="192">
        <f>DO12</f>
        <v>2.0954757928848267E-09</v>
      </c>
      <c r="C12" s="193">
        <f>C7</f>
        <v>0</v>
      </c>
      <c r="D12" s="193">
        <f>C12+D7-D10+D8</f>
        <v>0</v>
      </c>
      <c r="E12" s="193">
        <f>D12+E7-E10+E8</f>
        <v>0</v>
      </c>
      <c r="F12" s="193">
        <f>E12+F7-F10+F8</f>
        <v>114591.64500000002</v>
      </c>
      <c r="G12" s="193">
        <f aca="true" t="shared" si="22" ref="G12:L12">F12+G7-G10+G8</f>
        <v>229183.29000000004</v>
      </c>
      <c r="H12" s="193">
        <f>G12+H7-H10+H8</f>
        <v>537235.2215066667</v>
      </c>
      <c r="I12" s="193">
        <f t="shared" si="22"/>
        <v>651826.8665066668</v>
      </c>
      <c r="J12" s="193">
        <f t="shared" si="22"/>
        <v>959878.7980133335</v>
      </c>
      <c r="K12" s="193">
        <f t="shared" si="22"/>
        <v>959878.7980133335</v>
      </c>
      <c r="L12" s="193">
        <f t="shared" si="22"/>
        <v>1153339.08452</v>
      </c>
      <c r="M12" s="193">
        <f>L12+M7-M10+M8</f>
        <v>1168171.4689200001</v>
      </c>
      <c r="N12" s="193">
        <f>M12+N7-N10+N8</f>
        <v>1237032.02252</v>
      </c>
      <c r="O12" s="194">
        <f>N12</f>
        <v>1237032.02252</v>
      </c>
      <c r="P12" s="193">
        <f>O12+P7-P10+P8</f>
        <v>1237032.02252</v>
      </c>
      <c r="Q12" s="193">
        <f aca="true" t="shared" si="23" ref="Q12:Z12">P12+Q7-Q10+Q8</f>
        <v>1237032.02252</v>
      </c>
      <c r="R12" s="193">
        <f t="shared" si="23"/>
        <v>1237032.02252</v>
      </c>
      <c r="S12" s="193">
        <f t="shared" si="23"/>
        <v>1237032.02252</v>
      </c>
      <c r="T12" s="193">
        <f t="shared" si="23"/>
        <v>1237032.02252</v>
      </c>
      <c r="U12" s="193">
        <f t="shared" si="23"/>
        <v>1237032.02252</v>
      </c>
      <c r="V12" s="193">
        <f t="shared" si="23"/>
        <v>1237032.02252</v>
      </c>
      <c r="W12" s="193">
        <f t="shared" si="23"/>
        <v>1237032.02252</v>
      </c>
      <c r="X12" s="193">
        <f t="shared" si="23"/>
        <v>1237032.02252</v>
      </c>
      <c r="Y12" s="193">
        <f t="shared" si="23"/>
        <v>1237032.02252</v>
      </c>
      <c r="Z12" s="193">
        <f t="shared" si="23"/>
        <v>1237032.02252</v>
      </c>
      <c r="AA12" s="193">
        <f>Z12+AA7-AA10+AA8</f>
        <v>1237032.02252</v>
      </c>
      <c r="AB12" s="194">
        <f>AA12</f>
        <v>1237032.02252</v>
      </c>
      <c r="AC12" s="193">
        <f>AB12+AC7-AC10+AC8</f>
        <v>1237032.02252</v>
      </c>
      <c r="AD12" s="193">
        <f aca="true" t="shared" si="24" ref="AD12:AN12">AC12+AD7-AD10+AD8</f>
        <v>1237032.02252</v>
      </c>
      <c r="AE12" s="193">
        <f t="shared" si="24"/>
        <v>1237032.02252</v>
      </c>
      <c r="AF12" s="193">
        <f t="shared" si="24"/>
        <v>1237032.02252</v>
      </c>
      <c r="AG12" s="193">
        <f t="shared" si="24"/>
        <v>1237032.02252</v>
      </c>
      <c r="AH12" s="193">
        <f t="shared" si="24"/>
        <v>1237032.02252</v>
      </c>
      <c r="AI12" s="193">
        <f t="shared" si="24"/>
        <v>1237032.02252</v>
      </c>
      <c r="AJ12" s="193">
        <f t="shared" si="24"/>
        <v>1237032.02252</v>
      </c>
      <c r="AK12" s="193">
        <f t="shared" si="24"/>
        <v>1422250.7254515002</v>
      </c>
      <c r="AL12" s="193">
        <f t="shared" si="24"/>
        <v>1402497.2431535628</v>
      </c>
      <c r="AM12" s="193">
        <f t="shared" si="24"/>
        <v>1382743.7608556254</v>
      </c>
      <c r="AN12" s="193">
        <f t="shared" si="24"/>
        <v>1362990.278557688</v>
      </c>
      <c r="AO12" s="194">
        <f>AN12</f>
        <v>1362990.278557688</v>
      </c>
      <c r="AP12" s="193">
        <f>AO12+AP7-AP10+AP8</f>
        <v>1343236.7962597506</v>
      </c>
      <c r="AQ12" s="193">
        <f aca="true" t="shared" si="25" ref="AQ12:BA12">AP12+AQ7-AQ10+AQ8</f>
        <v>1323483.3139618132</v>
      </c>
      <c r="AR12" s="193">
        <f t="shared" si="25"/>
        <v>1303729.8316638758</v>
      </c>
      <c r="AS12" s="193">
        <f t="shared" si="25"/>
        <v>1283976.3493659385</v>
      </c>
      <c r="AT12" s="193">
        <f t="shared" si="25"/>
        <v>1264222.867068001</v>
      </c>
      <c r="AU12" s="193">
        <f t="shared" si="25"/>
        <v>1244469.3847700637</v>
      </c>
      <c r="AV12" s="193">
        <f t="shared" si="25"/>
        <v>1224715.9024721263</v>
      </c>
      <c r="AW12" s="193">
        <f t="shared" si="25"/>
        <v>1204962.420174189</v>
      </c>
      <c r="AX12" s="193">
        <f t="shared" si="25"/>
        <v>1185208.9378762515</v>
      </c>
      <c r="AY12" s="193">
        <f t="shared" si="25"/>
        <v>1165455.4555783141</v>
      </c>
      <c r="AZ12" s="193">
        <f t="shared" si="25"/>
        <v>1145701.9732803768</v>
      </c>
      <c r="BA12" s="193">
        <f t="shared" si="25"/>
        <v>1125948.4909824394</v>
      </c>
      <c r="BB12" s="194">
        <f>BA12</f>
        <v>1125948.4909824394</v>
      </c>
      <c r="BC12" s="193">
        <f>BB12+BC7-BC10+BC8</f>
        <v>1106195.008684502</v>
      </c>
      <c r="BD12" s="193">
        <f aca="true" t="shared" si="26" ref="BD12:BN12">BC12+BD7-BD10+BD8</f>
        <v>1086441.5263865646</v>
      </c>
      <c r="BE12" s="193">
        <f t="shared" si="26"/>
        <v>1066688.0440886272</v>
      </c>
      <c r="BF12" s="193">
        <f t="shared" si="26"/>
        <v>1046934.5617906897</v>
      </c>
      <c r="BG12" s="193">
        <f t="shared" si="26"/>
        <v>1027181.0794927522</v>
      </c>
      <c r="BH12" s="193">
        <f t="shared" si="26"/>
        <v>1007427.5971948147</v>
      </c>
      <c r="BI12" s="193">
        <f t="shared" si="26"/>
        <v>987674.1148968772</v>
      </c>
      <c r="BJ12" s="193">
        <f t="shared" si="26"/>
        <v>967920.6325989397</v>
      </c>
      <c r="BK12" s="193">
        <f t="shared" si="26"/>
        <v>948167.1503010022</v>
      </c>
      <c r="BL12" s="193">
        <f t="shared" si="26"/>
        <v>928413.6680030647</v>
      </c>
      <c r="BM12" s="193">
        <f t="shared" si="26"/>
        <v>908660.1857051272</v>
      </c>
      <c r="BN12" s="193">
        <f t="shared" si="26"/>
        <v>888906.7034071897</v>
      </c>
      <c r="BO12" s="194">
        <f>BN12</f>
        <v>888906.7034071897</v>
      </c>
      <c r="BP12" s="193">
        <f aca="true" t="shared" si="27" ref="BP12:CA12">BO12+BP7-BP10+BP8</f>
        <v>869153.2211092522</v>
      </c>
      <c r="BQ12" s="193">
        <f t="shared" si="27"/>
        <v>849399.7388113147</v>
      </c>
      <c r="BR12" s="193">
        <f t="shared" si="27"/>
        <v>829646.2565133772</v>
      </c>
      <c r="BS12" s="193">
        <f t="shared" si="27"/>
        <v>809892.7742154397</v>
      </c>
      <c r="BT12" s="193">
        <f t="shared" si="27"/>
        <v>790139.2919175022</v>
      </c>
      <c r="BU12" s="193">
        <f t="shared" si="27"/>
        <v>770385.8096195647</v>
      </c>
      <c r="BV12" s="193">
        <f t="shared" si="27"/>
        <v>750632.3273216272</v>
      </c>
      <c r="BW12" s="193">
        <f t="shared" si="27"/>
        <v>730878.8450236897</v>
      </c>
      <c r="BX12" s="193">
        <f t="shared" si="27"/>
        <v>711125.3627257522</v>
      </c>
      <c r="BY12" s="193">
        <f t="shared" si="27"/>
        <v>691371.8804278147</v>
      </c>
      <c r="BZ12" s="193">
        <f t="shared" si="27"/>
        <v>671618.3981298772</v>
      </c>
      <c r="CA12" s="193">
        <f t="shared" si="27"/>
        <v>651864.9158319397</v>
      </c>
      <c r="CB12" s="194">
        <f>CA12</f>
        <v>651864.9158319397</v>
      </c>
      <c r="CC12" s="193">
        <f aca="true" t="shared" si="28" ref="CC12:CN12">CB12+CC7-CC10+CC8</f>
        <v>632111.4335340022</v>
      </c>
      <c r="CD12" s="193">
        <f t="shared" si="28"/>
        <v>612357.9512360647</v>
      </c>
      <c r="CE12" s="193">
        <f t="shared" si="28"/>
        <v>592604.4689381272</v>
      </c>
      <c r="CF12" s="193">
        <f t="shared" si="28"/>
        <v>572850.9866401897</v>
      </c>
      <c r="CG12" s="193">
        <f t="shared" si="28"/>
        <v>553097.5043422522</v>
      </c>
      <c r="CH12" s="193">
        <f t="shared" si="28"/>
        <v>533344.0220443147</v>
      </c>
      <c r="CI12" s="193">
        <f t="shared" si="28"/>
        <v>513590.53974637715</v>
      </c>
      <c r="CJ12" s="193">
        <f t="shared" si="28"/>
        <v>493837.05744843965</v>
      </c>
      <c r="CK12" s="193">
        <f t="shared" si="28"/>
        <v>474083.57515050215</v>
      </c>
      <c r="CL12" s="193">
        <f t="shared" si="28"/>
        <v>454330.09285256464</v>
      </c>
      <c r="CM12" s="193">
        <f t="shared" si="28"/>
        <v>434576.61055462714</v>
      </c>
      <c r="CN12" s="193">
        <f t="shared" si="28"/>
        <v>414823.12825668964</v>
      </c>
      <c r="CO12" s="194">
        <f>CN12</f>
        <v>414823.12825668964</v>
      </c>
      <c r="CP12" s="193">
        <f aca="true" t="shared" si="29" ref="CP12:DA12">CO12+CP7-CP10+CP8</f>
        <v>395069.64595875214</v>
      </c>
      <c r="CQ12" s="193">
        <f t="shared" si="29"/>
        <v>375316.16366081464</v>
      </c>
      <c r="CR12" s="193">
        <f t="shared" si="29"/>
        <v>355562.68136287713</v>
      </c>
      <c r="CS12" s="193">
        <f t="shared" si="29"/>
        <v>335809.19906493963</v>
      </c>
      <c r="CT12" s="193">
        <f t="shared" si="29"/>
        <v>316055.71676700213</v>
      </c>
      <c r="CU12" s="193">
        <f t="shared" si="29"/>
        <v>296302.2344690646</v>
      </c>
      <c r="CV12" s="193">
        <f t="shared" si="29"/>
        <v>276548.7521711271</v>
      </c>
      <c r="CW12" s="193">
        <f t="shared" si="29"/>
        <v>256795.26987318962</v>
      </c>
      <c r="CX12" s="193">
        <f t="shared" si="29"/>
        <v>237041.78757525212</v>
      </c>
      <c r="CY12" s="193">
        <f t="shared" si="29"/>
        <v>217288.30527731462</v>
      </c>
      <c r="CZ12" s="193">
        <f t="shared" si="29"/>
        <v>197534.82297937712</v>
      </c>
      <c r="DA12" s="193">
        <f t="shared" si="29"/>
        <v>177781.34068143961</v>
      </c>
      <c r="DB12" s="194">
        <f>DA12</f>
        <v>177781.34068143961</v>
      </c>
      <c r="DC12" s="193">
        <f aca="true" t="shared" si="30" ref="DC12:DN12">DB12+DC7-DC10+DC8</f>
        <v>158027.8583835021</v>
      </c>
      <c r="DD12" s="193">
        <f t="shared" si="30"/>
        <v>138274.3760855646</v>
      </c>
      <c r="DE12" s="193">
        <f t="shared" si="30"/>
        <v>118520.89378762711</v>
      </c>
      <c r="DF12" s="193">
        <f t="shared" si="30"/>
        <v>98767.4114896896</v>
      </c>
      <c r="DG12" s="193">
        <f t="shared" si="30"/>
        <v>79013.9291917521</v>
      </c>
      <c r="DH12" s="193">
        <f t="shared" si="30"/>
        <v>59260.4468938146</v>
      </c>
      <c r="DI12" s="193">
        <f t="shared" si="30"/>
        <v>39506.9645958771</v>
      </c>
      <c r="DJ12" s="193">
        <f t="shared" si="30"/>
        <v>19753.482297939598</v>
      </c>
      <c r="DK12" s="193">
        <f t="shared" si="30"/>
        <v>2.0954757928848267E-09</v>
      </c>
      <c r="DL12" s="193">
        <f t="shared" si="30"/>
        <v>2.0954757928848267E-09</v>
      </c>
      <c r="DM12" s="193">
        <f t="shared" si="30"/>
        <v>2.0954757928848267E-09</v>
      </c>
      <c r="DN12" s="193">
        <f t="shared" si="30"/>
        <v>2.0954757928848267E-09</v>
      </c>
      <c r="DO12" s="194">
        <f>DN12</f>
        <v>2.0954757928848267E-09</v>
      </c>
      <c r="DP12" s="199">
        <f>MAX(C12:BO12)</f>
        <v>1422250.7254515002</v>
      </c>
    </row>
    <row r="13" spans="1:120" ht="12.75" hidden="1">
      <c r="A13" s="176" t="s">
        <v>78</v>
      </c>
      <c r="B13" s="176">
        <f>Исх!C42*12-Исх!C43</f>
        <v>72</v>
      </c>
      <c r="DP13" s="179"/>
    </row>
    <row r="14" ht="12.75" hidden="1"/>
    <row r="15" ht="12.75" hidden="1">
      <c r="A15" s="267" t="s">
        <v>238</v>
      </c>
    </row>
    <row r="16" ht="12.75" hidden="1" outlineLevel="1">
      <c r="A16" s="268">
        <f>B7+B8-B10</f>
        <v>0</v>
      </c>
    </row>
    <row r="17" ht="12.75" hidden="1" outlineLevel="1">
      <c r="A17" s="268">
        <f>B9-B8-B11</f>
        <v>0</v>
      </c>
    </row>
    <row r="18" ht="12.75" hidden="1" collapsed="1"/>
    <row r="19" spans="1:119" ht="12.75">
      <c r="A19" s="292" t="s">
        <v>265</v>
      </c>
      <c r="B19" s="293"/>
      <c r="DB19" s="176"/>
      <c r="DO19" s="176"/>
    </row>
    <row r="20" spans="1:119" ht="15.75" customHeight="1">
      <c r="A20" s="185" t="s">
        <v>11</v>
      </c>
      <c r="B20" s="282">
        <f>Исх!C41</f>
        <v>0.07</v>
      </c>
      <c r="C20" s="380">
        <v>2014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>
        <v>2015</v>
      </c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>
        <v>2016</v>
      </c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>
        <v>2017</v>
      </c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>
        <v>2018</v>
      </c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>
        <v>2019</v>
      </c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>
        <v>2020</v>
      </c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>
        <v>2021</v>
      </c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>
        <v>2021</v>
      </c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</row>
    <row r="21" spans="1:119" s="191" customFormat="1" ht="15" customHeight="1">
      <c r="A21" s="187" t="s">
        <v>9</v>
      </c>
      <c r="B21" s="188" t="s">
        <v>89</v>
      </c>
      <c r="C21" s="189">
        <v>1</v>
      </c>
      <c r="D21" s="189">
        <v>2</v>
      </c>
      <c r="E21" s="189">
        <f aca="true" t="shared" si="31" ref="E21:N21">D21+1</f>
        <v>3</v>
      </c>
      <c r="F21" s="189">
        <f t="shared" si="31"/>
        <v>4</v>
      </c>
      <c r="G21" s="189">
        <f t="shared" si="31"/>
        <v>5</v>
      </c>
      <c r="H21" s="189">
        <f t="shared" si="31"/>
        <v>6</v>
      </c>
      <c r="I21" s="189">
        <f t="shared" si="31"/>
        <v>7</v>
      </c>
      <c r="J21" s="189">
        <f t="shared" si="31"/>
        <v>8</v>
      </c>
      <c r="K21" s="189">
        <f t="shared" si="31"/>
        <v>9</v>
      </c>
      <c r="L21" s="189">
        <f t="shared" si="31"/>
        <v>10</v>
      </c>
      <c r="M21" s="189">
        <f t="shared" si="31"/>
        <v>11</v>
      </c>
      <c r="N21" s="189">
        <f t="shared" si="31"/>
        <v>12</v>
      </c>
      <c r="O21" s="190" t="s">
        <v>0</v>
      </c>
      <c r="P21" s="189">
        <v>1</v>
      </c>
      <c r="Q21" s="189">
        <v>2</v>
      </c>
      <c r="R21" s="189">
        <f aca="true" t="shared" si="32" ref="R21:AA21">Q21+1</f>
        <v>3</v>
      </c>
      <c r="S21" s="189">
        <f t="shared" si="32"/>
        <v>4</v>
      </c>
      <c r="T21" s="189">
        <f t="shared" si="32"/>
        <v>5</v>
      </c>
      <c r="U21" s="189">
        <f t="shared" si="32"/>
        <v>6</v>
      </c>
      <c r="V21" s="189">
        <f t="shared" si="32"/>
        <v>7</v>
      </c>
      <c r="W21" s="189">
        <f t="shared" si="32"/>
        <v>8</v>
      </c>
      <c r="X21" s="189">
        <f t="shared" si="32"/>
        <v>9</v>
      </c>
      <c r="Y21" s="189">
        <f t="shared" si="32"/>
        <v>10</v>
      </c>
      <c r="Z21" s="189">
        <f t="shared" si="32"/>
        <v>11</v>
      </c>
      <c r="AA21" s="189">
        <f t="shared" si="32"/>
        <v>12</v>
      </c>
      <c r="AB21" s="190" t="str">
        <f>AB6</f>
        <v>Итого</v>
      </c>
      <c r="AC21" s="189">
        <v>1</v>
      </c>
      <c r="AD21" s="189">
        <v>2</v>
      </c>
      <c r="AE21" s="189">
        <f aca="true" t="shared" si="33" ref="AE21:AN21">AD21+1</f>
        <v>3</v>
      </c>
      <c r="AF21" s="189">
        <f t="shared" si="33"/>
        <v>4</v>
      </c>
      <c r="AG21" s="189">
        <f t="shared" si="33"/>
        <v>5</v>
      </c>
      <c r="AH21" s="189">
        <f t="shared" si="33"/>
        <v>6</v>
      </c>
      <c r="AI21" s="189">
        <f t="shared" si="33"/>
        <v>7</v>
      </c>
      <c r="AJ21" s="189">
        <f t="shared" si="33"/>
        <v>8</v>
      </c>
      <c r="AK21" s="189">
        <f t="shared" si="33"/>
        <v>9</v>
      </c>
      <c r="AL21" s="189">
        <f t="shared" si="33"/>
        <v>10</v>
      </c>
      <c r="AM21" s="189">
        <f t="shared" si="33"/>
        <v>11</v>
      </c>
      <c r="AN21" s="189">
        <f t="shared" si="33"/>
        <v>12</v>
      </c>
      <c r="AO21" s="190" t="str">
        <f>AO6</f>
        <v>Итого</v>
      </c>
      <c r="AP21" s="189">
        <v>1</v>
      </c>
      <c r="AQ21" s="189">
        <v>2</v>
      </c>
      <c r="AR21" s="189">
        <f aca="true" t="shared" si="34" ref="AR21:BA21">AQ21+1</f>
        <v>3</v>
      </c>
      <c r="AS21" s="189">
        <f t="shared" si="34"/>
        <v>4</v>
      </c>
      <c r="AT21" s="189">
        <f t="shared" si="34"/>
        <v>5</v>
      </c>
      <c r="AU21" s="189">
        <f t="shared" si="34"/>
        <v>6</v>
      </c>
      <c r="AV21" s="189">
        <f t="shared" si="34"/>
        <v>7</v>
      </c>
      <c r="AW21" s="189">
        <f t="shared" si="34"/>
        <v>8</v>
      </c>
      <c r="AX21" s="189">
        <f t="shared" si="34"/>
        <v>9</v>
      </c>
      <c r="AY21" s="189">
        <f t="shared" si="34"/>
        <v>10</v>
      </c>
      <c r="AZ21" s="189">
        <f t="shared" si="34"/>
        <v>11</v>
      </c>
      <c r="BA21" s="189">
        <f t="shared" si="34"/>
        <v>12</v>
      </c>
      <c r="BB21" s="190" t="str">
        <f>BB6</f>
        <v>Итого</v>
      </c>
      <c r="BC21" s="189">
        <v>1</v>
      </c>
      <c r="BD21" s="189">
        <v>2</v>
      </c>
      <c r="BE21" s="189">
        <f aca="true" t="shared" si="35" ref="BE21:BN21">BD21+1</f>
        <v>3</v>
      </c>
      <c r="BF21" s="189">
        <f t="shared" si="35"/>
        <v>4</v>
      </c>
      <c r="BG21" s="189">
        <f t="shared" si="35"/>
        <v>5</v>
      </c>
      <c r="BH21" s="189">
        <f t="shared" si="35"/>
        <v>6</v>
      </c>
      <c r="BI21" s="189">
        <f t="shared" si="35"/>
        <v>7</v>
      </c>
      <c r="BJ21" s="189">
        <f t="shared" si="35"/>
        <v>8</v>
      </c>
      <c r="BK21" s="189">
        <f t="shared" si="35"/>
        <v>9</v>
      </c>
      <c r="BL21" s="189">
        <f t="shared" si="35"/>
        <v>10</v>
      </c>
      <c r="BM21" s="189">
        <f t="shared" si="35"/>
        <v>11</v>
      </c>
      <c r="BN21" s="189">
        <f t="shared" si="35"/>
        <v>12</v>
      </c>
      <c r="BO21" s="190" t="str">
        <f>BO6</f>
        <v>Итого</v>
      </c>
      <c r="BP21" s="189">
        <v>1</v>
      </c>
      <c r="BQ21" s="189">
        <v>2</v>
      </c>
      <c r="BR21" s="189">
        <f aca="true" t="shared" si="36" ref="BR21:CA21">BQ21+1</f>
        <v>3</v>
      </c>
      <c r="BS21" s="189">
        <f t="shared" si="36"/>
        <v>4</v>
      </c>
      <c r="BT21" s="189">
        <f t="shared" si="36"/>
        <v>5</v>
      </c>
      <c r="BU21" s="189">
        <f t="shared" si="36"/>
        <v>6</v>
      </c>
      <c r="BV21" s="189">
        <f t="shared" si="36"/>
        <v>7</v>
      </c>
      <c r="BW21" s="189">
        <f t="shared" si="36"/>
        <v>8</v>
      </c>
      <c r="BX21" s="189">
        <f t="shared" si="36"/>
        <v>9</v>
      </c>
      <c r="BY21" s="189">
        <f t="shared" si="36"/>
        <v>10</v>
      </c>
      <c r="BZ21" s="189">
        <f t="shared" si="36"/>
        <v>11</v>
      </c>
      <c r="CA21" s="189">
        <f t="shared" si="36"/>
        <v>12</v>
      </c>
      <c r="CB21" s="190" t="str">
        <f>CB6</f>
        <v>Итого</v>
      </c>
      <c r="CC21" s="189">
        <v>1</v>
      </c>
      <c r="CD21" s="189">
        <v>2</v>
      </c>
      <c r="CE21" s="189">
        <f aca="true" t="shared" si="37" ref="CE21:CN21">CD21+1</f>
        <v>3</v>
      </c>
      <c r="CF21" s="189">
        <f t="shared" si="37"/>
        <v>4</v>
      </c>
      <c r="CG21" s="189">
        <f t="shared" si="37"/>
        <v>5</v>
      </c>
      <c r="CH21" s="189">
        <f t="shared" si="37"/>
        <v>6</v>
      </c>
      <c r="CI21" s="189">
        <f t="shared" si="37"/>
        <v>7</v>
      </c>
      <c r="CJ21" s="189">
        <f t="shared" si="37"/>
        <v>8</v>
      </c>
      <c r="CK21" s="189">
        <f t="shared" si="37"/>
        <v>9</v>
      </c>
      <c r="CL21" s="189">
        <f t="shared" si="37"/>
        <v>10</v>
      </c>
      <c r="CM21" s="189">
        <f t="shared" si="37"/>
        <v>11</v>
      </c>
      <c r="CN21" s="189">
        <f t="shared" si="37"/>
        <v>12</v>
      </c>
      <c r="CO21" s="190" t="str">
        <f>CO6</f>
        <v>Итого</v>
      </c>
      <c r="CP21" s="189">
        <v>1</v>
      </c>
      <c r="CQ21" s="189">
        <f>CP21+1</f>
        <v>2</v>
      </c>
      <c r="CR21" s="189">
        <f aca="true" t="shared" si="38" ref="CR21:DA21">CQ21+1</f>
        <v>3</v>
      </c>
      <c r="CS21" s="189">
        <f t="shared" si="38"/>
        <v>4</v>
      </c>
      <c r="CT21" s="189">
        <f t="shared" si="38"/>
        <v>5</v>
      </c>
      <c r="CU21" s="189">
        <f t="shared" si="38"/>
        <v>6</v>
      </c>
      <c r="CV21" s="189">
        <f t="shared" si="38"/>
        <v>7</v>
      </c>
      <c r="CW21" s="189">
        <f t="shared" si="38"/>
        <v>8</v>
      </c>
      <c r="CX21" s="189">
        <f t="shared" si="38"/>
        <v>9</v>
      </c>
      <c r="CY21" s="189">
        <f t="shared" si="38"/>
        <v>10</v>
      </c>
      <c r="CZ21" s="189">
        <f t="shared" si="38"/>
        <v>11</v>
      </c>
      <c r="DA21" s="189">
        <f t="shared" si="38"/>
        <v>12</v>
      </c>
      <c r="DB21" s="190" t="str">
        <f>DB6</f>
        <v>Итого</v>
      </c>
      <c r="DC21" s="189">
        <v>1</v>
      </c>
      <c r="DD21" s="189">
        <f aca="true" t="shared" si="39" ref="DD21:DN21">DC21+1</f>
        <v>2</v>
      </c>
      <c r="DE21" s="189">
        <f t="shared" si="39"/>
        <v>3</v>
      </c>
      <c r="DF21" s="189">
        <f t="shared" si="39"/>
        <v>4</v>
      </c>
      <c r="DG21" s="189">
        <f t="shared" si="39"/>
        <v>5</v>
      </c>
      <c r="DH21" s="189">
        <f t="shared" si="39"/>
        <v>6</v>
      </c>
      <c r="DI21" s="189">
        <f t="shared" si="39"/>
        <v>7</v>
      </c>
      <c r="DJ21" s="189">
        <f t="shared" si="39"/>
        <v>8</v>
      </c>
      <c r="DK21" s="189">
        <f t="shared" si="39"/>
        <v>9</v>
      </c>
      <c r="DL21" s="189">
        <f t="shared" si="39"/>
        <v>10</v>
      </c>
      <c r="DM21" s="189">
        <f t="shared" si="39"/>
        <v>11</v>
      </c>
      <c r="DN21" s="189">
        <f t="shared" si="39"/>
        <v>12</v>
      </c>
      <c r="DO21" s="190" t="s">
        <v>0</v>
      </c>
    </row>
    <row r="22" spans="1:119" ht="12.75">
      <c r="A22" s="187" t="s">
        <v>106</v>
      </c>
      <c r="B22" s="192">
        <f>O22+AB22+AO22+BB22+BO22+CB22+CO22+DB22+DO22</f>
        <v>1237032.02252</v>
      </c>
      <c r="C22" s="193">
        <f>C38+C54+C70+C86</f>
        <v>0</v>
      </c>
      <c r="D22" s="193">
        <f aca="true" t="shared" si="40" ref="D22:N22">D38+D54+D70+D86</f>
        <v>0</v>
      </c>
      <c r="E22" s="193">
        <f t="shared" si="40"/>
        <v>0</v>
      </c>
      <c r="F22" s="193">
        <f t="shared" si="40"/>
        <v>114591.64500000002</v>
      </c>
      <c r="G22" s="193">
        <f t="shared" si="40"/>
        <v>114591.64500000002</v>
      </c>
      <c r="H22" s="193">
        <f t="shared" si="40"/>
        <v>308051.9315066667</v>
      </c>
      <c r="I22" s="193">
        <f t="shared" si="40"/>
        <v>114591.64500000002</v>
      </c>
      <c r="J22" s="193">
        <f t="shared" si="40"/>
        <v>308051.9315066667</v>
      </c>
      <c r="K22" s="193">
        <f t="shared" si="40"/>
        <v>0</v>
      </c>
      <c r="L22" s="193">
        <f t="shared" si="40"/>
        <v>193460.2865066667</v>
      </c>
      <c r="M22" s="193">
        <f t="shared" si="40"/>
        <v>14832.3844</v>
      </c>
      <c r="N22" s="193">
        <f t="shared" si="40"/>
        <v>68860.5536</v>
      </c>
      <c r="O22" s="194">
        <f>SUM(C22:N22)</f>
        <v>1237032.02252</v>
      </c>
      <c r="P22" s="193">
        <f>P38+P54+P70+P86</f>
        <v>0</v>
      </c>
      <c r="Q22" s="193">
        <f aca="true" t="shared" si="41" ref="Q22:AA22">Q38+Q54+Q70+Q86</f>
        <v>0</v>
      </c>
      <c r="R22" s="193">
        <f t="shared" si="41"/>
        <v>0</v>
      </c>
      <c r="S22" s="193">
        <f t="shared" si="41"/>
        <v>0</v>
      </c>
      <c r="T22" s="193">
        <f t="shared" si="41"/>
        <v>0</v>
      </c>
      <c r="U22" s="193">
        <f t="shared" si="41"/>
        <v>0</v>
      </c>
      <c r="V22" s="193">
        <f t="shared" si="41"/>
        <v>0</v>
      </c>
      <c r="W22" s="193">
        <f t="shared" si="41"/>
        <v>0</v>
      </c>
      <c r="X22" s="193">
        <f t="shared" si="41"/>
        <v>0</v>
      </c>
      <c r="Y22" s="193">
        <f t="shared" si="41"/>
        <v>0</v>
      </c>
      <c r="Z22" s="193">
        <f t="shared" si="41"/>
        <v>0</v>
      </c>
      <c r="AA22" s="193">
        <f t="shared" si="41"/>
        <v>0</v>
      </c>
      <c r="AB22" s="194">
        <f>SUM(P22:AA22)</f>
        <v>0</v>
      </c>
      <c r="AC22" s="193">
        <f aca="true" t="shared" si="42" ref="AC22:AN22">AC38+AC54+AC70+AC86</f>
        <v>0</v>
      </c>
      <c r="AD22" s="193">
        <f t="shared" si="42"/>
        <v>0</v>
      </c>
      <c r="AE22" s="193">
        <f t="shared" si="42"/>
        <v>0</v>
      </c>
      <c r="AF22" s="193">
        <f t="shared" si="42"/>
        <v>0</v>
      </c>
      <c r="AG22" s="193">
        <f t="shared" si="42"/>
        <v>0</v>
      </c>
      <c r="AH22" s="193">
        <f t="shared" si="42"/>
        <v>0</v>
      </c>
      <c r="AI22" s="193">
        <f t="shared" si="42"/>
        <v>0</v>
      </c>
      <c r="AJ22" s="193">
        <f t="shared" si="42"/>
        <v>0</v>
      </c>
      <c r="AK22" s="193">
        <f t="shared" si="42"/>
        <v>0</v>
      </c>
      <c r="AL22" s="193">
        <f t="shared" si="42"/>
        <v>0</v>
      </c>
      <c r="AM22" s="193">
        <f t="shared" si="42"/>
        <v>0</v>
      </c>
      <c r="AN22" s="193">
        <f t="shared" si="42"/>
        <v>0</v>
      </c>
      <c r="AO22" s="194">
        <f>SUM(AC22:AN22)</f>
        <v>0</v>
      </c>
      <c r="AP22" s="193">
        <f aca="true" t="shared" si="43" ref="AP22:BA22">AP38+AP54+AP70+AP86</f>
        <v>0</v>
      </c>
      <c r="AQ22" s="193">
        <f t="shared" si="43"/>
        <v>0</v>
      </c>
      <c r="AR22" s="193">
        <f t="shared" si="43"/>
        <v>0</v>
      </c>
      <c r="AS22" s="193">
        <f t="shared" si="43"/>
        <v>0</v>
      </c>
      <c r="AT22" s="193">
        <f t="shared" si="43"/>
        <v>0</v>
      </c>
      <c r="AU22" s="193">
        <f t="shared" si="43"/>
        <v>0</v>
      </c>
      <c r="AV22" s="193">
        <f t="shared" si="43"/>
        <v>0</v>
      </c>
      <c r="AW22" s="193">
        <f t="shared" si="43"/>
        <v>0</v>
      </c>
      <c r="AX22" s="193">
        <f t="shared" si="43"/>
        <v>0</v>
      </c>
      <c r="AY22" s="193">
        <f t="shared" si="43"/>
        <v>0</v>
      </c>
      <c r="AZ22" s="193">
        <f t="shared" si="43"/>
        <v>0</v>
      </c>
      <c r="BA22" s="193">
        <f t="shared" si="43"/>
        <v>0</v>
      </c>
      <c r="BB22" s="194">
        <f>SUM(AP22:BA22)</f>
        <v>0</v>
      </c>
      <c r="BC22" s="193">
        <f aca="true" t="shared" si="44" ref="BC22:BN22">BC38+BC54+BC70+BC86</f>
        <v>0</v>
      </c>
      <c r="BD22" s="193">
        <f t="shared" si="44"/>
        <v>0</v>
      </c>
      <c r="BE22" s="193">
        <f t="shared" si="44"/>
        <v>0</v>
      </c>
      <c r="BF22" s="193">
        <f t="shared" si="44"/>
        <v>0</v>
      </c>
      <c r="BG22" s="193">
        <f t="shared" si="44"/>
        <v>0</v>
      </c>
      <c r="BH22" s="193">
        <f t="shared" si="44"/>
        <v>0</v>
      </c>
      <c r="BI22" s="193">
        <f t="shared" si="44"/>
        <v>0</v>
      </c>
      <c r="BJ22" s="193">
        <f t="shared" si="44"/>
        <v>0</v>
      </c>
      <c r="BK22" s="193">
        <f t="shared" si="44"/>
        <v>0</v>
      </c>
      <c r="BL22" s="193">
        <f t="shared" si="44"/>
        <v>0</v>
      </c>
      <c r="BM22" s="193">
        <f t="shared" si="44"/>
        <v>0</v>
      </c>
      <c r="BN22" s="193">
        <f t="shared" si="44"/>
        <v>0</v>
      </c>
      <c r="BO22" s="194">
        <f>SUM(BC22:BN22)</f>
        <v>0</v>
      </c>
      <c r="BP22" s="193">
        <f aca="true" t="shared" si="45" ref="BP22:CA22">BP38+BP54+BP70+BP86</f>
        <v>0</v>
      </c>
      <c r="BQ22" s="193">
        <f t="shared" si="45"/>
        <v>0</v>
      </c>
      <c r="BR22" s="193">
        <f t="shared" si="45"/>
        <v>0</v>
      </c>
      <c r="BS22" s="193">
        <f t="shared" si="45"/>
        <v>0</v>
      </c>
      <c r="BT22" s="193">
        <f t="shared" si="45"/>
        <v>0</v>
      </c>
      <c r="BU22" s="193">
        <f t="shared" si="45"/>
        <v>0</v>
      </c>
      <c r="BV22" s="193">
        <f t="shared" si="45"/>
        <v>0</v>
      </c>
      <c r="BW22" s="193">
        <f t="shared" si="45"/>
        <v>0</v>
      </c>
      <c r="BX22" s="193">
        <f t="shared" si="45"/>
        <v>0</v>
      </c>
      <c r="BY22" s="193">
        <f t="shared" si="45"/>
        <v>0</v>
      </c>
      <c r="BZ22" s="193">
        <f t="shared" si="45"/>
        <v>0</v>
      </c>
      <c r="CA22" s="193">
        <f t="shared" si="45"/>
        <v>0</v>
      </c>
      <c r="CB22" s="194">
        <f>SUM(BP22:CA22)</f>
        <v>0</v>
      </c>
      <c r="CC22" s="193">
        <f aca="true" t="shared" si="46" ref="CC22:CN22">CC38+CC54+CC70+CC86</f>
        <v>0</v>
      </c>
      <c r="CD22" s="193">
        <f t="shared" si="46"/>
        <v>0</v>
      </c>
      <c r="CE22" s="193">
        <f t="shared" si="46"/>
        <v>0</v>
      </c>
      <c r="CF22" s="193">
        <f t="shared" si="46"/>
        <v>0</v>
      </c>
      <c r="CG22" s="193">
        <f t="shared" si="46"/>
        <v>0</v>
      </c>
      <c r="CH22" s="193">
        <f t="shared" si="46"/>
        <v>0</v>
      </c>
      <c r="CI22" s="193">
        <f t="shared" si="46"/>
        <v>0</v>
      </c>
      <c r="CJ22" s="193">
        <f t="shared" si="46"/>
        <v>0</v>
      </c>
      <c r="CK22" s="193">
        <f t="shared" si="46"/>
        <v>0</v>
      </c>
      <c r="CL22" s="193">
        <f t="shared" si="46"/>
        <v>0</v>
      </c>
      <c r="CM22" s="193">
        <f t="shared" si="46"/>
        <v>0</v>
      </c>
      <c r="CN22" s="193">
        <f t="shared" si="46"/>
        <v>0</v>
      </c>
      <c r="CO22" s="194">
        <f>SUM(CC22:CN22)</f>
        <v>0</v>
      </c>
      <c r="CP22" s="193">
        <f aca="true" t="shared" si="47" ref="CP22:DA22">CP38+CP54+CP70+CP86</f>
        <v>0</v>
      </c>
      <c r="CQ22" s="193">
        <f t="shared" si="47"/>
        <v>0</v>
      </c>
      <c r="CR22" s="193">
        <f t="shared" si="47"/>
        <v>0</v>
      </c>
      <c r="CS22" s="193">
        <f t="shared" si="47"/>
        <v>0</v>
      </c>
      <c r="CT22" s="193">
        <f t="shared" si="47"/>
        <v>0</v>
      </c>
      <c r="CU22" s="193">
        <f t="shared" si="47"/>
        <v>0</v>
      </c>
      <c r="CV22" s="193">
        <f t="shared" si="47"/>
        <v>0</v>
      </c>
      <c r="CW22" s="193">
        <f t="shared" si="47"/>
        <v>0</v>
      </c>
      <c r="CX22" s="193">
        <f t="shared" si="47"/>
        <v>0</v>
      </c>
      <c r="CY22" s="193">
        <f t="shared" si="47"/>
        <v>0</v>
      </c>
      <c r="CZ22" s="193">
        <f t="shared" si="47"/>
        <v>0</v>
      </c>
      <c r="DA22" s="193">
        <f t="shared" si="47"/>
        <v>0</v>
      </c>
      <c r="DB22" s="194">
        <f>SUM(CP22:DA22)</f>
        <v>0</v>
      </c>
      <c r="DC22" s="193">
        <f aca="true" t="shared" si="48" ref="DC22:DN22">DC38+DC54+DC70+DC86</f>
        <v>0</v>
      </c>
      <c r="DD22" s="193">
        <f t="shared" si="48"/>
        <v>0</v>
      </c>
      <c r="DE22" s="193">
        <f t="shared" si="48"/>
        <v>0</v>
      </c>
      <c r="DF22" s="193">
        <f t="shared" si="48"/>
        <v>0</v>
      </c>
      <c r="DG22" s="193">
        <f t="shared" si="48"/>
        <v>0</v>
      </c>
      <c r="DH22" s="193">
        <f t="shared" si="48"/>
        <v>0</v>
      </c>
      <c r="DI22" s="193">
        <f t="shared" si="48"/>
        <v>0</v>
      </c>
      <c r="DJ22" s="193">
        <f t="shared" si="48"/>
        <v>0</v>
      </c>
      <c r="DK22" s="193">
        <f t="shared" si="48"/>
        <v>0</v>
      </c>
      <c r="DL22" s="193">
        <f t="shared" si="48"/>
        <v>0</v>
      </c>
      <c r="DM22" s="193">
        <f t="shared" si="48"/>
        <v>0</v>
      </c>
      <c r="DN22" s="193">
        <f t="shared" si="48"/>
        <v>0</v>
      </c>
      <c r="DO22" s="194">
        <f>SUM(DC22:DN22)</f>
        <v>0</v>
      </c>
    </row>
    <row r="23" spans="1:119" s="196" customFormat="1" ht="20.25" customHeight="1">
      <c r="A23" s="187" t="s">
        <v>31</v>
      </c>
      <c r="B23" s="192">
        <f>O23+AB23+AO23+BB23+BO23+CB23+CO23+DB23+DO23</f>
        <v>33682.280172800005</v>
      </c>
      <c r="C23" s="193">
        <f aca="true" t="shared" si="49" ref="C23:N27">C39+C55+C71+C87</f>
        <v>0</v>
      </c>
      <c r="D23" s="193">
        <f t="shared" si="49"/>
        <v>0</v>
      </c>
      <c r="E23" s="193">
        <f t="shared" si="49"/>
        <v>0</v>
      </c>
      <c r="F23" s="193">
        <f t="shared" si="49"/>
        <v>0</v>
      </c>
      <c r="G23" s="193">
        <f t="shared" si="49"/>
        <v>0</v>
      </c>
      <c r="H23" s="193">
        <f t="shared" si="49"/>
        <v>0</v>
      </c>
      <c r="I23" s="193">
        <f t="shared" si="49"/>
        <v>0</v>
      </c>
      <c r="J23" s="193">
        <f t="shared" si="49"/>
        <v>0</v>
      </c>
      <c r="K23" s="193">
        <f t="shared" si="49"/>
        <v>0</v>
      </c>
      <c r="L23" s="193">
        <f t="shared" si="49"/>
        <v>0</v>
      </c>
      <c r="M23" s="193">
        <f t="shared" si="49"/>
        <v>0</v>
      </c>
      <c r="N23" s="193">
        <f t="shared" si="49"/>
        <v>33682.280172800005</v>
      </c>
      <c r="O23" s="194">
        <f>SUM(C23:N23)</f>
        <v>33682.280172800005</v>
      </c>
      <c r="P23" s="193">
        <f aca="true" t="shared" si="50" ref="P23:AA23">P39+P55+P71+P87</f>
        <v>0</v>
      </c>
      <c r="Q23" s="193">
        <f t="shared" si="50"/>
        <v>0</v>
      </c>
      <c r="R23" s="193">
        <f t="shared" si="50"/>
        <v>0</v>
      </c>
      <c r="S23" s="193">
        <f t="shared" si="50"/>
        <v>0</v>
      </c>
      <c r="T23" s="193">
        <f t="shared" si="50"/>
        <v>0</v>
      </c>
      <c r="U23" s="193">
        <f t="shared" si="50"/>
        <v>0</v>
      </c>
      <c r="V23" s="193">
        <f t="shared" si="50"/>
        <v>0</v>
      </c>
      <c r="W23" s="193">
        <f t="shared" si="50"/>
        <v>0</v>
      </c>
      <c r="X23" s="193">
        <f t="shared" si="50"/>
        <v>0</v>
      </c>
      <c r="Y23" s="193">
        <f t="shared" si="50"/>
        <v>0</v>
      </c>
      <c r="Z23" s="193">
        <f t="shared" si="50"/>
        <v>0</v>
      </c>
      <c r="AA23" s="193">
        <f t="shared" si="50"/>
        <v>0</v>
      </c>
      <c r="AB23" s="194">
        <f>SUM(P23:AA23)</f>
        <v>0</v>
      </c>
      <c r="AC23" s="193">
        <f aca="true" t="shared" si="51" ref="AC23:AN23">AC39+AC55+AC71+AC87</f>
        <v>0</v>
      </c>
      <c r="AD23" s="193">
        <f t="shared" si="51"/>
        <v>0</v>
      </c>
      <c r="AE23" s="193">
        <f t="shared" si="51"/>
        <v>0</v>
      </c>
      <c r="AF23" s="193">
        <f t="shared" si="51"/>
        <v>0</v>
      </c>
      <c r="AG23" s="193">
        <f t="shared" si="51"/>
        <v>0</v>
      </c>
      <c r="AH23" s="193">
        <f t="shared" si="51"/>
        <v>0</v>
      </c>
      <c r="AI23" s="193">
        <f t="shared" si="51"/>
        <v>0</v>
      </c>
      <c r="AJ23" s="193">
        <f t="shared" si="51"/>
        <v>0</v>
      </c>
      <c r="AK23" s="193">
        <f t="shared" si="51"/>
        <v>0</v>
      </c>
      <c r="AL23" s="193">
        <f t="shared" si="51"/>
        <v>0</v>
      </c>
      <c r="AM23" s="193">
        <f t="shared" si="51"/>
        <v>0</v>
      </c>
      <c r="AN23" s="193">
        <f t="shared" si="51"/>
        <v>0</v>
      </c>
      <c r="AO23" s="194">
        <f>SUM(AC23:AN23)</f>
        <v>0</v>
      </c>
      <c r="AP23" s="193">
        <f aca="true" t="shared" si="52" ref="AP23:BA23">AP39+AP55+AP71+AP87</f>
        <v>0</v>
      </c>
      <c r="AQ23" s="193">
        <f t="shared" si="52"/>
        <v>0</v>
      </c>
      <c r="AR23" s="193">
        <f t="shared" si="52"/>
        <v>0</v>
      </c>
      <c r="AS23" s="193">
        <f t="shared" si="52"/>
        <v>0</v>
      </c>
      <c r="AT23" s="193">
        <f t="shared" si="52"/>
        <v>0</v>
      </c>
      <c r="AU23" s="193">
        <f t="shared" si="52"/>
        <v>0</v>
      </c>
      <c r="AV23" s="193">
        <f t="shared" si="52"/>
        <v>0</v>
      </c>
      <c r="AW23" s="193">
        <f t="shared" si="52"/>
        <v>0</v>
      </c>
      <c r="AX23" s="193">
        <f t="shared" si="52"/>
        <v>0</v>
      </c>
      <c r="AY23" s="193">
        <f t="shared" si="52"/>
        <v>0</v>
      </c>
      <c r="AZ23" s="193">
        <f t="shared" si="52"/>
        <v>0</v>
      </c>
      <c r="BA23" s="193">
        <f t="shared" si="52"/>
        <v>0</v>
      </c>
      <c r="BB23" s="194">
        <f>SUM(AP23:BA23)</f>
        <v>0</v>
      </c>
      <c r="BC23" s="193">
        <f aca="true" t="shared" si="53" ref="BC23:BN23">BC39+BC55+BC71+BC87</f>
        <v>0</v>
      </c>
      <c r="BD23" s="193">
        <f t="shared" si="53"/>
        <v>0</v>
      </c>
      <c r="BE23" s="193">
        <f t="shared" si="53"/>
        <v>0</v>
      </c>
      <c r="BF23" s="193">
        <f t="shared" si="53"/>
        <v>0</v>
      </c>
      <c r="BG23" s="193">
        <f t="shared" si="53"/>
        <v>0</v>
      </c>
      <c r="BH23" s="193">
        <f t="shared" si="53"/>
        <v>0</v>
      </c>
      <c r="BI23" s="193">
        <f t="shared" si="53"/>
        <v>0</v>
      </c>
      <c r="BJ23" s="193">
        <f t="shared" si="53"/>
        <v>0</v>
      </c>
      <c r="BK23" s="193">
        <f t="shared" si="53"/>
        <v>0</v>
      </c>
      <c r="BL23" s="193">
        <f t="shared" si="53"/>
        <v>0</v>
      </c>
      <c r="BM23" s="193">
        <f t="shared" si="53"/>
        <v>0</v>
      </c>
      <c r="BN23" s="193">
        <f t="shared" si="53"/>
        <v>0</v>
      </c>
      <c r="BO23" s="194">
        <f>SUM(BC23:BN23)</f>
        <v>0</v>
      </c>
      <c r="BP23" s="193">
        <f aca="true" t="shared" si="54" ref="BP23:CA23">BP39+BP55+BP71+BP87</f>
        <v>0</v>
      </c>
      <c r="BQ23" s="193">
        <f t="shared" si="54"/>
        <v>0</v>
      </c>
      <c r="BR23" s="193">
        <f t="shared" si="54"/>
        <v>0</v>
      </c>
      <c r="BS23" s="193">
        <f t="shared" si="54"/>
        <v>0</v>
      </c>
      <c r="BT23" s="193">
        <f t="shared" si="54"/>
        <v>0</v>
      </c>
      <c r="BU23" s="193">
        <f t="shared" si="54"/>
        <v>0</v>
      </c>
      <c r="BV23" s="193">
        <f t="shared" si="54"/>
        <v>0</v>
      </c>
      <c r="BW23" s="193">
        <f t="shared" si="54"/>
        <v>0</v>
      </c>
      <c r="BX23" s="193">
        <f t="shared" si="54"/>
        <v>0</v>
      </c>
      <c r="BY23" s="193">
        <f t="shared" si="54"/>
        <v>0</v>
      </c>
      <c r="BZ23" s="193">
        <f t="shared" si="54"/>
        <v>0</v>
      </c>
      <c r="CA23" s="193">
        <f t="shared" si="54"/>
        <v>0</v>
      </c>
      <c r="CB23" s="194">
        <f>SUM(BP23:CA23)</f>
        <v>0</v>
      </c>
      <c r="CC23" s="193">
        <f aca="true" t="shared" si="55" ref="CC23:CN23">CC39+CC55+CC71+CC87</f>
        <v>0</v>
      </c>
      <c r="CD23" s="193">
        <f t="shared" si="55"/>
        <v>0</v>
      </c>
      <c r="CE23" s="193">
        <f t="shared" si="55"/>
        <v>0</v>
      </c>
      <c r="CF23" s="193">
        <f t="shared" si="55"/>
        <v>0</v>
      </c>
      <c r="CG23" s="193">
        <f t="shared" si="55"/>
        <v>0</v>
      </c>
      <c r="CH23" s="193">
        <f t="shared" si="55"/>
        <v>0</v>
      </c>
      <c r="CI23" s="193">
        <f t="shared" si="55"/>
        <v>0</v>
      </c>
      <c r="CJ23" s="193">
        <f t="shared" si="55"/>
        <v>0</v>
      </c>
      <c r="CK23" s="193">
        <f t="shared" si="55"/>
        <v>0</v>
      </c>
      <c r="CL23" s="193">
        <f t="shared" si="55"/>
        <v>0</v>
      </c>
      <c r="CM23" s="193">
        <f t="shared" si="55"/>
        <v>0</v>
      </c>
      <c r="CN23" s="193">
        <f t="shared" si="55"/>
        <v>0</v>
      </c>
      <c r="CO23" s="194">
        <f>SUM(CC23:CN23)</f>
        <v>0</v>
      </c>
      <c r="CP23" s="193">
        <f aca="true" t="shared" si="56" ref="CP23:DA23">CP39+CP55+CP71+CP87</f>
        <v>0</v>
      </c>
      <c r="CQ23" s="193">
        <f t="shared" si="56"/>
        <v>0</v>
      </c>
      <c r="CR23" s="193">
        <f t="shared" si="56"/>
        <v>0</v>
      </c>
      <c r="CS23" s="193">
        <f t="shared" si="56"/>
        <v>0</v>
      </c>
      <c r="CT23" s="193">
        <f t="shared" si="56"/>
        <v>0</v>
      </c>
      <c r="CU23" s="193">
        <f t="shared" si="56"/>
        <v>0</v>
      </c>
      <c r="CV23" s="193">
        <f t="shared" si="56"/>
        <v>0</v>
      </c>
      <c r="CW23" s="193">
        <f t="shared" si="56"/>
        <v>0</v>
      </c>
      <c r="CX23" s="193">
        <f t="shared" si="56"/>
        <v>0</v>
      </c>
      <c r="CY23" s="193">
        <f t="shared" si="56"/>
        <v>0</v>
      </c>
      <c r="CZ23" s="193">
        <f t="shared" si="56"/>
        <v>0</v>
      </c>
      <c r="DA23" s="193">
        <f t="shared" si="56"/>
        <v>0</v>
      </c>
      <c r="DB23" s="194">
        <f>SUM(CP23:DA23)</f>
        <v>0</v>
      </c>
      <c r="DC23" s="193">
        <f aca="true" t="shared" si="57" ref="DC23:DN23">DC39+DC55+DC71+DC87</f>
        <v>0</v>
      </c>
      <c r="DD23" s="193">
        <f t="shared" si="57"/>
        <v>0</v>
      </c>
      <c r="DE23" s="193">
        <f t="shared" si="57"/>
        <v>0</v>
      </c>
      <c r="DF23" s="193">
        <f t="shared" si="57"/>
        <v>0</v>
      </c>
      <c r="DG23" s="193">
        <f t="shared" si="57"/>
        <v>0</v>
      </c>
      <c r="DH23" s="193">
        <f t="shared" si="57"/>
        <v>0</v>
      </c>
      <c r="DI23" s="193">
        <f t="shared" si="57"/>
        <v>0</v>
      </c>
      <c r="DJ23" s="193">
        <f t="shared" si="57"/>
        <v>0</v>
      </c>
      <c r="DK23" s="193">
        <f t="shared" si="57"/>
        <v>0</v>
      </c>
      <c r="DL23" s="193">
        <f t="shared" si="57"/>
        <v>0</v>
      </c>
      <c r="DM23" s="193">
        <f t="shared" si="57"/>
        <v>0</v>
      </c>
      <c r="DN23" s="193">
        <f t="shared" si="57"/>
        <v>0</v>
      </c>
      <c r="DO23" s="194">
        <f>SUM(DC23:DN23)</f>
        <v>0</v>
      </c>
    </row>
    <row r="24" spans="1:119" s="196" customFormat="1" ht="12.75">
      <c r="A24" s="197" t="s">
        <v>13</v>
      </c>
      <c r="B24" s="192">
        <f>O24+AB24+AO24+BB24+BO24+CB24+CO24+DB24+DO24</f>
        <v>322805.9561656431</v>
      </c>
      <c r="C24" s="193">
        <f t="shared" si="49"/>
        <v>0</v>
      </c>
      <c r="D24" s="193">
        <f t="shared" si="49"/>
        <v>0</v>
      </c>
      <c r="E24" s="193">
        <f t="shared" si="49"/>
        <v>0</v>
      </c>
      <c r="F24" s="193">
        <f t="shared" si="49"/>
        <v>0</v>
      </c>
      <c r="G24" s="193">
        <f t="shared" si="49"/>
        <v>668.4512625000001</v>
      </c>
      <c r="H24" s="193">
        <f t="shared" si="49"/>
        <v>1336.9025250000002</v>
      </c>
      <c r="I24" s="193">
        <f t="shared" si="49"/>
        <v>3133.872125455556</v>
      </c>
      <c r="J24" s="193">
        <f t="shared" si="49"/>
        <v>3802.323387955557</v>
      </c>
      <c r="K24" s="193">
        <f t="shared" si="49"/>
        <v>5599.292988411112</v>
      </c>
      <c r="L24" s="193">
        <f t="shared" si="49"/>
        <v>5599.292988411112</v>
      </c>
      <c r="M24" s="193">
        <f t="shared" si="49"/>
        <v>6727.811326366667</v>
      </c>
      <c r="N24" s="193">
        <f t="shared" si="49"/>
        <v>6814.333568700001</v>
      </c>
      <c r="O24" s="194">
        <f>SUM(C24:N24)</f>
        <v>33682.280172800005</v>
      </c>
      <c r="P24" s="193">
        <f aca="true" t="shared" si="58" ref="P24:AA24">P40+P56+P72+P88</f>
        <v>7412.500099041335</v>
      </c>
      <c r="Q24" s="193">
        <f t="shared" si="58"/>
        <v>7329.363920790379</v>
      </c>
      <c r="R24" s="193">
        <f t="shared" si="58"/>
        <v>7245.742781499625</v>
      </c>
      <c r="S24" s="193">
        <f t="shared" si="58"/>
        <v>7161.6338522296755</v>
      </c>
      <c r="T24" s="193">
        <f t="shared" si="58"/>
        <v>7077.034287538986</v>
      </c>
      <c r="U24" s="193">
        <f t="shared" si="58"/>
        <v>6991.941225387599</v>
      </c>
      <c r="V24" s="193">
        <f t="shared" si="58"/>
        <v>6906.3517870403275</v>
      </c>
      <c r="W24" s="193">
        <f t="shared" si="58"/>
        <v>6820.263076969365</v>
      </c>
      <c r="X24" s="193">
        <f t="shared" si="58"/>
        <v>6733.672182756322</v>
      </c>
      <c r="Y24" s="193">
        <f t="shared" si="58"/>
        <v>6646.576174993704</v>
      </c>
      <c r="Z24" s="193">
        <f t="shared" si="58"/>
        <v>6558.972107185803</v>
      </c>
      <c r="AA24" s="193">
        <f t="shared" si="58"/>
        <v>6470.857015649023</v>
      </c>
      <c r="AB24" s="194">
        <f>SUM(P24:AA24)</f>
        <v>83354.90851108215</v>
      </c>
      <c r="AC24" s="193">
        <f aca="true" t="shared" si="59" ref="AC24:AN24">AC40+AC56+AC72+AC88</f>
        <v>6382.22791941161</v>
      </c>
      <c r="AD24" s="193">
        <f t="shared" si="59"/>
        <v>6293.081820112814</v>
      </c>
      <c r="AE24" s="193">
        <f t="shared" si="59"/>
        <v>6203.415701901442</v>
      </c>
      <c r="AF24" s="193">
        <f t="shared" si="59"/>
        <v>6113.226531333836</v>
      </c>
      <c r="AG24" s="193">
        <f t="shared" si="59"/>
        <v>6022.511257271252</v>
      </c>
      <c r="AH24" s="193">
        <f t="shared" si="59"/>
        <v>5931.266810776637</v>
      </c>
      <c r="AI24" s="193">
        <f t="shared" si="59"/>
        <v>5839.490105010803</v>
      </c>
      <c r="AJ24" s="193">
        <f t="shared" si="59"/>
        <v>5747.178035128002</v>
      </c>
      <c r="AK24" s="193">
        <f t="shared" si="59"/>
        <v>5654.327478170885</v>
      </c>
      <c r="AL24" s="193">
        <f t="shared" si="59"/>
        <v>5560.935292964851</v>
      </c>
      <c r="AM24" s="193">
        <f t="shared" si="59"/>
        <v>5466.998320011782</v>
      </c>
      <c r="AN24" s="193">
        <f t="shared" si="59"/>
        <v>5372.513381383153</v>
      </c>
      <c r="AO24" s="194">
        <f>SUM(AC24:AN24)</f>
        <v>70587.17265347706</v>
      </c>
      <c r="AP24" s="193">
        <f aca="true" t="shared" si="60" ref="AP24:BA24">AP40+AP56+AP72+AP88</f>
        <v>5277.477280612524</v>
      </c>
      <c r="AQ24" s="193">
        <f t="shared" si="60"/>
        <v>5181.886802587399</v>
      </c>
      <c r="AR24" s="193">
        <f t="shared" si="60"/>
        <v>5085.738713440462</v>
      </c>
      <c r="AS24" s="193">
        <f t="shared" si="60"/>
        <v>4989.029760440167</v>
      </c>
      <c r="AT24" s="193">
        <f t="shared" si="60"/>
        <v>4891.756671880704</v>
      </c>
      <c r="AU24" s="193">
        <f t="shared" si="60"/>
        <v>4793.916156971311</v>
      </c>
      <c r="AV24" s="193">
        <f t="shared" si="60"/>
        <v>4695.504905724946</v>
      </c>
      <c r="AW24" s="193">
        <f t="shared" si="60"/>
        <v>4596.51958884631</v>
      </c>
      <c r="AX24" s="193">
        <f t="shared" si="60"/>
        <v>4496.956857619217</v>
      </c>
      <c r="AY24" s="193">
        <f t="shared" si="60"/>
        <v>4396.813343793298</v>
      </c>
      <c r="AZ24" s="193">
        <f t="shared" si="60"/>
        <v>4296.085659470061</v>
      </c>
      <c r="BA24" s="193">
        <f t="shared" si="60"/>
        <v>4194.770396988272</v>
      </c>
      <c r="BB24" s="194">
        <f>SUM(AP24:BA24)</f>
        <v>56896.45613837467</v>
      </c>
      <c r="BC24" s="193">
        <f aca="true" t="shared" si="61" ref="BC24:BN24">BC40+BC56+BC72+BC88</f>
        <v>4092.864128808673</v>
      </c>
      <c r="BD24" s="193">
        <f t="shared" si="61"/>
        <v>3990.3634073980265</v>
      </c>
      <c r="BE24" s="193">
        <f t="shared" si="61"/>
        <v>3887.264765112484</v>
      </c>
      <c r="BF24" s="193">
        <f t="shared" si="61"/>
        <v>3783.5647140802757</v>
      </c>
      <c r="BG24" s="193">
        <f t="shared" si="61"/>
        <v>3679.2597460837133</v>
      </c>
      <c r="BH24" s="193">
        <f t="shared" si="61"/>
        <v>3574.3463324405043</v>
      </c>
      <c r="BI24" s="193">
        <f t="shared" si="61"/>
        <v>3468.820923884376</v>
      </c>
      <c r="BJ24" s="193">
        <f t="shared" si="61"/>
        <v>3362.6799504450046</v>
      </c>
      <c r="BK24" s="193">
        <f t="shared" si="61"/>
        <v>3255.919821327236</v>
      </c>
      <c r="BL24" s="193">
        <f t="shared" si="61"/>
        <v>3148.536924789614</v>
      </c>
      <c r="BM24" s="193">
        <f t="shared" si="61"/>
        <v>3040.5276280221897</v>
      </c>
      <c r="BN24" s="193">
        <f t="shared" si="61"/>
        <v>2931.8882770236214</v>
      </c>
      <c r="BO24" s="194">
        <f>SUM(BC24:BN24)</f>
        <v>42216.036619415725</v>
      </c>
      <c r="BP24" s="193">
        <f aca="true" t="shared" si="62" ref="BP24:CA24">BP40+BP56+BP72+BP88</f>
        <v>2822.6151964775618</v>
      </c>
      <c r="BQ24" s="193">
        <f t="shared" si="62"/>
        <v>2712.7046896283164</v>
      </c>
      <c r="BR24" s="193">
        <f t="shared" si="62"/>
        <v>2602.153038155784</v>
      </c>
      <c r="BS24" s="193">
        <f t="shared" si="62"/>
        <v>2490.956502049662</v>
      </c>
      <c r="BT24" s="193">
        <f t="shared" si="62"/>
        <v>2379.111319482921</v>
      </c>
      <c r="BU24" s="193">
        <f t="shared" si="62"/>
        <v>2266.6137066845404</v>
      </c>
      <c r="BV24" s="193">
        <f t="shared" si="62"/>
        <v>2153.459857811503</v>
      </c>
      <c r="BW24" s="193">
        <f t="shared" si="62"/>
        <v>2039.6459448200387</v>
      </c>
      <c r="BX24" s="193">
        <f t="shared" si="62"/>
        <v>1925.168117336125</v>
      </c>
      <c r="BY24" s="193">
        <f t="shared" si="62"/>
        <v>1810.0225025252214</v>
      </c>
      <c r="BZ24" s="193">
        <f t="shared" si="62"/>
        <v>1694.2052049612546</v>
      </c>
      <c r="CA24" s="193">
        <f t="shared" si="62"/>
        <v>1577.712306494831</v>
      </c>
      <c r="CB24" s="194">
        <f>SUM(BP24:CA24)</f>
        <v>26474.368386427763</v>
      </c>
      <c r="CC24" s="193">
        <f aca="true" t="shared" si="63" ref="CC24:CN24">CC40+CC56+CC72+CC88</f>
        <v>1460.5398661206866</v>
      </c>
      <c r="CD24" s="193">
        <f t="shared" si="63"/>
        <v>1342.68391984436</v>
      </c>
      <c r="CE24" s="193">
        <f t="shared" si="63"/>
        <v>1224.140480548088</v>
      </c>
      <c r="CF24" s="193">
        <f t="shared" si="63"/>
        <v>1104.905537855921</v>
      </c>
      <c r="CG24" s="193">
        <f t="shared" si="63"/>
        <v>984.9750579980497</v>
      </c>
      <c r="CH24" s="193">
        <f t="shared" si="63"/>
        <v>864.3449836743407</v>
      </c>
      <c r="CI24" s="193">
        <f t="shared" si="63"/>
        <v>743.0112339170769</v>
      </c>
      <c r="CJ24" s="193">
        <f t="shared" si="63"/>
        <v>620.9697039528957</v>
      </c>
      <c r="CK24" s="193">
        <f t="shared" si="63"/>
        <v>498.21626506392334</v>
      </c>
      <c r="CL24" s="193">
        <f t="shared" si="63"/>
        <v>374.7467644480987</v>
      </c>
      <c r="CM24" s="193">
        <f t="shared" si="63"/>
        <v>250.55702507868182</v>
      </c>
      <c r="CN24" s="193">
        <f t="shared" si="63"/>
        <v>125.64284556294326</v>
      </c>
      <c r="CO24" s="194">
        <f>SUM(CC24:CN24)</f>
        <v>9594.733684065068</v>
      </c>
      <c r="CP24" s="193">
        <f aca="true" t="shared" si="64" ref="CP24:DA24">CP40+CP56+CP72+CP88</f>
        <v>2.960405254270882E-11</v>
      </c>
      <c r="CQ24" s="193">
        <f t="shared" si="64"/>
        <v>2.960405254270882E-11</v>
      </c>
      <c r="CR24" s="193">
        <f t="shared" si="64"/>
        <v>2.960405254270882E-11</v>
      </c>
      <c r="CS24" s="193">
        <f t="shared" si="64"/>
        <v>2.960405254270882E-11</v>
      </c>
      <c r="CT24" s="193">
        <f t="shared" si="64"/>
        <v>2.960405254270882E-11</v>
      </c>
      <c r="CU24" s="193">
        <f t="shared" si="64"/>
        <v>2.960405254270882E-11</v>
      </c>
      <c r="CV24" s="193">
        <f t="shared" si="64"/>
        <v>2.960405254270882E-11</v>
      </c>
      <c r="CW24" s="193">
        <f t="shared" si="64"/>
        <v>2.960405254270882E-11</v>
      </c>
      <c r="CX24" s="193">
        <f t="shared" si="64"/>
        <v>2.960405254270882E-11</v>
      </c>
      <c r="CY24" s="193">
        <f t="shared" si="64"/>
        <v>2.960405254270882E-11</v>
      </c>
      <c r="CZ24" s="193">
        <f t="shared" si="64"/>
        <v>2.960405254270882E-11</v>
      </c>
      <c r="DA24" s="193">
        <f t="shared" si="64"/>
        <v>2.960405254270882E-11</v>
      </c>
      <c r="DB24" s="194">
        <f>SUM(CP24:DA24)</f>
        <v>3.5524863051250584E-10</v>
      </c>
      <c r="DC24" s="193">
        <f aca="true" t="shared" si="65" ref="DC24:DN24">DC40+DC56+DC72+DC88</f>
        <v>2.960405254270882E-11</v>
      </c>
      <c r="DD24" s="193">
        <f t="shared" si="65"/>
        <v>2.960405254270882E-11</v>
      </c>
      <c r="DE24" s="193">
        <f t="shared" si="65"/>
        <v>2.960405254270882E-11</v>
      </c>
      <c r="DF24" s="193">
        <f t="shared" si="65"/>
        <v>2.960405254270882E-11</v>
      </c>
      <c r="DG24" s="193">
        <f t="shared" si="65"/>
        <v>2.960405254270882E-11</v>
      </c>
      <c r="DH24" s="193">
        <f t="shared" si="65"/>
        <v>2.960405254270882E-11</v>
      </c>
      <c r="DI24" s="193">
        <f t="shared" si="65"/>
        <v>2.960405254270882E-11</v>
      </c>
      <c r="DJ24" s="193">
        <f t="shared" si="65"/>
        <v>2.960405254270882E-11</v>
      </c>
      <c r="DK24" s="193">
        <f t="shared" si="65"/>
        <v>2.960405254270882E-11</v>
      </c>
      <c r="DL24" s="193">
        <f t="shared" si="65"/>
        <v>2.960405254270882E-11</v>
      </c>
      <c r="DM24" s="193">
        <f t="shared" si="65"/>
        <v>2.960405254270882E-11</v>
      </c>
      <c r="DN24" s="193">
        <f t="shared" si="65"/>
        <v>2.960405254270882E-11</v>
      </c>
      <c r="DO24" s="194">
        <f>SUM(DC24:DN24)</f>
        <v>3.5524863051250584E-10</v>
      </c>
    </row>
    <row r="25" spans="1:119" ht="12.75">
      <c r="A25" s="187" t="s">
        <v>14</v>
      </c>
      <c r="B25" s="192">
        <f>O25+AB25+AO25+BB25+BO25+CB25+CO25+DB25+DO25</f>
        <v>1270714.3026927952</v>
      </c>
      <c r="C25" s="193">
        <f t="shared" si="49"/>
        <v>0</v>
      </c>
      <c r="D25" s="193">
        <f t="shared" si="49"/>
        <v>0</v>
      </c>
      <c r="E25" s="193">
        <f t="shared" si="49"/>
        <v>0</v>
      </c>
      <c r="F25" s="193">
        <f t="shared" si="49"/>
        <v>0</v>
      </c>
      <c r="G25" s="193">
        <f t="shared" si="49"/>
        <v>0</v>
      </c>
      <c r="H25" s="193">
        <f t="shared" si="49"/>
        <v>0</v>
      </c>
      <c r="I25" s="193">
        <f t="shared" si="49"/>
        <v>0</v>
      </c>
      <c r="J25" s="193">
        <f t="shared" si="49"/>
        <v>0</v>
      </c>
      <c r="K25" s="193">
        <f t="shared" si="49"/>
        <v>0</v>
      </c>
      <c r="L25" s="193">
        <f t="shared" si="49"/>
        <v>0</v>
      </c>
      <c r="M25" s="193">
        <f t="shared" si="49"/>
        <v>0</v>
      </c>
      <c r="N25" s="193">
        <f t="shared" si="49"/>
        <v>0</v>
      </c>
      <c r="O25" s="194">
        <f>SUM(C25:N25)</f>
        <v>0</v>
      </c>
      <c r="P25" s="193">
        <f aca="true" t="shared" si="66" ref="P25:AA25">P41+P57+P73+P89</f>
        <v>14251.91627159252</v>
      </c>
      <c r="Q25" s="193">
        <f t="shared" si="66"/>
        <v>14335.052449843475</v>
      </c>
      <c r="R25" s="193">
        <f t="shared" si="66"/>
        <v>14418.673589134229</v>
      </c>
      <c r="S25" s="193">
        <f t="shared" si="66"/>
        <v>14502.78251840418</v>
      </c>
      <c r="T25" s="193">
        <f t="shared" si="66"/>
        <v>14587.382083094868</v>
      </c>
      <c r="U25" s="193">
        <f t="shared" si="66"/>
        <v>14672.475145246255</v>
      </c>
      <c r="V25" s="193">
        <f t="shared" si="66"/>
        <v>14758.064583593528</v>
      </c>
      <c r="W25" s="193">
        <f t="shared" si="66"/>
        <v>14844.15329366449</v>
      </c>
      <c r="X25" s="193">
        <f t="shared" si="66"/>
        <v>14930.744187877532</v>
      </c>
      <c r="Y25" s="193">
        <f t="shared" si="66"/>
        <v>15017.84019564015</v>
      </c>
      <c r="Z25" s="193">
        <f t="shared" si="66"/>
        <v>15105.444263448051</v>
      </c>
      <c r="AA25" s="193">
        <f t="shared" si="66"/>
        <v>15193.55935498483</v>
      </c>
      <c r="AB25" s="194">
        <f>SUM(P25:AA25)</f>
        <v>176618.08793652413</v>
      </c>
      <c r="AC25" s="193">
        <f aca="true" t="shared" si="67" ref="AC25:AN25">AC41+AC57+AC73+AC89</f>
        <v>15282.188451222246</v>
      </c>
      <c r="AD25" s="193">
        <f t="shared" si="67"/>
        <v>15371.334550521042</v>
      </c>
      <c r="AE25" s="193">
        <f t="shared" si="67"/>
        <v>15461.000668732413</v>
      </c>
      <c r="AF25" s="193">
        <f t="shared" si="67"/>
        <v>15551.18983930002</v>
      </c>
      <c r="AG25" s="193">
        <f t="shared" si="67"/>
        <v>15641.905113362602</v>
      </c>
      <c r="AH25" s="193">
        <f t="shared" si="67"/>
        <v>15733.149559857218</v>
      </c>
      <c r="AI25" s="193">
        <f t="shared" si="67"/>
        <v>15824.926265623053</v>
      </c>
      <c r="AJ25" s="193">
        <f t="shared" si="67"/>
        <v>15917.238335505852</v>
      </c>
      <c r="AK25" s="193">
        <f t="shared" si="67"/>
        <v>16010.088892462969</v>
      </c>
      <c r="AL25" s="193">
        <f t="shared" si="67"/>
        <v>16103.481077669003</v>
      </c>
      <c r="AM25" s="193">
        <f t="shared" si="67"/>
        <v>16197.418050622073</v>
      </c>
      <c r="AN25" s="193">
        <f t="shared" si="67"/>
        <v>16291.902989250702</v>
      </c>
      <c r="AO25" s="194">
        <f>SUM(AC25:AN25)</f>
        <v>189385.8237941292</v>
      </c>
      <c r="AP25" s="193">
        <f aca="true" t="shared" si="68" ref="AP25:BA25">AP41+AP57+AP73+AP89</f>
        <v>16386.939090021333</v>
      </c>
      <c r="AQ25" s="193">
        <f t="shared" si="68"/>
        <v>16482.529568046455</v>
      </c>
      <c r="AR25" s="193">
        <f t="shared" si="68"/>
        <v>16578.677657193395</v>
      </c>
      <c r="AS25" s="193">
        <f t="shared" si="68"/>
        <v>16675.386610193687</v>
      </c>
      <c r="AT25" s="193">
        <f t="shared" si="68"/>
        <v>16772.659698753152</v>
      </c>
      <c r="AU25" s="193">
        <f t="shared" si="68"/>
        <v>16870.500213662544</v>
      </c>
      <c r="AV25" s="193">
        <f t="shared" si="68"/>
        <v>16968.91146490891</v>
      </c>
      <c r="AW25" s="193">
        <f t="shared" si="68"/>
        <v>17067.896781787545</v>
      </c>
      <c r="AX25" s="193">
        <f t="shared" si="68"/>
        <v>17167.459513014637</v>
      </c>
      <c r="AY25" s="193">
        <f t="shared" si="68"/>
        <v>17267.603026840556</v>
      </c>
      <c r="AZ25" s="193">
        <f t="shared" si="68"/>
        <v>17368.330711163795</v>
      </c>
      <c r="BA25" s="193">
        <f t="shared" si="68"/>
        <v>17469.645973645584</v>
      </c>
      <c r="BB25" s="194">
        <f>SUM(AP25:BA25)</f>
        <v>203076.54030923158</v>
      </c>
      <c r="BC25" s="193">
        <f aca="true" t="shared" si="69" ref="BC25:BN25">BC41+BC57+BC73+BC89</f>
        <v>17571.552241825182</v>
      </c>
      <c r="BD25" s="193">
        <f t="shared" si="69"/>
        <v>17674.05296323583</v>
      </c>
      <c r="BE25" s="193">
        <f t="shared" si="69"/>
        <v>17777.151605521372</v>
      </c>
      <c r="BF25" s="193">
        <f t="shared" si="69"/>
        <v>17880.85165655358</v>
      </c>
      <c r="BG25" s="193">
        <f t="shared" si="69"/>
        <v>17985.15662455014</v>
      </c>
      <c r="BH25" s="193">
        <f t="shared" si="69"/>
        <v>18090.07003819335</v>
      </c>
      <c r="BI25" s="193">
        <f t="shared" si="69"/>
        <v>18195.595446749478</v>
      </c>
      <c r="BJ25" s="193">
        <f t="shared" si="69"/>
        <v>18301.73642018885</v>
      </c>
      <c r="BK25" s="193">
        <f t="shared" si="69"/>
        <v>18408.49654930662</v>
      </c>
      <c r="BL25" s="193">
        <f t="shared" si="69"/>
        <v>18515.879445844243</v>
      </c>
      <c r="BM25" s="193">
        <f t="shared" si="69"/>
        <v>18623.888742611663</v>
      </c>
      <c r="BN25" s="193">
        <f t="shared" si="69"/>
        <v>18732.528093610235</v>
      </c>
      <c r="BO25" s="194">
        <f>SUM(BC25:BN25)</f>
        <v>217756.95982819056</v>
      </c>
      <c r="BP25" s="193">
        <f aca="true" t="shared" si="70" ref="BP25:CA25">BP41+BP57+BP73+BP89</f>
        <v>18841.801174156295</v>
      </c>
      <c r="BQ25" s="193">
        <f t="shared" si="70"/>
        <v>18951.711681005538</v>
      </c>
      <c r="BR25" s="193">
        <f t="shared" si="70"/>
        <v>19062.26333247807</v>
      </c>
      <c r="BS25" s="193">
        <f t="shared" si="70"/>
        <v>19173.459868584192</v>
      </c>
      <c r="BT25" s="193">
        <f t="shared" si="70"/>
        <v>19285.305051150935</v>
      </c>
      <c r="BU25" s="193">
        <f t="shared" si="70"/>
        <v>19397.802663949315</v>
      </c>
      <c r="BV25" s="193">
        <f t="shared" si="70"/>
        <v>19510.95651282235</v>
      </c>
      <c r="BW25" s="193">
        <f t="shared" si="70"/>
        <v>19624.770425813815</v>
      </c>
      <c r="BX25" s="193">
        <f t="shared" si="70"/>
        <v>19739.24825329773</v>
      </c>
      <c r="BY25" s="193">
        <f t="shared" si="70"/>
        <v>19854.393868108633</v>
      </c>
      <c r="BZ25" s="193">
        <f t="shared" si="70"/>
        <v>19970.2111656726</v>
      </c>
      <c r="CA25" s="193">
        <f t="shared" si="70"/>
        <v>20086.704064139023</v>
      </c>
      <c r="CB25" s="194">
        <f>SUM(BP25:CA25)</f>
        <v>233498.62806117852</v>
      </c>
      <c r="CC25" s="193">
        <f aca="true" t="shared" si="71" ref="CC25:CN25">CC41+CC57+CC73+CC89</f>
        <v>20203.87650451317</v>
      </c>
      <c r="CD25" s="193">
        <f t="shared" si="71"/>
        <v>20321.732450789495</v>
      </c>
      <c r="CE25" s="193">
        <f t="shared" si="71"/>
        <v>20440.275890085766</v>
      </c>
      <c r="CF25" s="193">
        <f t="shared" si="71"/>
        <v>20559.510832777934</v>
      </c>
      <c r="CG25" s="193">
        <f t="shared" si="71"/>
        <v>20679.441312635805</v>
      </c>
      <c r="CH25" s="193">
        <f t="shared" si="71"/>
        <v>20800.071386959513</v>
      </c>
      <c r="CI25" s="193">
        <f t="shared" si="71"/>
        <v>20921.405136716778</v>
      </c>
      <c r="CJ25" s="193">
        <f t="shared" si="71"/>
        <v>21043.44666668096</v>
      </c>
      <c r="CK25" s="193">
        <f t="shared" si="71"/>
        <v>21166.200105569933</v>
      </c>
      <c r="CL25" s="193">
        <f t="shared" si="71"/>
        <v>21289.669606185755</v>
      </c>
      <c r="CM25" s="193">
        <f t="shared" si="71"/>
        <v>21413.859345555175</v>
      </c>
      <c r="CN25" s="193">
        <f t="shared" si="71"/>
        <v>21538.773525070912</v>
      </c>
      <c r="CO25" s="194">
        <f>SUM(CC25:CN25)</f>
        <v>250378.2627635412</v>
      </c>
      <c r="CP25" s="193">
        <f aca="true" t="shared" si="72" ref="CP25:DA25">CP41+CP57+CP73+CP89</f>
        <v>0</v>
      </c>
      <c r="CQ25" s="193">
        <f t="shared" si="72"/>
        <v>0</v>
      </c>
      <c r="CR25" s="193">
        <f t="shared" si="72"/>
        <v>0</v>
      </c>
      <c r="CS25" s="193">
        <f t="shared" si="72"/>
        <v>0</v>
      </c>
      <c r="CT25" s="193">
        <f t="shared" si="72"/>
        <v>0</v>
      </c>
      <c r="CU25" s="193">
        <f t="shared" si="72"/>
        <v>0</v>
      </c>
      <c r="CV25" s="193">
        <f t="shared" si="72"/>
        <v>0</v>
      </c>
      <c r="CW25" s="193">
        <f t="shared" si="72"/>
        <v>0</v>
      </c>
      <c r="CX25" s="193">
        <f t="shared" si="72"/>
        <v>0</v>
      </c>
      <c r="CY25" s="193">
        <f t="shared" si="72"/>
        <v>0</v>
      </c>
      <c r="CZ25" s="193">
        <f t="shared" si="72"/>
        <v>0</v>
      </c>
      <c r="DA25" s="193">
        <f t="shared" si="72"/>
        <v>0</v>
      </c>
      <c r="DB25" s="194">
        <f>SUM(CP25:DA25)</f>
        <v>0</v>
      </c>
      <c r="DC25" s="193">
        <f aca="true" t="shared" si="73" ref="DC25:DN25">DC41+DC57+DC73+DC89</f>
        <v>0</v>
      </c>
      <c r="DD25" s="193">
        <f t="shared" si="73"/>
        <v>0</v>
      </c>
      <c r="DE25" s="193">
        <f t="shared" si="73"/>
        <v>0</v>
      </c>
      <c r="DF25" s="193">
        <f t="shared" si="73"/>
        <v>0</v>
      </c>
      <c r="DG25" s="193">
        <f t="shared" si="73"/>
        <v>0</v>
      </c>
      <c r="DH25" s="193">
        <f t="shared" si="73"/>
        <v>0</v>
      </c>
      <c r="DI25" s="193">
        <f t="shared" si="73"/>
        <v>0</v>
      </c>
      <c r="DJ25" s="193">
        <f t="shared" si="73"/>
        <v>0</v>
      </c>
      <c r="DK25" s="193">
        <f t="shared" si="73"/>
        <v>0</v>
      </c>
      <c r="DL25" s="193">
        <f t="shared" si="73"/>
        <v>0</v>
      </c>
      <c r="DM25" s="193">
        <f t="shared" si="73"/>
        <v>0</v>
      </c>
      <c r="DN25" s="193">
        <f t="shared" si="73"/>
        <v>0</v>
      </c>
      <c r="DO25" s="194">
        <f>SUM(DC25:DN25)</f>
        <v>0</v>
      </c>
    </row>
    <row r="26" spans="1:119" ht="12.75">
      <c r="A26" s="187" t="s">
        <v>15</v>
      </c>
      <c r="B26" s="192">
        <f>O26+AB26+AO26+BB26+BO26+CB26+CO26+DB26+DO26</f>
        <v>289123.6759928431</v>
      </c>
      <c r="C26" s="193">
        <f t="shared" si="49"/>
        <v>0</v>
      </c>
      <c r="D26" s="193">
        <f t="shared" si="49"/>
        <v>0</v>
      </c>
      <c r="E26" s="193">
        <f t="shared" si="49"/>
        <v>0</v>
      </c>
      <c r="F26" s="193">
        <f t="shared" si="49"/>
        <v>0</v>
      </c>
      <c r="G26" s="193">
        <f t="shared" si="49"/>
        <v>0</v>
      </c>
      <c r="H26" s="193">
        <f t="shared" si="49"/>
        <v>0</v>
      </c>
      <c r="I26" s="193">
        <f t="shared" si="49"/>
        <v>0</v>
      </c>
      <c r="J26" s="193">
        <f t="shared" si="49"/>
        <v>0</v>
      </c>
      <c r="K26" s="193">
        <f t="shared" si="49"/>
        <v>0</v>
      </c>
      <c r="L26" s="193">
        <f t="shared" si="49"/>
        <v>0</v>
      </c>
      <c r="M26" s="193">
        <f t="shared" si="49"/>
        <v>0</v>
      </c>
      <c r="N26" s="193">
        <f t="shared" si="49"/>
        <v>0</v>
      </c>
      <c r="O26" s="194">
        <f>SUM(C26:N26)</f>
        <v>0</v>
      </c>
      <c r="P26" s="193">
        <f aca="true" t="shared" si="74" ref="P26:AA26">P42+P58+P74+P90</f>
        <v>7412.500099041335</v>
      </c>
      <c r="Q26" s="193">
        <f t="shared" si="74"/>
        <v>7329.363920790379</v>
      </c>
      <c r="R26" s="193">
        <f t="shared" si="74"/>
        <v>7245.742781499625</v>
      </c>
      <c r="S26" s="193">
        <f t="shared" si="74"/>
        <v>7161.6338522296755</v>
      </c>
      <c r="T26" s="193">
        <f t="shared" si="74"/>
        <v>7077.034287538986</v>
      </c>
      <c r="U26" s="193">
        <f t="shared" si="74"/>
        <v>6991.941225387599</v>
      </c>
      <c r="V26" s="193">
        <f t="shared" si="74"/>
        <v>6906.3517870403275</v>
      </c>
      <c r="W26" s="193">
        <f t="shared" si="74"/>
        <v>6820.263076969365</v>
      </c>
      <c r="X26" s="193">
        <f t="shared" si="74"/>
        <v>6733.672182756322</v>
      </c>
      <c r="Y26" s="193">
        <f t="shared" si="74"/>
        <v>6646.576174993704</v>
      </c>
      <c r="Z26" s="193">
        <f t="shared" si="74"/>
        <v>6558.972107185803</v>
      </c>
      <c r="AA26" s="193">
        <f t="shared" si="74"/>
        <v>6470.857015649023</v>
      </c>
      <c r="AB26" s="194">
        <f>SUM(P26:AA26)</f>
        <v>83354.90851108215</v>
      </c>
      <c r="AC26" s="193">
        <f aca="true" t="shared" si="75" ref="AC26:AN26">AC42+AC58+AC74+AC90</f>
        <v>6382.22791941161</v>
      </c>
      <c r="AD26" s="193">
        <f t="shared" si="75"/>
        <v>6293.081820112814</v>
      </c>
      <c r="AE26" s="193">
        <f t="shared" si="75"/>
        <v>6203.415701901442</v>
      </c>
      <c r="AF26" s="193">
        <f t="shared" si="75"/>
        <v>6113.226531333836</v>
      </c>
      <c r="AG26" s="193">
        <f t="shared" si="75"/>
        <v>6022.511257271252</v>
      </c>
      <c r="AH26" s="193">
        <f t="shared" si="75"/>
        <v>5931.266810776637</v>
      </c>
      <c r="AI26" s="193">
        <f t="shared" si="75"/>
        <v>5839.490105010803</v>
      </c>
      <c r="AJ26" s="193">
        <f t="shared" si="75"/>
        <v>5747.178035128002</v>
      </c>
      <c r="AK26" s="193">
        <f t="shared" si="75"/>
        <v>5654.327478170885</v>
      </c>
      <c r="AL26" s="193">
        <f t="shared" si="75"/>
        <v>5560.935292964851</v>
      </c>
      <c r="AM26" s="193">
        <f t="shared" si="75"/>
        <v>5466.998320011782</v>
      </c>
      <c r="AN26" s="193">
        <f t="shared" si="75"/>
        <v>5372.513381383153</v>
      </c>
      <c r="AO26" s="194">
        <f>SUM(AC26:AN26)</f>
        <v>70587.17265347706</v>
      </c>
      <c r="AP26" s="193">
        <f aca="true" t="shared" si="76" ref="AP26:BA26">AP42+AP58+AP74+AP90</f>
        <v>5277.477280612524</v>
      </c>
      <c r="AQ26" s="193">
        <f t="shared" si="76"/>
        <v>5181.886802587399</v>
      </c>
      <c r="AR26" s="193">
        <f t="shared" si="76"/>
        <v>5085.738713440462</v>
      </c>
      <c r="AS26" s="193">
        <f t="shared" si="76"/>
        <v>4989.029760440167</v>
      </c>
      <c r="AT26" s="193">
        <f t="shared" si="76"/>
        <v>4891.756671880704</v>
      </c>
      <c r="AU26" s="193">
        <f t="shared" si="76"/>
        <v>4793.916156971311</v>
      </c>
      <c r="AV26" s="193">
        <f t="shared" si="76"/>
        <v>4695.504905724946</v>
      </c>
      <c r="AW26" s="193">
        <f t="shared" si="76"/>
        <v>4596.51958884631</v>
      </c>
      <c r="AX26" s="193">
        <f t="shared" si="76"/>
        <v>4496.956857619217</v>
      </c>
      <c r="AY26" s="193">
        <f t="shared" si="76"/>
        <v>4396.813343793298</v>
      </c>
      <c r="AZ26" s="193">
        <f t="shared" si="76"/>
        <v>4296.085659470061</v>
      </c>
      <c r="BA26" s="193">
        <f t="shared" si="76"/>
        <v>4194.770396988272</v>
      </c>
      <c r="BB26" s="194">
        <f>SUM(AP26:BA26)</f>
        <v>56896.45613837467</v>
      </c>
      <c r="BC26" s="193">
        <f aca="true" t="shared" si="77" ref="BC26:BN26">BC42+BC58+BC74+BC90</f>
        <v>4092.864128808673</v>
      </c>
      <c r="BD26" s="193">
        <f t="shared" si="77"/>
        <v>3990.3634073980265</v>
      </c>
      <c r="BE26" s="193">
        <f t="shared" si="77"/>
        <v>3887.264765112484</v>
      </c>
      <c r="BF26" s="193">
        <f t="shared" si="77"/>
        <v>3783.5647140802757</v>
      </c>
      <c r="BG26" s="193">
        <f t="shared" si="77"/>
        <v>3679.2597460837133</v>
      </c>
      <c r="BH26" s="193">
        <f t="shared" si="77"/>
        <v>3574.3463324405043</v>
      </c>
      <c r="BI26" s="193">
        <f t="shared" si="77"/>
        <v>3468.820923884376</v>
      </c>
      <c r="BJ26" s="193">
        <f t="shared" si="77"/>
        <v>3362.6799504450046</v>
      </c>
      <c r="BK26" s="193">
        <f t="shared" si="77"/>
        <v>3255.919821327236</v>
      </c>
      <c r="BL26" s="193">
        <f t="shared" si="77"/>
        <v>3148.536924789614</v>
      </c>
      <c r="BM26" s="193">
        <f t="shared" si="77"/>
        <v>3040.5276280221897</v>
      </c>
      <c r="BN26" s="193">
        <f t="shared" si="77"/>
        <v>2931.8882770236214</v>
      </c>
      <c r="BO26" s="194">
        <f>SUM(BC26:BN26)</f>
        <v>42216.036619415725</v>
      </c>
      <c r="BP26" s="193">
        <f aca="true" t="shared" si="78" ref="BP26:CA26">BP42+BP58+BP74+BP90</f>
        <v>2822.6151964775618</v>
      </c>
      <c r="BQ26" s="193">
        <f t="shared" si="78"/>
        <v>2712.7046896283164</v>
      </c>
      <c r="BR26" s="193">
        <f t="shared" si="78"/>
        <v>2602.153038155784</v>
      </c>
      <c r="BS26" s="193">
        <f t="shared" si="78"/>
        <v>2490.956502049662</v>
      </c>
      <c r="BT26" s="193">
        <f t="shared" si="78"/>
        <v>2379.111319482921</v>
      </c>
      <c r="BU26" s="193">
        <f t="shared" si="78"/>
        <v>2266.6137066845404</v>
      </c>
      <c r="BV26" s="193">
        <f t="shared" si="78"/>
        <v>2153.459857811503</v>
      </c>
      <c r="BW26" s="193">
        <f t="shared" si="78"/>
        <v>2039.6459448200387</v>
      </c>
      <c r="BX26" s="193">
        <f t="shared" si="78"/>
        <v>1925.168117336125</v>
      </c>
      <c r="BY26" s="193">
        <f t="shared" si="78"/>
        <v>1810.0225025252214</v>
      </c>
      <c r="BZ26" s="193">
        <f t="shared" si="78"/>
        <v>1694.2052049612546</v>
      </c>
      <c r="CA26" s="193">
        <f t="shared" si="78"/>
        <v>1577.712306494831</v>
      </c>
      <c r="CB26" s="194">
        <f>SUM(BP26:CA26)</f>
        <v>26474.368386427763</v>
      </c>
      <c r="CC26" s="193">
        <f aca="true" t="shared" si="79" ref="CC26:CN26">CC42+CC58+CC74+CC90</f>
        <v>1460.5398661206866</v>
      </c>
      <c r="CD26" s="193">
        <f t="shared" si="79"/>
        <v>1342.68391984436</v>
      </c>
      <c r="CE26" s="193">
        <f t="shared" si="79"/>
        <v>1224.140480548088</v>
      </c>
      <c r="CF26" s="193">
        <f t="shared" si="79"/>
        <v>1104.905537855921</v>
      </c>
      <c r="CG26" s="193">
        <f t="shared" si="79"/>
        <v>984.9750579980497</v>
      </c>
      <c r="CH26" s="193">
        <f t="shared" si="79"/>
        <v>864.3449836743407</v>
      </c>
      <c r="CI26" s="193">
        <f t="shared" si="79"/>
        <v>743.0112339170769</v>
      </c>
      <c r="CJ26" s="193">
        <f t="shared" si="79"/>
        <v>620.9697039528957</v>
      </c>
      <c r="CK26" s="193">
        <f t="shared" si="79"/>
        <v>498.21626506392334</v>
      </c>
      <c r="CL26" s="193">
        <f t="shared" si="79"/>
        <v>374.7467644480987</v>
      </c>
      <c r="CM26" s="193">
        <f t="shared" si="79"/>
        <v>250.55702507868182</v>
      </c>
      <c r="CN26" s="193">
        <f t="shared" si="79"/>
        <v>125.64284556294326</v>
      </c>
      <c r="CO26" s="194">
        <f>SUM(CC26:CN26)</f>
        <v>9594.733684065068</v>
      </c>
      <c r="CP26" s="193">
        <f aca="true" t="shared" si="80" ref="CP26:DA26">CP42+CP58+CP74+CP90</f>
        <v>2.960405254270882E-11</v>
      </c>
      <c r="CQ26" s="193">
        <f t="shared" si="80"/>
        <v>2.960405254270882E-11</v>
      </c>
      <c r="CR26" s="193">
        <f t="shared" si="80"/>
        <v>2.960405254270882E-11</v>
      </c>
      <c r="CS26" s="193">
        <f t="shared" si="80"/>
        <v>2.960405254270882E-11</v>
      </c>
      <c r="CT26" s="193">
        <f t="shared" si="80"/>
        <v>2.960405254270882E-11</v>
      </c>
      <c r="CU26" s="193">
        <f t="shared" si="80"/>
        <v>2.960405254270882E-11</v>
      </c>
      <c r="CV26" s="193">
        <f t="shared" si="80"/>
        <v>2.960405254270882E-11</v>
      </c>
      <c r="CW26" s="193">
        <f t="shared" si="80"/>
        <v>2.960405254270882E-11</v>
      </c>
      <c r="CX26" s="193">
        <f t="shared" si="80"/>
        <v>2.960405254270882E-11</v>
      </c>
      <c r="CY26" s="193">
        <f t="shared" si="80"/>
        <v>2.960405254270882E-11</v>
      </c>
      <c r="CZ26" s="193">
        <f t="shared" si="80"/>
        <v>2.960405254270882E-11</v>
      </c>
      <c r="DA26" s="193">
        <f t="shared" si="80"/>
        <v>2.960405254270882E-11</v>
      </c>
      <c r="DB26" s="194">
        <f>SUM(CP26:DA26)</f>
        <v>3.5524863051250584E-10</v>
      </c>
      <c r="DC26" s="193">
        <f aca="true" t="shared" si="81" ref="DC26:DN26">DC42+DC58+DC74+DC90</f>
        <v>2.960405254270882E-11</v>
      </c>
      <c r="DD26" s="193">
        <f t="shared" si="81"/>
        <v>2.960405254270882E-11</v>
      </c>
      <c r="DE26" s="193">
        <f t="shared" si="81"/>
        <v>2.960405254270882E-11</v>
      </c>
      <c r="DF26" s="193">
        <f t="shared" si="81"/>
        <v>2.960405254270882E-11</v>
      </c>
      <c r="DG26" s="193">
        <f t="shared" si="81"/>
        <v>2.960405254270882E-11</v>
      </c>
      <c r="DH26" s="193">
        <f t="shared" si="81"/>
        <v>2.960405254270882E-11</v>
      </c>
      <c r="DI26" s="193">
        <f t="shared" si="81"/>
        <v>2.960405254270882E-11</v>
      </c>
      <c r="DJ26" s="193">
        <f t="shared" si="81"/>
        <v>2.960405254270882E-11</v>
      </c>
      <c r="DK26" s="193">
        <f t="shared" si="81"/>
        <v>2.960405254270882E-11</v>
      </c>
      <c r="DL26" s="193">
        <f t="shared" si="81"/>
        <v>2.960405254270882E-11</v>
      </c>
      <c r="DM26" s="193">
        <f t="shared" si="81"/>
        <v>2.960405254270882E-11</v>
      </c>
      <c r="DN26" s="193">
        <f t="shared" si="81"/>
        <v>2.960405254270882E-11</v>
      </c>
      <c r="DO26" s="194">
        <f>SUM(DC26:DN26)</f>
        <v>3.5524863051250584E-10</v>
      </c>
    </row>
    <row r="27" spans="1:119" ht="12.75">
      <c r="A27" s="187" t="s">
        <v>16</v>
      </c>
      <c r="B27" s="192">
        <f>DO27</f>
        <v>5.0749804358929396E-09</v>
      </c>
      <c r="C27" s="193">
        <f t="shared" si="49"/>
        <v>0</v>
      </c>
      <c r="D27" s="193">
        <f t="shared" si="49"/>
        <v>0</v>
      </c>
      <c r="E27" s="193">
        <f t="shared" si="49"/>
        <v>0</v>
      </c>
      <c r="F27" s="193">
        <f t="shared" si="49"/>
        <v>114591.64500000002</v>
      </c>
      <c r="G27" s="193">
        <f t="shared" si="49"/>
        <v>229183.29000000004</v>
      </c>
      <c r="H27" s="193">
        <f t="shared" si="49"/>
        <v>537235.2215066667</v>
      </c>
      <c r="I27" s="193">
        <f t="shared" si="49"/>
        <v>651826.8665066668</v>
      </c>
      <c r="J27" s="193">
        <f t="shared" si="49"/>
        <v>959878.7980133335</v>
      </c>
      <c r="K27" s="193">
        <f t="shared" si="49"/>
        <v>959878.7980133335</v>
      </c>
      <c r="L27" s="193">
        <f t="shared" si="49"/>
        <v>1153339.08452</v>
      </c>
      <c r="M27" s="193">
        <f t="shared" si="49"/>
        <v>1168171.4689200001</v>
      </c>
      <c r="N27" s="193">
        <f t="shared" si="49"/>
        <v>1270714.3026928</v>
      </c>
      <c r="O27" s="194">
        <f>N27</f>
        <v>1270714.3026928</v>
      </c>
      <c r="P27" s="193">
        <f aca="true" t="shared" si="82" ref="P27:AA27">P43+P59+P75+P91</f>
        <v>1256462.3864212076</v>
      </c>
      <c r="Q27" s="193">
        <f t="shared" si="82"/>
        <v>1242127.3339713642</v>
      </c>
      <c r="R27" s="193">
        <f t="shared" si="82"/>
        <v>1227708.66038223</v>
      </c>
      <c r="S27" s="193">
        <f t="shared" si="82"/>
        <v>1213205.877863826</v>
      </c>
      <c r="T27" s="193">
        <f t="shared" si="82"/>
        <v>1198618.495780731</v>
      </c>
      <c r="U27" s="193">
        <f t="shared" si="82"/>
        <v>1183946.0206354847</v>
      </c>
      <c r="V27" s="193">
        <f t="shared" si="82"/>
        <v>1169187.9560518912</v>
      </c>
      <c r="W27" s="193">
        <f t="shared" si="82"/>
        <v>1154343.8027582266</v>
      </c>
      <c r="X27" s="193">
        <f t="shared" si="82"/>
        <v>1139413.0585703491</v>
      </c>
      <c r="Y27" s="193">
        <f t="shared" si="82"/>
        <v>1124395.218374709</v>
      </c>
      <c r="Z27" s="193">
        <f t="shared" si="82"/>
        <v>1109289.774111261</v>
      </c>
      <c r="AA27" s="193">
        <f t="shared" si="82"/>
        <v>1094096.214756276</v>
      </c>
      <c r="AB27" s="194">
        <f>AA27</f>
        <v>1094096.214756276</v>
      </c>
      <c r="AC27" s="193">
        <f aca="true" t="shared" si="83" ref="AC27:AN27">AC43+AC59+AC75+AC91</f>
        <v>1078814.0263050538</v>
      </c>
      <c r="AD27" s="193">
        <f t="shared" si="83"/>
        <v>1063442.6917545327</v>
      </c>
      <c r="AE27" s="193">
        <f t="shared" si="83"/>
        <v>1047981.6910858003</v>
      </c>
      <c r="AF27" s="193">
        <f t="shared" si="83"/>
        <v>1032430.5012465003</v>
      </c>
      <c r="AG27" s="193">
        <f t="shared" si="83"/>
        <v>1016788.5961331377</v>
      </c>
      <c r="AH27" s="193">
        <f t="shared" si="83"/>
        <v>1001055.4465732805</v>
      </c>
      <c r="AI27" s="193">
        <f t="shared" si="83"/>
        <v>985230.5203076574</v>
      </c>
      <c r="AJ27" s="193">
        <f t="shared" si="83"/>
        <v>969313.2819721516</v>
      </c>
      <c r="AK27" s="193">
        <f t="shared" si="83"/>
        <v>953303.1930796886</v>
      </c>
      <c r="AL27" s="193">
        <f t="shared" si="83"/>
        <v>937199.7120020196</v>
      </c>
      <c r="AM27" s="193">
        <f t="shared" si="83"/>
        <v>921002.2939513975</v>
      </c>
      <c r="AN27" s="193">
        <f t="shared" si="83"/>
        <v>904710.3909621468</v>
      </c>
      <c r="AO27" s="194">
        <f>AN27</f>
        <v>904710.3909621468</v>
      </c>
      <c r="AP27" s="193">
        <f aca="true" t="shared" si="84" ref="AP27:BA27">AP43+AP59+AP75+AP91</f>
        <v>888323.4518721255</v>
      </c>
      <c r="AQ27" s="193">
        <f t="shared" si="84"/>
        <v>871840.922304079</v>
      </c>
      <c r="AR27" s="193">
        <f t="shared" si="84"/>
        <v>855262.2446468857</v>
      </c>
      <c r="AS27" s="193">
        <f t="shared" si="84"/>
        <v>838586.858036692</v>
      </c>
      <c r="AT27" s="193">
        <f t="shared" si="84"/>
        <v>821814.1983379389</v>
      </c>
      <c r="AU27" s="193">
        <f t="shared" si="84"/>
        <v>804943.6981242764</v>
      </c>
      <c r="AV27" s="193">
        <f t="shared" si="84"/>
        <v>787974.7866593675</v>
      </c>
      <c r="AW27" s="193">
        <f t="shared" si="84"/>
        <v>770906.88987758</v>
      </c>
      <c r="AX27" s="193">
        <f t="shared" si="84"/>
        <v>753739.4303645653</v>
      </c>
      <c r="AY27" s="193">
        <f t="shared" si="84"/>
        <v>736471.8273377247</v>
      </c>
      <c r="AZ27" s="193">
        <f t="shared" si="84"/>
        <v>719103.4966265609</v>
      </c>
      <c r="BA27" s="193">
        <f t="shared" si="84"/>
        <v>701633.8506529153</v>
      </c>
      <c r="BB27" s="194">
        <f>BA27</f>
        <v>701633.8506529153</v>
      </c>
      <c r="BC27" s="193">
        <f aca="true" t="shared" si="85" ref="BC27:BN27">BC43+BC59+BC75+BC91</f>
        <v>684062.2984110902</v>
      </c>
      <c r="BD27" s="193">
        <f t="shared" si="85"/>
        <v>666388.2454478543</v>
      </c>
      <c r="BE27" s="193">
        <f t="shared" si="85"/>
        <v>648611.093842333</v>
      </c>
      <c r="BF27" s="193">
        <f t="shared" si="85"/>
        <v>630730.2421857794</v>
      </c>
      <c r="BG27" s="193">
        <f t="shared" si="85"/>
        <v>612745.0855612293</v>
      </c>
      <c r="BH27" s="193">
        <f t="shared" si="85"/>
        <v>594655.0155230359</v>
      </c>
      <c r="BI27" s="193">
        <f t="shared" si="85"/>
        <v>576459.4200762864</v>
      </c>
      <c r="BJ27" s="193">
        <f t="shared" si="85"/>
        <v>558157.6836560976</v>
      </c>
      <c r="BK27" s="193">
        <f t="shared" si="85"/>
        <v>539749.187106791</v>
      </c>
      <c r="BL27" s="193">
        <f t="shared" si="85"/>
        <v>521233.30766094674</v>
      </c>
      <c r="BM27" s="193">
        <f t="shared" si="85"/>
        <v>502609.41891833505</v>
      </c>
      <c r="BN27" s="193">
        <f t="shared" si="85"/>
        <v>483876.8908247248</v>
      </c>
      <c r="BO27" s="194">
        <f>BN27</f>
        <v>483876.8908247248</v>
      </c>
      <c r="BP27" s="193">
        <f aca="true" t="shared" si="86" ref="BP27:CA27">BP43+BP59+BP75+BP91</f>
        <v>465035.0896505685</v>
      </c>
      <c r="BQ27" s="193">
        <f t="shared" si="86"/>
        <v>446083.37796956295</v>
      </c>
      <c r="BR27" s="193">
        <f t="shared" si="86"/>
        <v>427021.1146370849</v>
      </c>
      <c r="BS27" s="193">
        <f t="shared" si="86"/>
        <v>407847.6547685007</v>
      </c>
      <c r="BT27" s="193">
        <f t="shared" si="86"/>
        <v>388562.34971734975</v>
      </c>
      <c r="BU27" s="193">
        <f t="shared" si="86"/>
        <v>369164.5470534004</v>
      </c>
      <c r="BV27" s="193">
        <f t="shared" si="86"/>
        <v>349653.59054057806</v>
      </c>
      <c r="BW27" s="193">
        <f t="shared" si="86"/>
        <v>330028.82011476427</v>
      </c>
      <c r="BX27" s="193">
        <f t="shared" si="86"/>
        <v>310289.5718614665</v>
      </c>
      <c r="BY27" s="193">
        <f t="shared" si="86"/>
        <v>290435.1779933579</v>
      </c>
      <c r="BZ27" s="193">
        <f t="shared" si="86"/>
        <v>270464.9668276853</v>
      </c>
      <c r="CA27" s="193">
        <f t="shared" si="86"/>
        <v>250378.26276354628</v>
      </c>
      <c r="CB27" s="194">
        <f>CA27</f>
        <v>250378.26276354628</v>
      </c>
      <c r="CC27" s="193">
        <f aca="true" t="shared" si="87" ref="CC27:CN27">CC43+CC59+CC75+CC91</f>
        <v>230174.3862590331</v>
      </c>
      <c r="CD27" s="193">
        <f t="shared" si="87"/>
        <v>209852.65380824363</v>
      </c>
      <c r="CE27" s="193">
        <f t="shared" si="87"/>
        <v>189412.37791815787</v>
      </c>
      <c r="CF27" s="193">
        <f t="shared" si="87"/>
        <v>168852.86708537993</v>
      </c>
      <c r="CG27" s="193">
        <f t="shared" si="87"/>
        <v>148173.4257727441</v>
      </c>
      <c r="CH27" s="193">
        <f t="shared" si="87"/>
        <v>127373.3543857846</v>
      </c>
      <c r="CI27" s="193">
        <f t="shared" si="87"/>
        <v>106451.94924906781</v>
      </c>
      <c r="CJ27" s="193">
        <f t="shared" si="87"/>
        <v>85408.50258238685</v>
      </c>
      <c r="CK27" s="193">
        <f t="shared" si="87"/>
        <v>64242.30247681691</v>
      </c>
      <c r="CL27" s="193">
        <f t="shared" si="87"/>
        <v>42952.63287063116</v>
      </c>
      <c r="CM27" s="193">
        <f t="shared" si="87"/>
        <v>21538.773525075987</v>
      </c>
      <c r="CN27" s="193">
        <f t="shared" si="87"/>
        <v>5.0749804358929396E-09</v>
      </c>
      <c r="CO27" s="194">
        <f>CN27</f>
        <v>5.0749804358929396E-09</v>
      </c>
      <c r="CP27" s="193">
        <f aca="true" t="shared" si="88" ref="CP27:DA27">CP43+CP59+CP75+CP91</f>
        <v>5.0749804358929396E-09</v>
      </c>
      <c r="CQ27" s="193">
        <f t="shared" si="88"/>
        <v>5.0749804358929396E-09</v>
      </c>
      <c r="CR27" s="193">
        <f t="shared" si="88"/>
        <v>5.0749804358929396E-09</v>
      </c>
      <c r="CS27" s="193">
        <f t="shared" si="88"/>
        <v>5.0749804358929396E-09</v>
      </c>
      <c r="CT27" s="193">
        <f t="shared" si="88"/>
        <v>5.0749804358929396E-09</v>
      </c>
      <c r="CU27" s="193">
        <f t="shared" si="88"/>
        <v>5.0749804358929396E-09</v>
      </c>
      <c r="CV27" s="193">
        <f t="shared" si="88"/>
        <v>5.0749804358929396E-09</v>
      </c>
      <c r="CW27" s="193">
        <f t="shared" si="88"/>
        <v>5.0749804358929396E-09</v>
      </c>
      <c r="CX27" s="193">
        <f t="shared" si="88"/>
        <v>5.0749804358929396E-09</v>
      </c>
      <c r="CY27" s="193">
        <f t="shared" si="88"/>
        <v>5.0749804358929396E-09</v>
      </c>
      <c r="CZ27" s="193">
        <f t="shared" si="88"/>
        <v>5.0749804358929396E-09</v>
      </c>
      <c r="DA27" s="193">
        <f t="shared" si="88"/>
        <v>5.0749804358929396E-09</v>
      </c>
      <c r="DB27" s="194">
        <f>DA27</f>
        <v>5.0749804358929396E-09</v>
      </c>
      <c r="DC27" s="193">
        <f aca="true" t="shared" si="89" ref="DC27:DN27">DC43+DC59+DC75+DC91</f>
        <v>5.0749804358929396E-09</v>
      </c>
      <c r="DD27" s="193">
        <f t="shared" si="89"/>
        <v>5.0749804358929396E-09</v>
      </c>
      <c r="DE27" s="193">
        <f t="shared" si="89"/>
        <v>5.0749804358929396E-09</v>
      </c>
      <c r="DF27" s="193">
        <f t="shared" si="89"/>
        <v>5.0749804358929396E-09</v>
      </c>
      <c r="DG27" s="193">
        <f t="shared" si="89"/>
        <v>5.0749804358929396E-09</v>
      </c>
      <c r="DH27" s="193">
        <f t="shared" si="89"/>
        <v>5.0749804358929396E-09</v>
      </c>
      <c r="DI27" s="193">
        <f t="shared" si="89"/>
        <v>5.0749804358929396E-09</v>
      </c>
      <c r="DJ27" s="193">
        <f t="shared" si="89"/>
        <v>5.0749804358929396E-09</v>
      </c>
      <c r="DK27" s="193">
        <f t="shared" si="89"/>
        <v>5.0749804358929396E-09</v>
      </c>
      <c r="DL27" s="193">
        <f t="shared" si="89"/>
        <v>5.0749804358929396E-09</v>
      </c>
      <c r="DM27" s="193">
        <f t="shared" si="89"/>
        <v>5.0749804358929396E-09</v>
      </c>
      <c r="DN27" s="193">
        <f t="shared" si="89"/>
        <v>5.0749804358929396E-09</v>
      </c>
      <c r="DO27" s="194">
        <f>DN27</f>
        <v>5.0749804358929396E-09</v>
      </c>
    </row>
    <row r="28" spans="1:119" ht="12.75">
      <c r="A28" s="176" t="s">
        <v>78</v>
      </c>
      <c r="B28" s="280">
        <f>Исх!C42*12-Исх!C43</f>
        <v>72</v>
      </c>
      <c r="CP28" s="179"/>
      <c r="DB28" s="176"/>
      <c r="DO28" s="176"/>
    </row>
    <row r="29" spans="1:119" ht="12.75">
      <c r="A29" s="283" t="s">
        <v>249</v>
      </c>
      <c r="B29" s="284">
        <f>$AK$27*$B$20/12/((1-(1+$B$20/12)^-$B$28))</f>
        <v>16252.872308564873</v>
      </c>
      <c r="DB29" s="176"/>
      <c r="DO29" s="176"/>
    </row>
    <row r="30" spans="1:119" ht="6.75" customHeight="1">
      <c r="A30" s="281"/>
      <c r="B30" s="278"/>
      <c r="DB30" s="176"/>
      <c r="DO30" s="176"/>
    </row>
    <row r="31" spans="1:119" ht="12.75">
      <c r="A31" s="267" t="s">
        <v>238</v>
      </c>
      <c r="DB31" s="176"/>
      <c r="DO31" s="176"/>
    </row>
    <row r="32" spans="1:119" ht="12.75" hidden="1" outlineLevel="1">
      <c r="A32" s="268">
        <f>B22+B23-B25</f>
        <v>4.889443516731262E-09</v>
      </c>
      <c r="DB32" s="176"/>
      <c r="DO32" s="176"/>
    </row>
    <row r="33" spans="1:119" ht="12.75" hidden="1" outlineLevel="1">
      <c r="A33" s="268">
        <f>B24-B23-B26</f>
        <v>0</v>
      </c>
      <c r="DB33" s="176"/>
      <c r="DO33" s="176"/>
    </row>
    <row r="34" spans="106:119" ht="12.75" hidden="1" collapsed="1">
      <c r="DB34" s="176"/>
      <c r="DO34" s="176"/>
    </row>
    <row r="35" spans="1:119" ht="12.75" hidden="1">
      <c r="A35" s="292" t="s">
        <v>266</v>
      </c>
      <c r="B35" s="293"/>
      <c r="DB35" s="176"/>
      <c r="DO35" s="176"/>
    </row>
    <row r="36" spans="1:119" ht="15.75" customHeight="1" hidden="1">
      <c r="A36" s="185" t="s">
        <v>11</v>
      </c>
      <c r="B36" s="282">
        <f>Исх!$C$41</f>
        <v>0.07</v>
      </c>
      <c r="C36" s="380">
        <v>2013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>
        <v>2014</v>
      </c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>
        <v>2015</v>
      </c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>
        <v>2016</v>
      </c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>
        <v>2017</v>
      </c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>
        <v>2018</v>
      </c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>
        <v>2019</v>
      </c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>
        <v>2020</v>
      </c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>
        <v>2021</v>
      </c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</row>
    <row r="37" spans="1:119" s="191" customFormat="1" ht="15" customHeight="1" hidden="1">
      <c r="A37" s="187" t="s">
        <v>9</v>
      </c>
      <c r="B37" s="188" t="s">
        <v>89</v>
      </c>
      <c r="C37" s="189">
        <v>1</v>
      </c>
      <c r="D37" s="189">
        <v>2</v>
      </c>
      <c r="E37" s="189">
        <f aca="true" t="shared" si="90" ref="E37:N37">D37+1</f>
        <v>3</v>
      </c>
      <c r="F37" s="189">
        <f t="shared" si="90"/>
        <v>4</v>
      </c>
      <c r="G37" s="189">
        <f t="shared" si="90"/>
        <v>5</v>
      </c>
      <c r="H37" s="189">
        <f t="shared" si="90"/>
        <v>6</v>
      </c>
      <c r="I37" s="189">
        <f t="shared" si="90"/>
        <v>7</v>
      </c>
      <c r="J37" s="189">
        <f t="shared" si="90"/>
        <v>8</v>
      </c>
      <c r="K37" s="189">
        <f t="shared" si="90"/>
        <v>9</v>
      </c>
      <c r="L37" s="189">
        <f t="shared" si="90"/>
        <v>10</v>
      </c>
      <c r="M37" s="189">
        <f t="shared" si="90"/>
        <v>11</v>
      </c>
      <c r="N37" s="189">
        <f t="shared" si="90"/>
        <v>12</v>
      </c>
      <c r="O37" s="190" t="str">
        <f>O21</f>
        <v>Итого</v>
      </c>
      <c r="P37" s="189">
        <v>1</v>
      </c>
      <c r="Q37" s="189">
        <v>2</v>
      </c>
      <c r="R37" s="189">
        <f aca="true" t="shared" si="91" ref="R37:AA37">Q37+1</f>
        <v>3</v>
      </c>
      <c r="S37" s="189">
        <f t="shared" si="91"/>
        <v>4</v>
      </c>
      <c r="T37" s="189">
        <f t="shared" si="91"/>
        <v>5</v>
      </c>
      <c r="U37" s="189">
        <f t="shared" si="91"/>
        <v>6</v>
      </c>
      <c r="V37" s="189">
        <f t="shared" si="91"/>
        <v>7</v>
      </c>
      <c r="W37" s="189">
        <f t="shared" si="91"/>
        <v>8</v>
      </c>
      <c r="X37" s="189">
        <f t="shared" si="91"/>
        <v>9</v>
      </c>
      <c r="Y37" s="189">
        <f t="shared" si="91"/>
        <v>10</v>
      </c>
      <c r="Z37" s="189">
        <f t="shared" si="91"/>
        <v>11</v>
      </c>
      <c r="AA37" s="189">
        <f t="shared" si="91"/>
        <v>12</v>
      </c>
      <c r="AB37" s="190" t="str">
        <f>AB21</f>
        <v>Итого</v>
      </c>
      <c r="AC37" s="189">
        <v>1</v>
      </c>
      <c r="AD37" s="189">
        <v>2</v>
      </c>
      <c r="AE37" s="189">
        <f aca="true" t="shared" si="92" ref="AE37:AN37">AD37+1</f>
        <v>3</v>
      </c>
      <c r="AF37" s="189">
        <f t="shared" si="92"/>
        <v>4</v>
      </c>
      <c r="AG37" s="189">
        <f t="shared" si="92"/>
        <v>5</v>
      </c>
      <c r="AH37" s="189">
        <f t="shared" si="92"/>
        <v>6</v>
      </c>
      <c r="AI37" s="189">
        <f t="shared" si="92"/>
        <v>7</v>
      </c>
      <c r="AJ37" s="189">
        <f t="shared" si="92"/>
        <v>8</v>
      </c>
      <c r="AK37" s="189">
        <f t="shared" si="92"/>
        <v>9</v>
      </c>
      <c r="AL37" s="189">
        <f t="shared" si="92"/>
        <v>10</v>
      </c>
      <c r="AM37" s="189">
        <f t="shared" si="92"/>
        <v>11</v>
      </c>
      <c r="AN37" s="189">
        <f t="shared" si="92"/>
        <v>12</v>
      </c>
      <c r="AO37" s="190" t="str">
        <f>AO21</f>
        <v>Итого</v>
      </c>
      <c r="AP37" s="189">
        <v>1</v>
      </c>
      <c r="AQ37" s="189">
        <v>2</v>
      </c>
      <c r="AR37" s="189">
        <f aca="true" t="shared" si="93" ref="AR37:BA37">AQ37+1</f>
        <v>3</v>
      </c>
      <c r="AS37" s="189">
        <f t="shared" si="93"/>
        <v>4</v>
      </c>
      <c r="AT37" s="189">
        <f t="shared" si="93"/>
        <v>5</v>
      </c>
      <c r="AU37" s="189">
        <f t="shared" si="93"/>
        <v>6</v>
      </c>
      <c r="AV37" s="189">
        <f t="shared" si="93"/>
        <v>7</v>
      </c>
      <c r="AW37" s="189">
        <f t="shared" si="93"/>
        <v>8</v>
      </c>
      <c r="AX37" s="189">
        <f t="shared" si="93"/>
        <v>9</v>
      </c>
      <c r="AY37" s="189">
        <f t="shared" si="93"/>
        <v>10</v>
      </c>
      <c r="AZ37" s="189">
        <f t="shared" si="93"/>
        <v>11</v>
      </c>
      <c r="BA37" s="189">
        <f t="shared" si="93"/>
        <v>12</v>
      </c>
      <c r="BB37" s="190" t="str">
        <f>BB21</f>
        <v>Итого</v>
      </c>
      <c r="BC37" s="189">
        <v>1</v>
      </c>
      <c r="BD37" s="189">
        <v>2</v>
      </c>
      <c r="BE37" s="189">
        <f aca="true" t="shared" si="94" ref="BE37:BN37">BD37+1</f>
        <v>3</v>
      </c>
      <c r="BF37" s="189">
        <f t="shared" si="94"/>
        <v>4</v>
      </c>
      <c r="BG37" s="189">
        <f t="shared" si="94"/>
        <v>5</v>
      </c>
      <c r="BH37" s="189">
        <f t="shared" si="94"/>
        <v>6</v>
      </c>
      <c r="BI37" s="189">
        <f t="shared" si="94"/>
        <v>7</v>
      </c>
      <c r="BJ37" s="189">
        <f t="shared" si="94"/>
        <v>8</v>
      </c>
      <c r="BK37" s="189">
        <f t="shared" si="94"/>
        <v>9</v>
      </c>
      <c r="BL37" s="189">
        <f t="shared" si="94"/>
        <v>10</v>
      </c>
      <c r="BM37" s="189">
        <f t="shared" si="94"/>
        <v>11</v>
      </c>
      <c r="BN37" s="189">
        <f t="shared" si="94"/>
        <v>12</v>
      </c>
      <c r="BO37" s="190" t="str">
        <f>BO21</f>
        <v>Итого</v>
      </c>
      <c r="BP37" s="189">
        <v>1</v>
      </c>
      <c r="BQ37" s="189">
        <v>2</v>
      </c>
      <c r="BR37" s="189">
        <f aca="true" t="shared" si="95" ref="BR37:CA37">BQ37+1</f>
        <v>3</v>
      </c>
      <c r="BS37" s="189">
        <f t="shared" si="95"/>
        <v>4</v>
      </c>
      <c r="BT37" s="189">
        <f t="shared" si="95"/>
        <v>5</v>
      </c>
      <c r="BU37" s="189">
        <f t="shared" si="95"/>
        <v>6</v>
      </c>
      <c r="BV37" s="189">
        <f t="shared" si="95"/>
        <v>7</v>
      </c>
      <c r="BW37" s="189">
        <f t="shared" si="95"/>
        <v>8</v>
      </c>
      <c r="BX37" s="189">
        <f t="shared" si="95"/>
        <v>9</v>
      </c>
      <c r="BY37" s="189">
        <f t="shared" si="95"/>
        <v>10</v>
      </c>
      <c r="BZ37" s="189">
        <f t="shared" si="95"/>
        <v>11</v>
      </c>
      <c r="CA37" s="189">
        <f t="shared" si="95"/>
        <v>12</v>
      </c>
      <c r="CB37" s="190" t="str">
        <f>CB21</f>
        <v>Итого</v>
      </c>
      <c r="CC37" s="189">
        <v>1</v>
      </c>
      <c r="CD37" s="189">
        <v>2</v>
      </c>
      <c r="CE37" s="189">
        <f aca="true" t="shared" si="96" ref="CE37:CN37">CD37+1</f>
        <v>3</v>
      </c>
      <c r="CF37" s="189">
        <f t="shared" si="96"/>
        <v>4</v>
      </c>
      <c r="CG37" s="189">
        <f t="shared" si="96"/>
        <v>5</v>
      </c>
      <c r="CH37" s="189">
        <f t="shared" si="96"/>
        <v>6</v>
      </c>
      <c r="CI37" s="189">
        <f t="shared" si="96"/>
        <v>7</v>
      </c>
      <c r="CJ37" s="189">
        <f t="shared" si="96"/>
        <v>8</v>
      </c>
      <c r="CK37" s="189">
        <f t="shared" si="96"/>
        <v>9</v>
      </c>
      <c r="CL37" s="189">
        <f t="shared" si="96"/>
        <v>10</v>
      </c>
      <c r="CM37" s="189">
        <f t="shared" si="96"/>
        <v>11</v>
      </c>
      <c r="CN37" s="189">
        <f t="shared" si="96"/>
        <v>12</v>
      </c>
      <c r="CO37" s="190" t="str">
        <f>CO21</f>
        <v>Итого</v>
      </c>
      <c r="CP37" s="189">
        <v>1</v>
      </c>
      <c r="CQ37" s="189">
        <f aca="true" t="shared" si="97" ref="CQ37:DA37">CP37+1</f>
        <v>2</v>
      </c>
      <c r="CR37" s="189">
        <f t="shared" si="97"/>
        <v>3</v>
      </c>
      <c r="CS37" s="189">
        <f t="shared" si="97"/>
        <v>4</v>
      </c>
      <c r="CT37" s="189">
        <f t="shared" si="97"/>
        <v>5</v>
      </c>
      <c r="CU37" s="189">
        <f t="shared" si="97"/>
        <v>6</v>
      </c>
      <c r="CV37" s="189">
        <f t="shared" si="97"/>
        <v>7</v>
      </c>
      <c r="CW37" s="189">
        <f t="shared" si="97"/>
        <v>8</v>
      </c>
      <c r="CX37" s="189">
        <f t="shared" si="97"/>
        <v>9</v>
      </c>
      <c r="CY37" s="189">
        <f t="shared" si="97"/>
        <v>10</v>
      </c>
      <c r="CZ37" s="189">
        <f t="shared" si="97"/>
        <v>11</v>
      </c>
      <c r="DA37" s="189">
        <f t="shared" si="97"/>
        <v>12</v>
      </c>
      <c r="DB37" s="190" t="str">
        <f>DB21</f>
        <v>Итого</v>
      </c>
      <c r="DC37" s="189">
        <v>1</v>
      </c>
      <c r="DD37" s="189">
        <f aca="true" t="shared" si="98" ref="DD37:DN37">DC37+1</f>
        <v>2</v>
      </c>
      <c r="DE37" s="189">
        <f t="shared" si="98"/>
        <v>3</v>
      </c>
      <c r="DF37" s="189">
        <f t="shared" si="98"/>
        <v>4</v>
      </c>
      <c r="DG37" s="189">
        <f t="shared" si="98"/>
        <v>5</v>
      </c>
      <c r="DH37" s="189">
        <f t="shared" si="98"/>
        <v>6</v>
      </c>
      <c r="DI37" s="189">
        <f t="shared" si="98"/>
        <v>7</v>
      </c>
      <c r="DJ37" s="189">
        <f t="shared" si="98"/>
        <v>8</v>
      </c>
      <c r="DK37" s="189">
        <f t="shared" si="98"/>
        <v>9</v>
      </c>
      <c r="DL37" s="189">
        <f t="shared" si="98"/>
        <v>10</v>
      </c>
      <c r="DM37" s="189">
        <f t="shared" si="98"/>
        <v>11</v>
      </c>
      <c r="DN37" s="189">
        <f t="shared" si="98"/>
        <v>12</v>
      </c>
      <c r="DO37" s="190" t="s">
        <v>0</v>
      </c>
    </row>
    <row r="38" spans="1:119" ht="12.75" hidden="1">
      <c r="A38" s="187" t="s">
        <v>106</v>
      </c>
      <c r="B38" s="192">
        <f>O38+AB38+AO38+BB38+BO38+CB38+CO38+DB38+DO38</f>
        <v>0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>
        <f>SUM(C38:N38)</f>
        <v>0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>
        <f>SUM(P38:AA38)</f>
        <v>0</v>
      </c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>
        <f>SUM(AC38:AN38)</f>
        <v>0</v>
      </c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</row>
    <row r="39" spans="1:119" s="196" customFormat="1" ht="20.25" customHeight="1" hidden="1">
      <c r="A39" s="187" t="s">
        <v>31</v>
      </c>
      <c r="B39" s="192">
        <f>O39+AB39+AO39+BB39+BO39+CB39+CO39+DB39+DO39</f>
        <v>0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>
        <f>SUM(C39:N39)</f>
        <v>0</v>
      </c>
      <c r="P39" s="193"/>
      <c r="Q39" s="193"/>
      <c r="R39" s="193"/>
      <c r="S39" s="193"/>
      <c r="T39" s="193">
        <f>SUM(O40:T40)</f>
        <v>0</v>
      </c>
      <c r="U39" s="193"/>
      <c r="V39" s="193"/>
      <c r="W39" s="193"/>
      <c r="X39" s="193"/>
      <c r="Y39" s="193"/>
      <c r="Z39" s="193"/>
      <c r="AA39" s="193"/>
      <c r="AB39" s="194">
        <f>SUM(P39:AA39)</f>
        <v>0</v>
      </c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4">
        <f>SUM(AC39:AN39)</f>
        <v>0</v>
      </c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>
        <f>SUM(AP39:BA39)</f>
        <v>0</v>
      </c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4">
        <f>SUM(BC39:BN39)</f>
        <v>0</v>
      </c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4">
        <f>SUM(BP39:CA39)</f>
        <v>0</v>
      </c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4">
        <f>SUM(CC39:CN39)</f>
        <v>0</v>
      </c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4">
        <f>SUM(CP39:DA39)</f>
        <v>0</v>
      </c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4">
        <f>SUM(DC39:DN39)</f>
        <v>0</v>
      </c>
    </row>
    <row r="40" spans="1:119" s="196" customFormat="1" ht="12.75" hidden="1">
      <c r="A40" s="197" t="s">
        <v>13</v>
      </c>
      <c r="B40" s="192">
        <f>O40+AB40+AO40+BB40+BO40+CB40+CO40+DB40+DO40</f>
        <v>0</v>
      </c>
      <c r="C40" s="193"/>
      <c r="D40" s="193">
        <f aca="true" t="shared" si="99" ref="D40:N40">C43*$B36/12</f>
        <v>0</v>
      </c>
      <c r="E40" s="193">
        <f t="shared" si="99"/>
        <v>0</v>
      </c>
      <c r="F40" s="193">
        <f t="shared" si="99"/>
        <v>0</v>
      </c>
      <c r="G40" s="193">
        <f t="shared" si="99"/>
        <v>0</v>
      </c>
      <c r="H40" s="193">
        <f t="shared" si="99"/>
        <v>0</v>
      </c>
      <c r="I40" s="193">
        <f t="shared" si="99"/>
        <v>0</v>
      </c>
      <c r="J40" s="193">
        <f t="shared" si="99"/>
        <v>0</v>
      </c>
      <c r="K40" s="193">
        <f t="shared" si="99"/>
        <v>0</v>
      </c>
      <c r="L40" s="193">
        <f t="shared" si="99"/>
        <v>0</v>
      </c>
      <c r="M40" s="193">
        <f t="shared" si="99"/>
        <v>0</v>
      </c>
      <c r="N40" s="193">
        <f t="shared" si="99"/>
        <v>0</v>
      </c>
      <c r="O40" s="194">
        <f>SUM(C40:N40)</f>
        <v>0</v>
      </c>
      <c r="P40" s="193">
        <f aca="true" t="shared" si="100" ref="P40:AA40">O43*$B36/12</f>
        <v>0</v>
      </c>
      <c r="Q40" s="193">
        <f t="shared" si="100"/>
        <v>0</v>
      </c>
      <c r="R40" s="193">
        <f t="shared" si="100"/>
        <v>0</v>
      </c>
      <c r="S40" s="193">
        <f t="shared" si="100"/>
        <v>0</v>
      </c>
      <c r="T40" s="193">
        <f t="shared" si="100"/>
        <v>0</v>
      </c>
      <c r="U40" s="193">
        <f t="shared" si="100"/>
        <v>0</v>
      </c>
      <c r="V40" s="193">
        <f t="shared" si="100"/>
        <v>0</v>
      </c>
      <c r="W40" s="193">
        <f t="shared" si="100"/>
        <v>0</v>
      </c>
      <c r="X40" s="193">
        <f t="shared" si="100"/>
        <v>0</v>
      </c>
      <c r="Y40" s="193">
        <f t="shared" si="100"/>
        <v>0</v>
      </c>
      <c r="Z40" s="193">
        <f t="shared" si="100"/>
        <v>0</v>
      </c>
      <c r="AA40" s="193">
        <f t="shared" si="100"/>
        <v>0</v>
      </c>
      <c r="AB40" s="194">
        <f>SUM(P40:AA40)</f>
        <v>0</v>
      </c>
      <c r="AC40" s="193">
        <f aca="true" t="shared" si="101" ref="AC40:AN40">AB43*$B36/12</f>
        <v>0</v>
      </c>
      <c r="AD40" s="193">
        <f t="shared" si="101"/>
        <v>0</v>
      </c>
      <c r="AE40" s="193">
        <f t="shared" si="101"/>
        <v>0</v>
      </c>
      <c r="AF40" s="193">
        <f t="shared" si="101"/>
        <v>0</v>
      </c>
      <c r="AG40" s="193">
        <f t="shared" si="101"/>
        <v>0</v>
      </c>
      <c r="AH40" s="193">
        <f t="shared" si="101"/>
        <v>0</v>
      </c>
      <c r="AI40" s="193">
        <f t="shared" si="101"/>
        <v>0</v>
      </c>
      <c r="AJ40" s="193">
        <f t="shared" si="101"/>
        <v>0</v>
      </c>
      <c r="AK40" s="193">
        <f t="shared" si="101"/>
        <v>0</v>
      </c>
      <c r="AL40" s="193">
        <f t="shared" si="101"/>
        <v>0</v>
      </c>
      <c r="AM40" s="193">
        <f t="shared" si="101"/>
        <v>0</v>
      </c>
      <c r="AN40" s="193">
        <f t="shared" si="101"/>
        <v>0</v>
      </c>
      <c r="AO40" s="194">
        <f>SUM(AC40:AN40)</f>
        <v>0</v>
      </c>
      <c r="AP40" s="193">
        <f aca="true" t="shared" si="102" ref="AP40:BA40">AO43*$B36/12</f>
        <v>0</v>
      </c>
      <c r="AQ40" s="193">
        <f t="shared" si="102"/>
        <v>0</v>
      </c>
      <c r="AR40" s="193">
        <f t="shared" si="102"/>
        <v>0</v>
      </c>
      <c r="AS40" s="193">
        <f t="shared" si="102"/>
        <v>0</v>
      </c>
      <c r="AT40" s="193">
        <f t="shared" si="102"/>
        <v>0</v>
      </c>
      <c r="AU40" s="193">
        <f t="shared" si="102"/>
        <v>0</v>
      </c>
      <c r="AV40" s="193">
        <f t="shared" si="102"/>
        <v>0</v>
      </c>
      <c r="AW40" s="193">
        <f t="shared" si="102"/>
        <v>0</v>
      </c>
      <c r="AX40" s="193">
        <f t="shared" si="102"/>
        <v>0</v>
      </c>
      <c r="AY40" s="193">
        <f t="shared" si="102"/>
        <v>0</v>
      </c>
      <c r="AZ40" s="193">
        <f t="shared" si="102"/>
        <v>0</v>
      </c>
      <c r="BA40" s="193">
        <f t="shared" si="102"/>
        <v>0</v>
      </c>
      <c r="BB40" s="194">
        <f>SUM(AP40:BA40)</f>
        <v>0</v>
      </c>
      <c r="BC40" s="193">
        <f aca="true" t="shared" si="103" ref="BC40:BN40">BB43*$B36/12</f>
        <v>0</v>
      </c>
      <c r="BD40" s="193">
        <f t="shared" si="103"/>
        <v>0</v>
      </c>
      <c r="BE40" s="193">
        <f t="shared" si="103"/>
        <v>0</v>
      </c>
      <c r="BF40" s="193">
        <f t="shared" si="103"/>
        <v>0</v>
      </c>
      <c r="BG40" s="193">
        <f t="shared" si="103"/>
        <v>0</v>
      </c>
      <c r="BH40" s="193">
        <f t="shared" si="103"/>
        <v>0</v>
      </c>
      <c r="BI40" s="193">
        <f t="shared" si="103"/>
        <v>0</v>
      </c>
      <c r="BJ40" s="193">
        <f t="shared" si="103"/>
        <v>0</v>
      </c>
      <c r="BK40" s="193">
        <f t="shared" si="103"/>
        <v>0</v>
      </c>
      <c r="BL40" s="193">
        <f t="shared" si="103"/>
        <v>0</v>
      </c>
      <c r="BM40" s="193">
        <f t="shared" si="103"/>
        <v>0</v>
      </c>
      <c r="BN40" s="193">
        <f t="shared" si="103"/>
        <v>0</v>
      </c>
      <c r="BO40" s="194">
        <f>SUM(BC40:BN40)</f>
        <v>0</v>
      </c>
      <c r="BP40" s="193">
        <f aca="true" t="shared" si="104" ref="BP40:CA40">BO43*$B36/12</f>
        <v>0</v>
      </c>
      <c r="BQ40" s="193">
        <f t="shared" si="104"/>
        <v>0</v>
      </c>
      <c r="BR40" s="193">
        <f t="shared" si="104"/>
        <v>0</v>
      </c>
      <c r="BS40" s="193">
        <f t="shared" si="104"/>
        <v>0</v>
      </c>
      <c r="BT40" s="193">
        <f t="shared" si="104"/>
        <v>0</v>
      </c>
      <c r="BU40" s="193">
        <f t="shared" si="104"/>
        <v>0</v>
      </c>
      <c r="BV40" s="193">
        <f t="shared" si="104"/>
        <v>0</v>
      </c>
      <c r="BW40" s="193">
        <f t="shared" si="104"/>
        <v>0</v>
      </c>
      <c r="BX40" s="193">
        <f t="shared" si="104"/>
        <v>0</v>
      </c>
      <c r="BY40" s="193">
        <f t="shared" si="104"/>
        <v>0</v>
      </c>
      <c r="BZ40" s="193">
        <f t="shared" si="104"/>
        <v>0</v>
      </c>
      <c r="CA40" s="193">
        <f t="shared" si="104"/>
        <v>0</v>
      </c>
      <c r="CB40" s="194">
        <f>SUM(BP40:CA40)</f>
        <v>0</v>
      </c>
      <c r="CC40" s="193">
        <f aca="true" t="shared" si="105" ref="CC40:CN40">CB43*$B36/12</f>
        <v>0</v>
      </c>
      <c r="CD40" s="193">
        <f t="shared" si="105"/>
        <v>0</v>
      </c>
      <c r="CE40" s="193">
        <f t="shared" si="105"/>
        <v>0</v>
      </c>
      <c r="CF40" s="193">
        <f t="shared" si="105"/>
        <v>0</v>
      </c>
      <c r="CG40" s="193">
        <f t="shared" si="105"/>
        <v>0</v>
      </c>
      <c r="CH40" s="193">
        <f t="shared" si="105"/>
        <v>0</v>
      </c>
      <c r="CI40" s="193">
        <f t="shared" si="105"/>
        <v>0</v>
      </c>
      <c r="CJ40" s="193">
        <f t="shared" si="105"/>
        <v>0</v>
      </c>
      <c r="CK40" s="193">
        <f t="shared" si="105"/>
        <v>0</v>
      </c>
      <c r="CL40" s="193">
        <f t="shared" si="105"/>
        <v>0</v>
      </c>
      <c r="CM40" s="193">
        <f t="shared" si="105"/>
        <v>0</v>
      </c>
      <c r="CN40" s="193">
        <f t="shared" si="105"/>
        <v>0</v>
      </c>
      <c r="CO40" s="194">
        <f>SUM(CC40:CN40)</f>
        <v>0</v>
      </c>
      <c r="CP40" s="193">
        <f aca="true" t="shared" si="106" ref="CP40:DA40">CO43*$B36/12</f>
        <v>0</v>
      </c>
      <c r="CQ40" s="193">
        <f t="shared" si="106"/>
        <v>0</v>
      </c>
      <c r="CR40" s="193">
        <f t="shared" si="106"/>
        <v>0</v>
      </c>
      <c r="CS40" s="193">
        <f t="shared" si="106"/>
        <v>0</v>
      </c>
      <c r="CT40" s="193">
        <f t="shared" si="106"/>
        <v>0</v>
      </c>
      <c r="CU40" s="193">
        <f t="shared" si="106"/>
        <v>0</v>
      </c>
      <c r="CV40" s="193">
        <f t="shared" si="106"/>
        <v>0</v>
      </c>
      <c r="CW40" s="193">
        <f t="shared" si="106"/>
        <v>0</v>
      </c>
      <c r="CX40" s="193">
        <f t="shared" si="106"/>
        <v>0</v>
      </c>
      <c r="CY40" s="193">
        <f t="shared" si="106"/>
        <v>0</v>
      </c>
      <c r="CZ40" s="193">
        <f t="shared" si="106"/>
        <v>0</v>
      </c>
      <c r="DA40" s="193">
        <f t="shared" si="106"/>
        <v>0</v>
      </c>
      <c r="DB40" s="194">
        <f>SUM(CP40:DA40)</f>
        <v>0</v>
      </c>
      <c r="DC40" s="193">
        <f aca="true" t="shared" si="107" ref="DC40:DN40">DB43*$B36/12</f>
        <v>0</v>
      </c>
      <c r="DD40" s="193">
        <f t="shared" si="107"/>
        <v>0</v>
      </c>
      <c r="DE40" s="193">
        <f t="shared" si="107"/>
        <v>0</v>
      </c>
      <c r="DF40" s="193">
        <f t="shared" si="107"/>
        <v>0</v>
      </c>
      <c r="DG40" s="193">
        <f t="shared" si="107"/>
        <v>0</v>
      </c>
      <c r="DH40" s="193">
        <f t="shared" si="107"/>
        <v>0</v>
      </c>
      <c r="DI40" s="193">
        <f t="shared" si="107"/>
        <v>0</v>
      </c>
      <c r="DJ40" s="193">
        <f t="shared" si="107"/>
        <v>0</v>
      </c>
      <c r="DK40" s="193">
        <f t="shared" si="107"/>
        <v>0</v>
      </c>
      <c r="DL40" s="193">
        <f t="shared" si="107"/>
        <v>0</v>
      </c>
      <c r="DM40" s="193">
        <f t="shared" si="107"/>
        <v>0</v>
      </c>
      <c r="DN40" s="193">
        <f t="shared" si="107"/>
        <v>0</v>
      </c>
      <c r="DO40" s="194">
        <f>SUM(DC40:DN40)</f>
        <v>0</v>
      </c>
    </row>
    <row r="41" spans="1:119" ht="12.75" hidden="1">
      <c r="A41" s="187" t="s">
        <v>14</v>
      </c>
      <c r="B41" s="192">
        <f>O41+AB41+AO41+BB41+BO41+CB41+CO41+DB41+DO41</f>
        <v>0</v>
      </c>
      <c r="C41" s="193"/>
      <c r="D41" s="193"/>
      <c r="E41" s="193"/>
      <c r="F41" s="193"/>
      <c r="G41" s="193"/>
      <c r="H41" s="193"/>
      <c r="I41" s="193"/>
      <c r="J41" s="193"/>
      <c r="K41" s="198"/>
      <c r="L41" s="198"/>
      <c r="M41" s="198"/>
      <c r="N41" s="198"/>
      <c r="O41" s="194">
        <f>SUM(C41:N41)</f>
        <v>0</v>
      </c>
      <c r="P41" s="198"/>
      <c r="Q41" s="198"/>
      <c r="R41" s="198"/>
      <c r="S41" s="198"/>
      <c r="T41" s="198"/>
      <c r="U41" s="193">
        <f>$B45-U40</f>
        <v>0</v>
      </c>
      <c r="V41" s="193">
        <f aca="true" t="shared" si="108" ref="V41:AA41">$B45-V40</f>
        <v>0</v>
      </c>
      <c r="W41" s="193">
        <f t="shared" si="108"/>
        <v>0</v>
      </c>
      <c r="X41" s="193">
        <f t="shared" si="108"/>
        <v>0</v>
      </c>
      <c r="Y41" s="193">
        <f t="shared" si="108"/>
        <v>0</v>
      </c>
      <c r="Z41" s="193">
        <f t="shared" si="108"/>
        <v>0</v>
      </c>
      <c r="AA41" s="193">
        <f t="shared" si="108"/>
        <v>0</v>
      </c>
      <c r="AB41" s="194">
        <f>SUM(P41:AA41)</f>
        <v>0</v>
      </c>
      <c r="AC41" s="193">
        <f aca="true" t="shared" si="109" ref="AC41:AN41">$B45-AC40</f>
        <v>0</v>
      </c>
      <c r="AD41" s="193">
        <f t="shared" si="109"/>
        <v>0</v>
      </c>
      <c r="AE41" s="193">
        <f t="shared" si="109"/>
        <v>0</v>
      </c>
      <c r="AF41" s="193">
        <f t="shared" si="109"/>
        <v>0</v>
      </c>
      <c r="AG41" s="193">
        <f t="shared" si="109"/>
        <v>0</v>
      </c>
      <c r="AH41" s="193">
        <f t="shared" si="109"/>
        <v>0</v>
      </c>
      <c r="AI41" s="193">
        <f t="shared" si="109"/>
        <v>0</v>
      </c>
      <c r="AJ41" s="193">
        <f t="shared" si="109"/>
        <v>0</v>
      </c>
      <c r="AK41" s="193">
        <f t="shared" si="109"/>
        <v>0</v>
      </c>
      <c r="AL41" s="193">
        <f t="shared" si="109"/>
        <v>0</v>
      </c>
      <c r="AM41" s="193">
        <f t="shared" si="109"/>
        <v>0</v>
      </c>
      <c r="AN41" s="193">
        <f t="shared" si="109"/>
        <v>0</v>
      </c>
      <c r="AO41" s="194">
        <f>SUM(AC41:AN41)</f>
        <v>0</v>
      </c>
      <c r="AP41" s="193">
        <f aca="true" t="shared" si="110" ref="AP41:BA41">$B45-AP40</f>
        <v>0</v>
      </c>
      <c r="AQ41" s="193">
        <f t="shared" si="110"/>
        <v>0</v>
      </c>
      <c r="AR41" s="193">
        <f t="shared" si="110"/>
        <v>0</v>
      </c>
      <c r="AS41" s="193">
        <f t="shared" si="110"/>
        <v>0</v>
      </c>
      <c r="AT41" s="193">
        <f t="shared" si="110"/>
        <v>0</v>
      </c>
      <c r="AU41" s="193">
        <f t="shared" si="110"/>
        <v>0</v>
      </c>
      <c r="AV41" s="193">
        <f t="shared" si="110"/>
        <v>0</v>
      </c>
      <c r="AW41" s="193">
        <f t="shared" si="110"/>
        <v>0</v>
      </c>
      <c r="AX41" s="193">
        <f t="shared" si="110"/>
        <v>0</v>
      </c>
      <c r="AY41" s="193">
        <f t="shared" si="110"/>
        <v>0</v>
      </c>
      <c r="AZ41" s="193">
        <f t="shared" si="110"/>
        <v>0</v>
      </c>
      <c r="BA41" s="193">
        <f t="shared" si="110"/>
        <v>0</v>
      </c>
      <c r="BB41" s="194">
        <f>SUM(AP41:BA41)</f>
        <v>0</v>
      </c>
      <c r="BC41" s="193">
        <f aca="true" t="shared" si="111" ref="BC41:BN41">$B45-BC40</f>
        <v>0</v>
      </c>
      <c r="BD41" s="193">
        <f t="shared" si="111"/>
        <v>0</v>
      </c>
      <c r="BE41" s="193">
        <f t="shared" si="111"/>
        <v>0</v>
      </c>
      <c r="BF41" s="193">
        <f t="shared" si="111"/>
        <v>0</v>
      </c>
      <c r="BG41" s="193">
        <f t="shared" si="111"/>
        <v>0</v>
      </c>
      <c r="BH41" s="193">
        <f t="shared" si="111"/>
        <v>0</v>
      </c>
      <c r="BI41" s="193">
        <f t="shared" si="111"/>
        <v>0</v>
      </c>
      <c r="BJ41" s="193">
        <f t="shared" si="111"/>
        <v>0</v>
      </c>
      <c r="BK41" s="193">
        <f t="shared" si="111"/>
        <v>0</v>
      </c>
      <c r="BL41" s="193">
        <f t="shared" si="111"/>
        <v>0</v>
      </c>
      <c r="BM41" s="193">
        <f t="shared" si="111"/>
        <v>0</v>
      </c>
      <c r="BN41" s="193">
        <f t="shared" si="111"/>
        <v>0</v>
      </c>
      <c r="BO41" s="194">
        <f>SUM(BC41:BN41)</f>
        <v>0</v>
      </c>
      <c r="BP41" s="193">
        <f aca="true" t="shared" si="112" ref="BP41:CA41">$B45-BP40</f>
        <v>0</v>
      </c>
      <c r="BQ41" s="193">
        <f t="shared" si="112"/>
        <v>0</v>
      </c>
      <c r="BR41" s="193">
        <f t="shared" si="112"/>
        <v>0</v>
      </c>
      <c r="BS41" s="193">
        <f t="shared" si="112"/>
        <v>0</v>
      </c>
      <c r="BT41" s="193">
        <f t="shared" si="112"/>
        <v>0</v>
      </c>
      <c r="BU41" s="193">
        <f t="shared" si="112"/>
        <v>0</v>
      </c>
      <c r="BV41" s="193">
        <f t="shared" si="112"/>
        <v>0</v>
      </c>
      <c r="BW41" s="193">
        <f t="shared" si="112"/>
        <v>0</v>
      </c>
      <c r="BX41" s="193">
        <f t="shared" si="112"/>
        <v>0</v>
      </c>
      <c r="BY41" s="193">
        <f t="shared" si="112"/>
        <v>0</v>
      </c>
      <c r="BZ41" s="193">
        <f t="shared" si="112"/>
        <v>0</v>
      </c>
      <c r="CA41" s="193">
        <f t="shared" si="112"/>
        <v>0</v>
      </c>
      <c r="CB41" s="194">
        <f>SUM(BP41:CA41)</f>
        <v>0</v>
      </c>
      <c r="CC41" s="193">
        <f aca="true" t="shared" si="113" ref="CC41:CN41">$B45-CC40</f>
        <v>0</v>
      </c>
      <c r="CD41" s="193">
        <f t="shared" si="113"/>
        <v>0</v>
      </c>
      <c r="CE41" s="193">
        <f t="shared" si="113"/>
        <v>0</v>
      </c>
      <c r="CF41" s="193">
        <f t="shared" si="113"/>
        <v>0</v>
      </c>
      <c r="CG41" s="193">
        <f t="shared" si="113"/>
        <v>0</v>
      </c>
      <c r="CH41" s="193">
        <f t="shared" si="113"/>
        <v>0</v>
      </c>
      <c r="CI41" s="193">
        <f t="shared" si="113"/>
        <v>0</v>
      </c>
      <c r="CJ41" s="193">
        <f t="shared" si="113"/>
        <v>0</v>
      </c>
      <c r="CK41" s="193">
        <f t="shared" si="113"/>
        <v>0</v>
      </c>
      <c r="CL41" s="193">
        <f t="shared" si="113"/>
        <v>0</v>
      </c>
      <c r="CM41" s="193">
        <f t="shared" si="113"/>
        <v>0</v>
      </c>
      <c r="CN41" s="193">
        <f t="shared" si="113"/>
        <v>0</v>
      </c>
      <c r="CO41" s="194">
        <f>SUM(CC41:CN41)</f>
        <v>0</v>
      </c>
      <c r="CP41" s="193">
        <f aca="true" t="shared" si="114" ref="CP41:CW41">$B45-CP40</f>
        <v>0</v>
      </c>
      <c r="CQ41" s="193">
        <f t="shared" si="114"/>
        <v>0</v>
      </c>
      <c r="CR41" s="193">
        <f t="shared" si="114"/>
        <v>0</v>
      </c>
      <c r="CS41" s="193">
        <f t="shared" si="114"/>
        <v>0</v>
      </c>
      <c r="CT41" s="193">
        <f t="shared" si="114"/>
        <v>0</v>
      </c>
      <c r="CU41" s="193">
        <f t="shared" si="114"/>
        <v>0</v>
      </c>
      <c r="CV41" s="193">
        <f t="shared" si="114"/>
        <v>0</v>
      </c>
      <c r="CW41" s="193">
        <f t="shared" si="114"/>
        <v>0</v>
      </c>
      <c r="CX41" s="193"/>
      <c r="CY41" s="193"/>
      <c r="CZ41" s="193"/>
      <c r="DA41" s="193"/>
      <c r="DB41" s="194">
        <f>SUM(CP41:DA41)</f>
        <v>0</v>
      </c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4">
        <f>SUM(DC41:DN41)</f>
        <v>0</v>
      </c>
    </row>
    <row r="42" spans="1:119" ht="12.75" hidden="1">
      <c r="A42" s="187" t="s">
        <v>15</v>
      </c>
      <c r="B42" s="192">
        <f>O42+AB42+AO42+BB42+BO42+CB42+CO42+DB42+DO42</f>
        <v>0</v>
      </c>
      <c r="C42" s="193"/>
      <c r="D42" s="193"/>
      <c r="E42" s="193"/>
      <c r="F42" s="193"/>
      <c r="G42" s="193"/>
      <c r="H42" s="193"/>
      <c r="I42" s="193"/>
      <c r="J42" s="193"/>
      <c r="K42" s="198"/>
      <c r="L42" s="198"/>
      <c r="M42" s="198"/>
      <c r="N42" s="198"/>
      <c r="O42" s="194">
        <f>SUM(C42:N42)</f>
        <v>0</v>
      </c>
      <c r="P42" s="198"/>
      <c r="Q42" s="198"/>
      <c r="R42" s="198"/>
      <c r="S42" s="198"/>
      <c r="T42" s="198"/>
      <c r="U42" s="193">
        <f>U40</f>
        <v>0</v>
      </c>
      <c r="V42" s="193">
        <f aca="true" t="shared" si="115" ref="V42:AA42">V40</f>
        <v>0</v>
      </c>
      <c r="W42" s="193">
        <f t="shared" si="115"/>
        <v>0</v>
      </c>
      <c r="X42" s="193">
        <f t="shared" si="115"/>
        <v>0</v>
      </c>
      <c r="Y42" s="193">
        <f t="shared" si="115"/>
        <v>0</v>
      </c>
      <c r="Z42" s="193">
        <f t="shared" si="115"/>
        <v>0</v>
      </c>
      <c r="AA42" s="193">
        <f t="shared" si="115"/>
        <v>0</v>
      </c>
      <c r="AB42" s="194">
        <f>SUM(P42:AA42)</f>
        <v>0</v>
      </c>
      <c r="AC42" s="193">
        <f aca="true" t="shared" si="116" ref="AC42:AK42">AC40</f>
        <v>0</v>
      </c>
      <c r="AD42" s="193">
        <f t="shared" si="116"/>
        <v>0</v>
      </c>
      <c r="AE42" s="193">
        <f t="shared" si="116"/>
        <v>0</v>
      </c>
      <c r="AF42" s="193">
        <f t="shared" si="116"/>
        <v>0</v>
      </c>
      <c r="AG42" s="193">
        <f t="shared" si="116"/>
        <v>0</v>
      </c>
      <c r="AH42" s="193">
        <f t="shared" si="116"/>
        <v>0</v>
      </c>
      <c r="AI42" s="193">
        <f t="shared" si="116"/>
        <v>0</v>
      </c>
      <c r="AJ42" s="193">
        <f t="shared" si="116"/>
        <v>0</v>
      </c>
      <c r="AK42" s="193">
        <f t="shared" si="116"/>
        <v>0</v>
      </c>
      <c r="AL42" s="193">
        <f>AL40</f>
        <v>0</v>
      </c>
      <c r="AM42" s="193">
        <f>AM40</f>
        <v>0</v>
      </c>
      <c r="AN42" s="193">
        <f>AN40</f>
        <v>0</v>
      </c>
      <c r="AO42" s="194">
        <f>SUM(AC42:AN42)</f>
        <v>0</v>
      </c>
      <c r="AP42" s="193">
        <f aca="true" t="shared" si="117" ref="AP42:BA42">AP40</f>
        <v>0</v>
      </c>
      <c r="AQ42" s="193">
        <f t="shared" si="117"/>
        <v>0</v>
      </c>
      <c r="AR42" s="193">
        <f t="shared" si="117"/>
        <v>0</v>
      </c>
      <c r="AS42" s="193">
        <f t="shared" si="117"/>
        <v>0</v>
      </c>
      <c r="AT42" s="193">
        <f t="shared" si="117"/>
        <v>0</v>
      </c>
      <c r="AU42" s="193">
        <f t="shared" si="117"/>
        <v>0</v>
      </c>
      <c r="AV42" s="193">
        <f t="shared" si="117"/>
        <v>0</v>
      </c>
      <c r="AW42" s="193">
        <f t="shared" si="117"/>
        <v>0</v>
      </c>
      <c r="AX42" s="193">
        <f t="shared" si="117"/>
        <v>0</v>
      </c>
      <c r="AY42" s="193">
        <f t="shared" si="117"/>
        <v>0</v>
      </c>
      <c r="AZ42" s="193">
        <f t="shared" si="117"/>
        <v>0</v>
      </c>
      <c r="BA42" s="193">
        <f t="shared" si="117"/>
        <v>0</v>
      </c>
      <c r="BB42" s="194">
        <f>SUM(AP42:BA42)</f>
        <v>0</v>
      </c>
      <c r="BC42" s="193">
        <f aca="true" t="shared" si="118" ref="BC42:BN42">BC40</f>
        <v>0</v>
      </c>
      <c r="BD42" s="193">
        <f t="shared" si="118"/>
        <v>0</v>
      </c>
      <c r="BE42" s="193">
        <f t="shared" si="118"/>
        <v>0</v>
      </c>
      <c r="BF42" s="193">
        <f t="shared" si="118"/>
        <v>0</v>
      </c>
      <c r="BG42" s="193">
        <f t="shared" si="118"/>
        <v>0</v>
      </c>
      <c r="BH42" s="193">
        <f t="shared" si="118"/>
        <v>0</v>
      </c>
      <c r="BI42" s="193">
        <f t="shared" si="118"/>
        <v>0</v>
      </c>
      <c r="BJ42" s="193">
        <f t="shared" si="118"/>
        <v>0</v>
      </c>
      <c r="BK42" s="193">
        <f t="shared" si="118"/>
        <v>0</v>
      </c>
      <c r="BL42" s="193">
        <f t="shared" si="118"/>
        <v>0</v>
      </c>
      <c r="BM42" s="193">
        <f t="shared" si="118"/>
        <v>0</v>
      </c>
      <c r="BN42" s="193">
        <f t="shared" si="118"/>
        <v>0</v>
      </c>
      <c r="BO42" s="194">
        <f>SUM(BC42:BN42)</f>
        <v>0</v>
      </c>
      <c r="BP42" s="193">
        <f aca="true" t="shared" si="119" ref="BP42:CA42">BP40</f>
        <v>0</v>
      </c>
      <c r="BQ42" s="193">
        <f t="shared" si="119"/>
        <v>0</v>
      </c>
      <c r="BR42" s="193">
        <f t="shared" si="119"/>
        <v>0</v>
      </c>
      <c r="BS42" s="193">
        <f t="shared" si="119"/>
        <v>0</v>
      </c>
      <c r="BT42" s="193">
        <f t="shared" si="119"/>
        <v>0</v>
      </c>
      <c r="BU42" s="193">
        <f t="shared" si="119"/>
        <v>0</v>
      </c>
      <c r="BV42" s="193">
        <f t="shared" si="119"/>
        <v>0</v>
      </c>
      <c r="BW42" s="193">
        <f t="shared" si="119"/>
        <v>0</v>
      </c>
      <c r="BX42" s="193">
        <f t="shared" si="119"/>
        <v>0</v>
      </c>
      <c r="BY42" s="193">
        <f t="shared" si="119"/>
        <v>0</v>
      </c>
      <c r="BZ42" s="193">
        <f t="shared" si="119"/>
        <v>0</v>
      </c>
      <c r="CA42" s="193">
        <f t="shared" si="119"/>
        <v>0</v>
      </c>
      <c r="CB42" s="194">
        <f>SUM(BP42:CA42)</f>
        <v>0</v>
      </c>
      <c r="CC42" s="193">
        <f aca="true" t="shared" si="120" ref="CC42:CN42">CC40</f>
        <v>0</v>
      </c>
      <c r="CD42" s="193">
        <f t="shared" si="120"/>
        <v>0</v>
      </c>
      <c r="CE42" s="193">
        <f t="shared" si="120"/>
        <v>0</v>
      </c>
      <c r="CF42" s="193">
        <f t="shared" si="120"/>
        <v>0</v>
      </c>
      <c r="CG42" s="193">
        <f t="shared" si="120"/>
        <v>0</v>
      </c>
      <c r="CH42" s="193">
        <f t="shared" si="120"/>
        <v>0</v>
      </c>
      <c r="CI42" s="193">
        <f t="shared" si="120"/>
        <v>0</v>
      </c>
      <c r="CJ42" s="193">
        <f t="shared" si="120"/>
        <v>0</v>
      </c>
      <c r="CK42" s="193">
        <f t="shared" si="120"/>
        <v>0</v>
      </c>
      <c r="CL42" s="193">
        <f t="shared" si="120"/>
        <v>0</v>
      </c>
      <c r="CM42" s="193">
        <f t="shared" si="120"/>
        <v>0</v>
      </c>
      <c r="CN42" s="193">
        <f t="shared" si="120"/>
        <v>0</v>
      </c>
      <c r="CO42" s="194">
        <f>SUM(CC42:CN42)</f>
        <v>0</v>
      </c>
      <c r="CP42" s="193">
        <f aca="true" t="shared" si="121" ref="CP42:DA42">CP40</f>
        <v>0</v>
      </c>
      <c r="CQ42" s="193">
        <f t="shared" si="121"/>
        <v>0</v>
      </c>
      <c r="CR42" s="193">
        <f t="shared" si="121"/>
        <v>0</v>
      </c>
      <c r="CS42" s="193">
        <f t="shared" si="121"/>
        <v>0</v>
      </c>
      <c r="CT42" s="193">
        <f t="shared" si="121"/>
        <v>0</v>
      </c>
      <c r="CU42" s="193">
        <f t="shared" si="121"/>
        <v>0</v>
      </c>
      <c r="CV42" s="193">
        <f t="shared" si="121"/>
        <v>0</v>
      </c>
      <c r="CW42" s="193">
        <f t="shared" si="121"/>
        <v>0</v>
      </c>
      <c r="CX42" s="193">
        <f t="shared" si="121"/>
        <v>0</v>
      </c>
      <c r="CY42" s="193">
        <f t="shared" si="121"/>
        <v>0</v>
      </c>
      <c r="CZ42" s="193">
        <f t="shared" si="121"/>
        <v>0</v>
      </c>
      <c r="DA42" s="193">
        <f t="shared" si="121"/>
        <v>0</v>
      </c>
      <c r="DB42" s="194">
        <f>SUM(CP42:DA42)</f>
        <v>0</v>
      </c>
      <c r="DC42" s="193">
        <f aca="true" t="shared" si="122" ref="DC42:DN42">DC40</f>
        <v>0</v>
      </c>
      <c r="DD42" s="193">
        <f t="shared" si="122"/>
        <v>0</v>
      </c>
      <c r="DE42" s="193">
        <f t="shared" si="122"/>
        <v>0</v>
      </c>
      <c r="DF42" s="193">
        <f t="shared" si="122"/>
        <v>0</v>
      </c>
      <c r="DG42" s="193">
        <f t="shared" si="122"/>
        <v>0</v>
      </c>
      <c r="DH42" s="193">
        <f t="shared" si="122"/>
        <v>0</v>
      </c>
      <c r="DI42" s="193">
        <f t="shared" si="122"/>
        <v>0</v>
      </c>
      <c r="DJ42" s="193">
        <f t="shared" si="122"/>
        <v>0</v>
      </c>
      <c r="DK42" s="193">
        <f t="shared" si="122"/>
        <v>0</v>
      </c>
      <c r="DL42" s="193">
        <f t="shared" si="122"/>
        <v>0</v>
      </c>
      <c r="DM42" s="193">
        <f t="shared" si="122"/>
        <v>0</v>
      </c>
      <c r="DN42" s="193">
        <f t="shared" si="122"/>
        <v>0</v>
      </c>
      <c r="DO42" s="194">
        <f>SUM(DC42:DN42)</f>
        <v>0</v>
      </c>
    </row>
    <row r="43" spans="1:119" ht="12.75" hidden="1">
      <c r="A43" s="187" t="s">
        <v>16</v>
      </c>
      <c r="B43" s="192">
        <f>DO43</f>
        <v>0</v>
      </c>
      <c r="C43" s="193">
        <f>C38</f>
        <v>0</v>
      </c>
      <c r="D43" s="193">
        <f aca="true" t="shared" si="123" ref="D43:N43">C43+D38-D41+D39</f>
        <v>0</v>
      </c>
      <c r="E43" s="193">
        <f t="shared" si="123"/>
        <v>0</v>
      </c>
      <c r="F43" s="193">
        <f t="shared" si="123"/>
        <v>0</v>
      </c>
      <c r="G43" s="193">
        <f t="shared" si="123"/>
        <v>0</v>
      </c>
      <c r="H43" s="193">
        <f t="shared" si="123"/>
        <v>0</v>
      </c>
      <c r="I43" s="193">
        <f t="shared" si="123"/>
        <v>0</v>
      </c>
      <c r="J43" s="193">
        <f t="shared" si="123"/>
        <v>0</v>
      </c>
      <c r="K43" s="193">
        <f t="shared" si="123"/>
        <v>0</v>
      </c>
      <c r="L43" s="193">
        <f t="shared" si="123"/>
        <v>0</v>
      </c>
      <c r="M43" s="193">
        <f t="shared" si="123"/>
        <v>0</v>
      </c>
      <c r="N43" s="193">
        <f t="shared" si="123"/>
        <v>0</v>
      </c>
      <c r="O43" s="194">
        <f>N43</f>
        <v>0</v>
      </c>
      <c r="P43" s="193">
        <f aca="true" t="shared" si="124" ref="P43:AA43">O43+P38-P41+P39</f>
        <v>0</v>
      </c>
      <c r="Q43" s="193">
        <f t="shared" si="124"/>
        <v>0</v>
      </c>
      <c r="R43" s="193">
        <f t="shared" si="124"/>
        <v>0</v>
      </c>
      <c r="S43" s="193">
        <f t="shared" si="124"/>
        <v>0</v>
      </c>
      <c r="T43" s="193">
        <f t="shared" si="124"/>
        <v>0</v>
      </c>
      <c r="U43" s="193">
        <f t="shared" si="124"/>
        <v>0</v>
      </c>
      <c r="V43" s="193">
        <f t="shared" si="124"/>
        <v>0</v>
      </c>
      <c r="W43" s="193">
        <f t="shared" si="124"/>
        <v>0</v>
      </c>
      <c r="X43" s="193">
        <f t="shared" si="124"/>
        <v>0</v>
      </c>
      <c r="Y43" s="193">
        <f t="shared" si="124"/>
        <v>0</v>
      </c>
      <c r="Z43" s="193">
        <f t="shared" si="124"/>
        <v>0</v>
      </c>
      <c r="AA43" s="193">
        <f t="shared" si="124"/>
        <v>0</v>
      </c>
      <c r="AB43" s="194">
        <f>AA43</f>
        <v>0</v>
      </c>
      <c r="AC43" s="193">
        <f aca="true" t="shared" si="125" ref="AC43:AN43">AB43+AC38-AC41+AC39</f>
        <v>0</v>
      </c>
      <c r="AD43" s="193">
        <f t="shared" si="125"/>
        <v>0</v>
      </c>
      <c r="AE43" s="193">
        <f t="shared" si="125"/>
        <v>0</v>
      </c>
      <c r="AF43" s="193">
        <f t="shared" si="125"/>
        <v>0</v>
      </c>
      <c r="AG43" s="193">
        <f t="shared" si="125"/>
        <v>0</v>
      </c>
      <c r="AH43" s="193">
        <f t="shared" si="125"/>
        <v>0</v>
      </c>
      <c r="AI43" s="193">
        <f t="shared" si="125"/>
        <v>0</v>
      </c>
      <c r="AJ43" s="193">
        <f t="shared" si="125"/>
        <v>0</v>
      </c>
      <c r="AK43" s="193">
        <f t="shared" si="125"/>
        <v>0</v>
      </c>
      <c r="AL43" s="193">
        <f t="shared" si="125"/>
        <v>0</v>
      </c>
      <c r="AM43" s="193">
        <f t="shared" si="125"/>
        <v>0</v>
      </c>
      <c r="AN43" s="193">
        <f t="shared" si="125"/>
        <v>0</v>
      </c>
      <c r="AO43" s="194">
        <f>AN43</f>
        <v>0</v>
      </c>
      <c r="AP43" s="193">
        <f aca="true" t="shared" si="126" ref="AP43:BA43">AO43+AP38-AP41+AP39</f>
        <v>0</v>
      </c>
      <c r="AQ43" s="193">
        <f t="shared" si="126"/>
        <v>0</v>
      </c>
      <c r="AR43" s="193">
        <f t="shared" si="126"/>
        <v>0</v>
      </c>
      <c r="AS43" s="193">
        <f t="shared" si="126"/>
        <v>0</v>
      </c>
      <c r="AT43" s="193">
        <f t="shared" si="126"/>
        <v>0</v>
      </c>
      <c r="AU43" s="193">
        <f t="shared" si="126"/>
        <v>0</v>
      </c>
      <c r="AV43" s="193">
        <f t="shared" si="126"/>
        <v>0</v>
      </c>
      <c r="AW43" s="193">
        <f t="shared" si="126"/>
        <v>0</v>
      </c>
      <c r="AX43" s="193">
        <f t="shared" si="126"/>
        <v>0</v>
      </c>
      <c r="AY43" s="193">
        <f t="shared" si="126"/>
        <v>0</v>
      </c>
      <c r="AZ43" s="193">
        <f t="shared" si="126"/>
        <v>0</v>
      </c>
      <c r="BA43" s="193">
        <f t="shared" si="126"/>
        <v>0</v>
      </c>
      <c r="BB43" s="194">
        <f>BA43</f>
        <v>0</v>
      </c>
      <c r="BC43" s="193">
        <f aca="true" t="shared" si="127" ref="BC43:BN43">BB43+BC38-BC41+BC39</f>
        <v>0</v>
      </c>
      <c r="BD43" s="193">
        <f t="shared" si="127"/>
        <v>0</v>
      </c>
      <c r="BE43" s="193">
        <f t="shared" si="127"/>
        <v>0</v>
      </c>
      <c r="BF43" s="193">
        <f t="shared" si="127"/>
        <v>0</v>
      </c>
      <c r="BG43" s="193">
        <f t="shared" si="127"/>
        <v>0</v>
      </c>
      <c r="BH43" s="193">
        <f t="shared" si="127"/>
        <v>0</v>
      </c>
      <c r="BI43" s="193">
        <f t="shared" si="127"/>
        <v>0</v>
      </c>
      <c r="BJ43" s="193">
        <f t="shared" si="127"/>
        <v>0</v>
      </c>
      <c r="BK43" s="193">
        <f t="shared" si="127"/>
        <v>0</v>
      </c>
      <c r="BL43" s="193">
        <f t="shared" si="127"/>
        <v>0</v>
      </c>
      <c r="BM43" s="193">
        <f t="shared" si="127"/>
        <v>0</v>
      </c>
      <c r="BN43" s="193">
        <f t="shared" si="127"/>
        <v>0</v>
      </c>
      <c r="BO43" s="194">
        <f>BN43</f>
        <v>0</v>
      </c>
      <c r="BP43" s="193">
        <f aca="true" t="shared" si="128" ref="BP43:CA43">BO43+BP38-BP41+BP39</f>
        <v>0</v>
      </c>
      <c r="BQ43" s="193">
        <f t="shared" si="128"/>
        <v>0</v>
      </c>
      <c r="BR43" s="193">
        <f t="shared" si="128"/>
        <v>0</v>
      </c>
      <c r="BS43" s="193">
        <f t="shared" si="128"/>
        <v>0</v>
      </c>
      <c r="BT43" s="193">
        <f t="shared" si="128"/>
        <v>0</v>
      </c>
      <c r="BU43" s="193">
        <f t="shared" si="128"/>
        <v>0</v>
      </c>
      <c r="BV43" s="193">
        <f t="shared" si="128"/>
        <v>0</v>
      </c>
      <c r="BW43" s="193">
        <f t="shared" si="128"/>
        <v>0</v>
      </c>
      <c r="BX43" s="193">
        <f t="shared" si="128"/>
        <v>0</v>
      </c>
      <c r="BY43" s="193">
        <f t="shared" si="128"/>
        <v>0</v>
      </c>
      <c r="BZ43" s="193">
        <f t="shared" si="128"/>
        <v>0</v>
      </c>
      <c r="CA43" s="193">
        <f t="shared" si="128"/>
        <v>0</v>
      </c>
      <c r="CB43" s="194">
        <f>CA43</f>
        <v>0</v>
      </c>
      <c r="CC43" s="193">
        <f aca="true" t="shared" si="129" ref="CC43:CN43">CB43+CC38-CC41+CC39</f>
        <v>0</v>
      </c>
      <c r="CD43" s="193">
        <f t="shared" si="129"/>
        <v>0</v>
      </c>
      <c r="CE43" s="193">
        <f t="shared" si="129"/>
        <v>0</v>
      </c>
      <c r="CF43" s="193">
        <f t="shared" si="129"/>
        <v>0</v>
      </c>
      <c r="CG43" s="193">
        <f t="shared" si="129"/>
        <v>0</v>
      </c>
      <c r="CH43" s="193">
        <f t="shared" si="129"/>
        <v>0</v>
      </c>
      <c r="CI43" s="193">
        <f t="shared" si="129"/>
        <v>0</v>
      </c>
      <c r="CJ43" s="193">
        <f t="shared" si="129"/>
        <v>0</v>
      </c>
      <c r="CK43" s="193">
        <f t="shared" si="129"/>
        <v>0</v>
      </c>
      <c r="CL43" s="193">
        <f t="shared" si="129"/>
        <v>0</v>
      </c>
      <c r="CM43" s="193">
        <f t="shared" si="129"/>
        <v>0</v>
      </c>
      <c r="CN43" s="193">
        <f t="shared" si="129"/>
        <v>0</v>
      </c>
      <c r="CO43" s="194">
        <f>CN43</f>
        <v>0</v>
      </c>
      <c r="CP43" s="193">
        <f aca="true" t="shared" si="130" ref="CP43:DA43">CO43+CP38-CP41+CP39</f>
        <v>0</v>
      </c>
      <c r="CQ43" s="193">
        <f t="shared" si="130"/>
        <v>0</v>
      </c>
      <c r="CR43" s="193">
        <f t="shared" si="130"/>
        <v>0</v>
      </c>
      <c r="CS43" s="193">
        <f t="shared" si="130"/>
        <v>0</v>
      </c>
      <c r="CT43" s="193">
        <f t="shared" si="130"/>
        <v>0</v>
      </c>
      <c r="CU43" s="193">
        <f t="shared" si="130"/>
        <v>0</v>
      </c>
      <c r="CV43" s="193">
        <f t="shared" si="130"/>
        <v>0</v>
      </c>
      <c r="CW43" s="193">
        <f t="shared" si="130"/>
        <v>0</v>
      </c>
      <c r="CX43" s="193">
        <f t="shared" si="130"/>
        <v>0</v>
      </c>
      <c r="CY43" s="193">
        <f t="shared" si="130"/>
        <v>0</v>
      </c>
      <c r="CZ43" s="193">
        <f t="shared" si="130"/>
        <v>0</v>
      </c>
      <c r="DA43" s="193">
        <f t="shared" si="130"/>
        <v>0</v>
      </c>
      <c r="DB43" s="194">
        <f>DA43</f>
        <v>0</v>
      </c>
      <c r="DC43" s="193">
        <f aca="true" t="shared" si="131" ref="DC43:DN43">DB43+DC38-DC41+DC39</f>
        <v>0</v>
      </c>
      <c r="DD43" s="193">
        <f t="shared" si="131"/>
        <v>0</v>
      </c>
      <c r="DE43" s="193">
        <f t="shared" si="131"/>
        <v>0</v>
      </c>
      <c r="DF43" s="193">
        <f t="shared" si="131"/>
        <v>0</v>
      </c>
      <c r="DG43" s="193">
        <f t="shared" si="131"/>
        <v>0</v>
      </c>
      <c r="DH43" s="193">
        <f t="shared" si="131"/>
        <v>0</v>
      </c>
      <c r="DI43" s="193">
        <f t="shared" si="131"/>
        <v>0</v>
      </c>
      <c r="DJ43" s="193">
        <f t="shared" si="131"/>
        <v>0</v>
      </c>
      <c r="DK43" s="193">
        <f t="shared" si="131"/>
        <v>0</v>
      </c>
      <c r="DL43" s="193">
        <f t="shared" si="131"/>
        <v>0</v>
      </c>
      <c r="DM43" s="193">
        <f t="shared" si="131"/>
        <v>0</v>
      </c>
      <c r="DN43" s="193">
        <f t="shared" si="131"/>
        <v>0</v>
      </c>
      <c r="DO43" s="194">
        <f>DN43</f>
        <v>0</v>
      </c>
    </row>
    <row r="44" spans="1:119" ht="12.75" hidden="1">
      <c r="A44" s="176" t="s">
        <v>78</v>
      </c>
      <c r="B44" s="280">
        <f>Исх!$C$42*12-Исх!$C$43</f>
        <v>72</v>
      </c>
      <c r="CP44" s="179"/>
      <c r="DB44" s="176"/>
      <c r="DO44" s="176"/>
    </row>
    <row r="45" spans="1:119" ht="12.75" hidden="1">
      <c r="A45" s="283" t="s">
        <v>249</v>
      </c>
      <c r="B45" s="284">
        <f>$T$43*$B$20/12/((1-(1+$B$20/12)^-$B44))</f>
        <v>0</v>
      </c>
      <c r="DB45" s="176"/>
      <c r="DO45" s="176"/>
    </row>
    <row r="46" spans="1:119" ht="6" customHeight="1" hidden="1">
      <c r="A46" s="281"/>
      <c r="B46" s="278"/>
      <c r="DB46" s="176"/>
      <c r="DO46" s="176"/>
    </row>
    <row r="47" spans="1:119" ht="12.75" hidden="1">
      <c r="A47" s="267" t="s">
        <v>238</v>
      </c>
      <c r="DB47" s="176"/>
      <c r="DO47" s="176"/>
    </row>
    <row r="48" spans="1:119" ht="12.75" hidden="1" outlineLevel="1">
      <c r="A48" s="268">
        <f>B38+B39-B41</f>
        <v>0</v>
      </c>
      <c r="DB48" s="176"/>
      <c r="DO48" s="176"/>
    </row>
    <row r="49" spans="1:119" ht="12.75" hidden="1" outlineLevel="1">
      <c r="A49" s="268">
        <f>B40-B39-B42</f>
        <v>0</v>
      </c>
      <c r="DB49" s="176"/>
      <c r="DO49" s="176"/>
    </row>
    <row r="50" ht="12.75" hidden="1" collapsed="1"/>
    <row r="51" spans="1:119" ht="12.75" hidden="1">
      <c r="A51" s="292" t="s">
        <v>267</v>
      </c>
      <c r="B51" s="293"/>
      <c r="DB51" s="176"/>
      <c r="DO51" s="176"/>
    </row>
    <row r="52" spans="1:119" ht="15.75" customHeight="1" hidden="1">
      <c r="A52" s="185" t="s">
        <v>11</v>
      </c>
      <c r="B52" s="282">
        <f>Исх!$C$41</f>
        <v>0.07</v>
      </c>
      <c r="C52" s="380">
        <v>2013</v>
      </c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>
        <v>2014</v>
      </c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>
        <v>2015</v>
      </c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>
        <v>2016</v>
      </c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>
        <v>2017</v>
      </c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>
        <v>2018</v>
      </c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80"/>
      <c r="CC52" s="380">
        <v>2019</v>
      </c>
      <c r="CD52" s="380"/>
      <c r="CE52" s="380"/>
      <c r="CF52" s="380"/>
      <c r="CG52" s="380"/>
      <c r="CH52" s="380"/>
      <c r="CI52" s="380"/>
      <c r="CJ52" s="380"/>
      <c r="CK52" s="380"/>
      <c r="CL52" s="380"/>
      <c r="CM52" s="380"/>
      <c r="CN52" s="380"/>
      <c r="CO52" s="380"/>
      <c r="CP52" s="380">
        <v>2020</v>
      </c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0"/>
      <c r="DB52" s="380"/>
      <c r="DC52" s="380">
        <v>2021</v>
      </c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</row>
    <row r="53" spans="1:119" s="191" customFormat="1" ht="15" customHeight="1" hidden="1">
      <c r="A53" s="187" t="s">
        <v>9</v>
      </c>
      <c r="B53" s="188" t="s">
        <v>89</v>
      </c>
      <c r="C53" s="189">
        <v>1</v>
      </c>
      <c r="D53" s="189">
        <v>2</v>
      </c>
      <c r="E53" s="189">
        <f aca="true" t="shared" si="132" ref="E53:N53">D53+1</f>
        <v>3</v>
      </c>
      <c r="F53" s="189">
        <f t="shared" si="132"/>
        <v>4</v>
      </c>
      <c r="G53" s="189">
        <f t="shared" si="132"/>
        <v>5</v>
      </c>
      <c r="H53" s="189">
        <f t="shared" si="132"/>
        <v>6</v>
      </c>
      <c r="I53" s="189">
        <f t="shared" si="132"/>
        <v>7</v>
      </c>
      <c r="J53" s="189">
        <f t="shared" si="132"/>
        <v>8</v>
      </c>
      <c r="K53" s="189">
        <f t="shared" si="132"/>
        <v>9</v>
      </c>
      <c r="L53" s="189">
        <f t="shared" si="132"/>
        <v>10</v>
      </c>
      <c r="M53" s="189">
        <f t="shared" si="132"/>
        <v>11</v>
      </c>
      <c r="N53" s="189">
        <f t="shared" si="132"/>
        <v>12</v>
      </c>
      <c r="O53" s="190" t="str">
        <f>O37</f>
        <v>Итого</v>
      </c>
      <c r="P53" s="189">
        <v>1</v>
      </c>
      <c r="Q53" s="189">
        <v>2</v>
      </c>
      <c r="R53" s="189">
        <f aca="true" t="shared" si="133" ref="R53:AA53">Q53+1</f>
        <v>3</v>
      </c>
      <c r="S53" s="189">
        <f t="shared" si="133"/>
        <v>4</v>
      </c>
      <c r="T53" s="189">
        <f t="shared" si="133"/>
        <v>5</v>
      </c>
      <c r="U53" s="189">
        <f t="shared" si="133"/>
        <v>6</v>
      </c>
      <c r="V53" s="189">
        <f t="shared" si="133"/>
        <v>7</v>
      </c>
      <c r="W53" s="189">
        <f t="shared" si="133"/>
        <v>8</v>
      </c>
      <c r="X53" s="189">
        <f t="shared" si="133"/>
        <v>9</v>
      </c>
      <c r="Y53" s="189">
        <f t="shared" si="133"/>
        <v>10</v>
      </c>
      <c r="Z53" s="189">
        <f t="shared" si="133"/>
        <v>11</v>
      </c>
      <c r="AA53" s="189">
        <f t="shared" si="133"/>
        <v>12</v>
      </c>
      <c r="AB53" s="190" t="str">
        <f>AB37</f>
        <v>Итого</v>
      </c>
      <c r="AC53" s="189">
        <v>1</v>
      </c>
      <c r="AD53" s="189">
        <v>2</v>
      </c>
      <c r="AE53" s="189">
        <f aca="true" t="shared" si="134" ref="AE53:AN53">AD53+1</f>
        <v>3</v>
      </c>
      <c r="AF53" s="189">
        <f t="shared" si="134"/>
        <v>4</v>
      </c>
      <c r="AG53" s="189">
        <f t="shared" si="134"/>
        <v>5</v>
      </c>
      <c r="AH53" s="189">
        <f t="shared" si="134"/>
        <v>6</v>
      </c>
      <c r="AI53" s="189">
        <f t="shared" si="134"/>
        <v>7</v>
      </c>
      <c r="AJ53" s="189">
        <f t="shared" si="134"/>
        <v>8</v>
      </c>
      <c r="AK53" s="189">
        <f t="shared" si="134"/>
        <v>9</v>
      </c>
      <c r="AL53" s="189">
        <f t="shared" si="134"/>
        <v>10</v>
      </c>
      <c r="AM53" s="189">
        <f t="shared" si="134"/>
        <v>11</v>
      </c>
      <c r="AN53" s="189">
        <f t="shared" si="134"/>
        <v>12</v>
      </c>
      <c r="AO53" s="190" t="str">
        <f>AO37</f>
        <v>Итого</v>
      </c>
      <c r="AP53" s="189">
        <v>1</v>
      </c>
      <c r="AQ53" s="189">
        <v>2</v>
      </c>
      <c r="AR53" s="189">
        <f aca="true" t="shared" si="135" ref="AR53:BA53">AQ53+1</f>
        <v>3</v>
      </c>
      <c r="AS53" s="189">
        <f t="shared" si="135"/>
        <v>4</v>
      </c>
      <c r="AT53" s="189">
        <f t="shared" si="135"/>
        <v>5</v>
      </c>
      <c r="AU53" s="189">
        <f t="shared" si="135"/>
        <v>6</v>
      </c>
      <c r="AV53" s="189">
        <f t="shared" si="135"/>
        <v>7</v>
      </c>
      <c r="AW53" s="189">
        <f t="shared" si="135"/>
        <v>8</v>
      </c>
      <c r="AX53" s="189">
        <f t="shared" si="135"/>
        <v>9</v>
      </c>
      <c r="AY53" s="189">
        <f t="shared" si="135"/>
        <v>10</v>
      </c>
      <c r="AZ53" s="189">
        <f t="shared" si="135"/>
        <v>11</v>
      </c>
      <c r="BA53" s="189">
        <f t="shared" si="135"/>
        <v>12</v>
      </c>
      <c r="BB53" s="190" t="str">
        <f>BB37</f>
        <v>Итого</v>
      </c>
      <c r="BC53" s="189">
        <v>1</v>
      </c>
      <c r="BD53" s="189">
        <v>2</v>
      </c>
      <c r="BE53" s="189">
        <f aca="true" t="shared" si="136" ref="BE53:BN53">BD53+1</f>
        <v>3</v>
      </c>
      <c r="BF53" s="189">
        <f t="shared" si="136"/>
        <v>4</v>
      </c>
      <c r="BG53" s="189">
        <f t="shared" si="136"/>
        <v>5</v>
      </c>
      <c r="BH53" s="189">
        <f t="shared" si="136"/>
        <v>6</v>
      </c>
      <c r="BI53" s="189">
        <f t="shared" si="136"/>
        <v>7</v>
      </c>
      <c r="BJ53" s="189">
        <f t="shared" si="136"/>
        <v>8</v>
      </c>
      <c r="BK53" s="189">
        <f t="shared" si="136"/>
        <v>9</v>
      </c>
      <c r="BL53" s="189">
        <f t="shared" si="136"/>
        <v>10</v>
      </c>
      <c r="BM53" s="189">
        <f t="shared" si="136"/>
        <v>11</v>
      </c>
      <c r="BN53" s="189">
        <f t="shared" si="136"/>
        <v>12</v>
      </c>
      <c r="BO53" s="190" t="str">
        <f>BO37</f>
        <v>Итого</v>
      </c>
      <c r="BP53" s="189">
        <v>1</v>
      </c>
      <c r="BQ53" s="189">
        <v>2</v>
      </c>
      <c r="BR53" s="189">
        <f aca="true" t="shared" si="137" ref="BR53:CA53">BQ53+1</f>
        <v>3</v>
      </c>
      <c r="BS53" s="189">
        <f t="shared" si="137"/>
        <v>4</v>
      </c>
      <c r="BT53" s="189">
        <f t="shared" si="137"/>
        <v>5</v>
      </c>
      <c r="BU53" s="189">
        <f t="shared" si="137"/>
        <v>6</v>
      </c>
      <c r="BV53" s="189">
        <f t="shared" si="137"/>
        <v>7</v>
      </c>
      <c r="BW53" s="189">
        <f t="shared" si="137"/>
        <v>8</v>
      </c>
      <c r="BX53" s="189">
        <f t="shared" si="137"/>
        <v>9</v>
      </c>
      <c r="BY53" s="189">
        <f t="shared" si="137"/>
        <v>10</v>
      </c>
      <c r="BZ53" s="189">
        <f t="shared" si="137"/>
        <v>11</v>
      </c>
      <c r="CA53" s="189">
        <f t="shared" si="137"/>
        <v>12</v>
      </c>
      <c r="CB53" s="190" t="str">
        <f>CB37</f>
        <v>Итого</v>
      </c>
      <c r="CC53" s="189">
        <v>1</v>
      </c>
      <c r="CD53" s="189">
        <v>2</v>
      </c>
      <c r="CE53" s="189">
        <f aca="true" t="shared" si="138" ref="CE53:CN53">CD53+1</f>
        <v>3</v>
      </c>
      <c r="CF53" s="189">
        <f t="shared" si="138"/>
        <v>4</v>
      </c>
      <c r="CG53" s="189">
        <f t="shared" si="138"/>
        <v>5</v>
      </c>
      <c r="CH53" s="189">
        <f t="shared" si="138"/>
        <v>6</v>
      </c>
      <c r="CI53" s="189">
        <f t="shared" si="138"/>
        <v>7</v>
      </c>
      <c r="CJ53" s="189">
        <f t="shared" si="138"/>
        <v>8</v>
      </c>
      <c r="CK53" s="189">
        <f t="shared" si="138"/>
        <v>9</v>
      </c>
      <c r="CL53" s="189">
        <f t="shared" si="138"/>
        <v>10</v>
      </c>
      <c r="CM53" s="189">
        <f t="shared" si="138"/>
        <v>11</v>
      </c>
      <c r="CN53" s="189">
        <f t="shared" si="138"/>
        <v>12</v>
      </c>
      <c r="CO53" s="190" t="str">
        <f>CO37</f>
        <v>Итого</v>
      </c>
      <c r="CP53" s="189">
        <v>1</v>
      </c>
      <c r="CQ53" s="189">
        <f aca="true" t="shared" si="139" ref="CQ53:DA53">CP53+1</f>
        <v>2</v>
      </c>
      <c r="CR53" s="189">
        <f t="shared" si="139"/>
        <v>3</v>
      </c>
      <c r="CS53" s="189">
        <f t="shared" si="139"/>
        <v>4</v>
      </c>
      <c r="CT53" s="189">
        <f t="shared" si="139"/>
        <v>5</v>
      </c>
      <c r="CU53" s="189">
        <f t="shared" si="139"/>
        <v>6</v>
      </c>
      <c r="CV53" s="189">
        <f t="shared" si="139"/>
        <v>7</v>
      </c>
      <c r="CW53" s="189">
        <f t="shared" si="139"/>
        <v>8</v>
      </c>
      <c r="CX53" s="189">
        <f t="shared" si="139"/>
        <v>9</v>
      </c>
      <c r="CY53" s="189">
        <f t="shared" si="139"/>
        <v>10</v>
      </c>
      <c r="CZ53" s="189">
        <f t="shared" si="139"/>
        <v>11</v>
      </c>
      <c r="DA53" s="189">
        <f t="shared" si="139"/>
        <v>12</v>
      </c>
      <c r="DB53" s="190" t="str">
        <f>DB37</f>
        <v>Итого</v>
      </c>
      <c r="DC53" s="189">
        <v>1</v>
      </c>
      <c r="DD53" s="189">
        <f aca="true" t="shared" si="140" ref="DD53:DN53">DC53+1</f>
        <v>2</v>
      </c>
      <c r="DE53" s="189">
        <f t="shared" si="140"/>
        <v>3</v>
      </c>
      <c r="DF53" s="189">
        <f t="shared" si="140"/>
        <v>4</v>
      </c>
      <c r="DG53" s="189">
        <f t="shared" si="140"/>
        <v>5</v>
      </c>
      <c r="DH53" s="189">
        <f t="shared" si="140"/>
        <v>6</v>
      </c>
      <c r="DI53" s="189">
        <f t="shared" si="140"/>
        <v>7</v>
      </c>
      <c r="DJ53" s="189">
        <f t="shared" si="140"/>
        <v>8</v>
      </c>
      <c r="DK53" s="189">
        <f t="shared" si="140"/>
        <v>9</v>
      </c>
      <c r="DL53" s="189">
        <f t="shared" si="140"/>
        <v>10</v>
      </c>
      <c r="DM53" s="189">
        <f t="shared" si="140"/>
        <v>11</v>
      </c>
      <c r="DN53" s="189">
        <f t="shared" si="140"/>
        <v>12</v>
      </c>
      <c r="DO53" s="190" t="s">
        <v>0</v>
      </c>
    </row>
    <row r="54" spans="1:119" ht="12.75" hidden="1">
      <c r="A54" s="187" t="s">
        <v>106</v>
      </c>
      <c r="B54" s="192">
        <f>O54+AB54+AO54+BB54+BO54+CB54+CO54+DB54+DO54</f>
        <v>0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4">
        <f>SUM(C54:N54)</f>
        <v>0</v>
      </c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>
        <f>SUM(P54:AA54)</f>
        <v>0</v>
      </c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>
        <f>SUM(AC54:AN54)</f>
        <v>0</v>
      </c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</row>
    <row r="55" spans="1:119" s="196" customFormat="1" ht="20.25" customHeight="1" hidden="1">
      <c r="A55" s="187" t="s">
        <v>31</v>
      </c>
      <c r="B55" s="192">
        <f>O55+AB55+AO55+BB55+BO55+CB55+CO55+DB55+DO55</f>
        <v>0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4">
        <f>SUM(C55:N55)</f>
        <v>0</v>
      </c>
      <c r="P55" s="193"/>
      <c r="Q55" s="193"/>
      <c r="R55" s="193"/>
      <c r="S55" s="193"/>
      <c r="T55" s="193"/>
      <c r="U55" s="193">
        <f>SUM(O56:U56)</f>
        <v>0</v>
      </c>
      <c r="V55" s="193"/>
      <c r="W55" s="193"/>
      <c r="X55" s="193"/>
      <c r="Y55" s="193"/>
      <c r="Z55" s="193"/>
      <c r="AA55" s="193"/>
      <c r="AB55" s="194">
        <f>SUM(P55:AA55)</f>
        <v>0</v>
      </c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4">
        <f>SUM(AC55:AN55)</f>
        <v>0</v>
      </c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4">
        <f>SUM(AP55:BA55)</f>
        <v>0</v>
      </c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4">
        <f>SUM(BC55:BN55)</f>
        <v>0</v>
      </c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4">
        <f>SUM(BP55:CA55)</f>
        <v>0</v>
      </c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4">
        <f>SUM(CC55:CN55)</f>
        <v>0</v>
      </c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4">
        <f>SUM(CP55:DA55)</f>
        <v>0</v>
      </c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4">
        <f>SUM(DC55:DN55)</f>
        <v>0</v>
      </c>
    </row>
    <row r="56" spans="1:119" s="196" customFormat="1" ht="12.75" hidden="1">
      <c r="A56" s="197" t="s">
        <v>13</v>
      </c>
      <c r="B56" s="192">
        <f>O56+AB56+AO56+BB56+BO56+CB56+CO56+DB56+DO56</f>
        <v>0</v>
      </c>
      <c r="C56" s="193"/>
      <c r="D56" s="193">
        <f aca="true" t="shared" si="141" ref="D56:N56">C59*$B52/12</f>
        <v>0</v>
      </c>
      <c r="E56" s="193">
        <f t="shared" si="141"/>
        <v>0</v>
      </c>
      <c r="F56" s="193">
        <f t="shared" si="141"/>
        <v>0</v>
      </c>
      <c r="G56" s="193">
        <f t="shared" si="141"/>
        <v>0</v>
      </c>
      <c r="H56" s="193">
        <f t="shared" si="141"/>
        <v>0</v>
      </c>
      <c r="I56" s="193">
        <f t="shared" si="141"/>
        <v>0</v>
      </c>
      <c r="J56" s="193">
        <f t="shared" si="141"/>
        <v>0</v>
      </c>
      <c r="K56" s="193">
        <f t="shared" si="141"/>
        <v>0</v>
      </c>
      <c r="L56" s="193">
        <f t="shared" si="141"/>
        <v>0</v>
      </c>
      <c r="M56" s="193">
        <f t="shared" si="141"/>
        <v>0</v>
      </c>
      <c r="N56" s="193">
        <f t="shared" si="141"/>
        <v>0</v>
      </c>
      <c r="O56" s="194">
        <f>SUM(C56:N56)</f>
        <v>0</v>
      </c>
      <c r="P56" s="193">
        <f aca="true" t="shared" si="142" ref="P56:AA56">O59*$B52/12</f>
        <v>0</v>
      </c>
      <c r="Q56" s="193">
        <f t="shared" si="142"/>
        <v>0</v>
      </c>
      <c r="R56" s="193">
        <f t="shared" si="142"/>
        <v>0</v>
      </c>
      <c r="S56" s="193">
        <f t="shared" si="142"/>
        <v>0</v>
      </c>
      <c r="T56" s="193">
        <f t="shared" si="142"/>
        <v>0</v>
      </c>
      <c r="U56" s="193">
        <f t="shared" si="142"/>
        <v>0</v>
      </c>
      <c r="V56" s="193">
        <f t="shared" si="142"/>
        <v>0</v>
      </c>
      <c r="W56" s="193">
        <f t="shared" si="142"/>
        <v>0</v>
      </c>
      <c r="X56" s="193">
        <f t="shared" si="142"/>
        <v>0</v>
      </c>
      <c r="Y56" s="193">
        <f t="shared" si="142"/>
        <v>0</v>
      </c>
      <c r="Z56" s="193">
        <f t="shared" si="142"/>
        <v>0</v>
      </c>
      <c r="AA56" s="193">
        <f t="shared" si="142"/>
        <v>0</v>
      </c>
      <c r="AB56" s="194">
        <f>SUM(P56:AA56)</f>
        <v>0</v>
      </c>
      <c r="AC56" s="193">
        <f aca="true" t="shared" si="143" ref="AC56:AN56">AB59*$B52/12</f>
        <v>0</v>
      </c>
      <c r="AD56" s="193">
        <f t="shared" si="143"/>
        <v>0</v>
      </c>
      <c r="AE56" s="193">
        <f t="shared" si="143"/>
        <v>0</v>
      </c>
      <c r="AF56" s="193">
        <f t="shared" si="143"/>
        <v>0</v>
      </c>
      <c r="AG56" s="193">
        <f t="shared" si="143"/>
        <v>0</v>
      </c>
      <c r="AH56" s="193">
        <f t="shared" si="143"/>
        <v>0</v>
      </c>
      <c r="AI56" s="193">
        <f t="shared" si="143"/>
        <v>0</v>
      </c>
      <c r="AJ56" s="193">
        <f t="shared" si="143"/>
        <v>0</v>
      </c>
      <c r="AK56" s="193">
        <f t="shared" si="143"/>
        <v>0</v>
      </c>
      <c r="AL56" s="193">
        <f t="shared" si="143"/>
        <v>0</v>
      </c>
      <c r="AM56" s="193">
        <f t="shared" si="143"/>
        <v>0</v>
      </c>
      <c r="AN56" s="193">
        <f t="shared" si="143"/>
        <v>0</v>
      </c>
      <c r="AO56" s="194">
        <f>SUM(AC56:AN56)</f>
        <v>0</v>
      </c>
      <c r="AP56" s="193">
        <f aca="true" t="shared" si="144" ref="AP56:BA56">AO59*$B52/12</f>
        <v>0</v>
      </c>
      <c r="AQ56" s="193">
        <f t="shared" si="144"/>
        <v>0</v>
      </c>
      <c r="AR56" s="193">
        <f t="shared" si="144"/>
        <v>0</v>
      </c>
      <c r="AS56" s="193">
        <f t="shared" si="144"/>
        <v>0</v>
      </c>
      <c r="AT56" s="193">
        <f t="shared" si="144"/>
        <v>0</v>
      </c>
      <c r="AU56" s="193">
        <f t="shared" si="144"/>
        <v>0</v>
      </c>
      <c r="AV56" s="193">
        <f t="shared" si="144"/>
        <v>0</v>
      </c>
      <c r="AW56" s="193">
        <f t="shared" si="144"/>
        <v>0</v>
      </c>
      <c r="AX56" s="193">
        <f t="shared" si="144"/>
        <v>0</v>
      </c>
      <c r="AY56" s="193">
        <f t="shared" si="144"/>
        <v>0</v>
      </c>
      <c r="AZ56" s="193">
        <f t="shared" si="144"/>
        <v>0</v>
      </c>
      <c r="BA56" s="193">
        <f t="shared" si="144"/>
        <v>0</v>
      </c>
      <c r="BB56" s="194">
        <f>SUM(AP56:BA56)</f>
        <v>0</v>
      </c>
      <c r="BC56" s="193">
        <f aca="true" t="shared" si="145" ref="BC56:BN56">BB59*$B52/12</f>
        <v>0</v>
      </c>
      <c r="BD56" s="193">
        <f t="shared" si="145"/>
        <v>0</v>
      </c>
      <c r="BE56" s="193">
        <f t="shared" si="145"/>
        <v>0</v>
      </c>
      <c r="BF56" s="193">
        <f t="shared" si="145"/>
        <v>0</v>
      </c>
      <c r="BG56" s="193">
        <f t="shared" si="145"/>
        <v>0</v>
      </c>
      <c r="BH56" s="193">
        <f t="shared" si="145"/>
        <v>0</v>
      </c>
      <c r="BI56" s="193">
        <f t="shared" si="145"/>
        <v>0</v>
      </c>
      <c r="BJ56" s="193">
        <f t="shared" si="145"/>
        <v>0</v>
      </c>
      <c r="BK56" s="193">
        <f t="shared" si="145"/>
        <v>0</v>
      </c>
      <c r="BL56" s="193">
        <f t="shared" si="145"/>
        <v>0</v>
      </c>
      <c r="BM56" s="193">
        <f t="shared" si="145"/>
        <v>0</v>
      </c>
      <c r="BN56" s="193">
        <f t="shared" si="145"/>
        <v>0</v>
      </c>
      <c r="BO56" s="194">
        <f>SUM(BC56:BN56)</f>
        <v>0</v>
      </c>
      <c r="BP56" s="193">
        <f aca="true" t="shared" si="146" ref="BP56:CA56">BO59*$B52/12</f>
        <v>0</v>
      </c>
      <c r="BQ56" s="193">
        <f t="shared" si="146"/>
        <v>0</v>
      </c>
      <c r="BR56" s="193">
        <f t="shared" si="146"/>
        <v>0</v>
      </c>
      <c r="BS56" s="193">
        <f t="shared" si="146"/>
        <v>0</v>
      </c>
      <c r="BT56" s="193">
        <f t="shared" si="146"/>
        <v>0</v>
      </c>
      <c r="BU56" s="193">
        <f t="shared" si="146"/>
        <v>0</v>
      </c>
      <c r="BV56" s="193">
        <f t="shared" si="146"/>
        <v>0</v>
      </c>
      <c r="BW56" s="193">
        <f t="shared" si="146"/>
        <v>0</v>
      </c>
      <c r="BX56" s="193">
        <f t="shared" si="146"/>
        <v>0</v>
      </c>
      <c r="BY56" s="193">
        <f t="shared" si="146"/>
        <v>0</v>
      </c>
      <c r="BZ56" s="193">
        <f t="shared" si="146"/>
        <v>0</v>
      </c>
      <c r="CA56" s="193">
        <f t="shared" si="146"/>
        <v>0</v>
      </c>
      <c r="CB56" s="194">
        <f>SUM(BP56:CA56)</f>
        <v>0</v>
      </c>
      <c r="CC56" s="193">
        <f aca="true" t="shared" si="147" ref="CC56:CN56">CB59*$B52/12</f>
        <v>0</v>
      </c>
      <c r="CD56" s="193">
        <f t="shared" si="147"/>
        <v>0</v>
      </c>
      <c r="CE56" s="193">
        <f t="shared" si="147"/>
        <v>0</v>
      </c>
      <c r="CF56" s="193">
        <f t="shared" si="147"/>
        <v>0</v>
      </c>
      <c r="CG56" s="193">
        <f t="shared" si="147"/>
        <v>0</v>
      </c>
      <c r="CH56" s="193">
        <f t="shared" si="147"/>
        <v>0</v>
      </c>
      <c r="CI56" s="193">
        <f t="shared" si="147"/>
        <v>0</v>
      </c>
      <c r="CJ56" s="193">
        <f t="shared" si="147"/>
        <v>0</v>
      </c>
      <c r="CK56" s="193">
        <f t="shared" si="147"/>
        <v>0</v>
      </c>
      <c r="CL56" s="193">
        <f t="shared" si="147"/>
        <v>0</v>
      </c>
      <c r="CM56" s="193">
        <f t="shared" si="147"/>
        <v>0</v>
      </c>
      <c r="CN56" s="193">
        <f t="shared" si="147"/>
        <v>0</v>
      </c>
      <c r="CO56" s="194">
        <f>SUM(CC56:CN56)</f>
        <v>0</v>
      </c>
      <c r="CP56" s="193">
        <f aca="true" t="shared" si="148" ref="CP56:DA56">CO59*$B52/12</f>
        <v>0</v>
      </c>
      <c r="CQ56" s="193">
        <f t="shared" si="148"/>
        <v>0</v>
      </c>
      <c r="CR56" s="193">
        <f t="shared" si="148"/>
        <v>0</v>
      </c>
      <c r="CS56" s="193">
        <f t="shared" si="148"/>
        <v>0</v>
      </c>
      <c r="CT56" s="193">
        <f t="shared" si="148"/>
        <v>0</v>
      </c>
      <c r="CU56" s="193">
        <f t="shared" si="148"/>
        <v>0</v>
      </c>
      <c r="CV56" s="193">
        <f t="shared" si="148"/>
        <v>0</v>
      </c>
      <c r="CW56" s="193">
        <f t="shared" si="148"/>
        <v>0</v>
      </c>
      <c r="CX56" s="193">
        <f t="shared" si="148"/>
        <v>0</v>
      </c>
      <c r="CY56" s="193">
        <f t="shared" si="148"/>
        <v>0</v>
      </c>
      <c r="CZ56" s="193">
        <f t="shared" si="148"/>
        <v>0</v>
      </c>
      <c r="DA56" s="193">
        <f t="shared" si="148"/>
        <v>0</v>
      </c>
      <c r="DB56" s="194">
        <f>SUM(CP56:DA56)</f>
        <v>0</v>
      </c>
      <c r="DC56" s="193">
        <f aca="true" t="shared" si="149" ref="DC56:DN56">DB59*$B52/12</f>
        <v>0</v>
      </c>
      <c r="DD56" s="193">
        <f t="shared" si="149"/>
        <v>0</v>
      </c>
      <c r="DE56" s="193">
        <f t="shared" si="149"/>
        <v>0</v>
      </c>
      <c r="DF56" s="193">
        <f t="shared" si="149"/>
        <v>0</v>
      </c>
      <c r="DG56" s="193">
        <f t="shared" si="149"/>
        <v>0</v>
      </c>
      <c r="DH56" s="193">
        <f t="shared" si="149"/>
        <v>0</v>
      </c>
      <c r="DI56" s="193">
        <f t="shared" si="149"/>
        <v>0</v>
      </c>
      <c r="DJ56" s="193">
        <f t="shared" si="149"/>
        <v>0</v>
      </c>
      <c r="DK56" s="193">
        <f t="shared" si="149"/>
        <v>0</v>
      </c>
      <c r="DL56" s="193">
        <f t="shared" si="149"/>
        <v>0</v>
      </c>
      <c r="DM56" s="193">
        <f t="shared" si="149"/>
        <v>0</v>
      </c>
      <c r="DN56" s="193">
        <f t="shared" si="149"/>
        <v>0</v>
      </c>
      <c r="DO56" s="194">
        <f>SUM(DC56:DN56)</f>
        <v>0</v>
      </c>
    </row>
    <row r="57" spans="1:119" ht="12.75" hidden="1">
      <c r="A57" s="187" t="s">
        <v>14</v>
      </c>
      <c r="B57" s="192">
        <f>O57+AB57+AO57+BB57+BO57+CB57+CO57+DB57+DO57</f>
        <v>0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8"/>
      <c r="M57" s="198"/>
      <c r="N57" s="198"/>
      <c r="O57" s="194">
        <f>SUM(C57:N57)</f>
        <v>0</v>
      </c>
      <c r="P57" s="198"/>
      <c r="Q57" s="198"/>
      <c r="R57" s="198"/>
      <c r="S57" s="198"/>
      <c r="T57" s="198"/>
      <c r="U57" s="198"/>
      <c r="V57" s="193">
        <f aca="true" t="shared" si="150" ref="V57:AA57">$B61-V56</f>
        <v>0</v>
      </c>
      <c r="W57" s="193">
        <f t="shared" si="150"/>
        <v>0</v>
      </c>
      <c r="X57" s="193">
        <f t="shared" si="150"/>
        <v>0</v>
      </c>
      <c r="Y57" s="193">
        <f t="shared" si="150"/>
        <v>0</v>
      </c>
      <c r="Z57" s="193">
        <f t="shared" si="150"/>
        <v>0</v>
      </c>
      <c r="AA57" s="193">
        <f t="shared" si="150"/>
        <v>0</v>
      </c>
      <c r="AB57" s="194">
        <f>SUM(P57:AA57)</f>
        <v>0</v>
      </c>
      <c r="AC57" s="193">
        <f aca="true" t="shared" si="151" ref="AC57:AN57">$B61-AC56</f>
        <v>0</v>
      </c>
      <c r="AD57" s="193">
        <f t="shared" si="151"/>
        <v>0</v>
      </c>
      <c r="AE57" s="193">
        <f t="shared" si="151"/>
        <v>0</v>
      </c>
      <c r="AF57" s="193">
        <f t="shared" si="151"/>
        <v>0</v>
      </c>
      <c r="AG57" s="193">
        <f t="shared" si="151"/>
        <v>0</v>
      </c>
      <c r="AH57" s="193">
        <f t="shared" si="151"/>
        <v>0</v>
      </c>
      <c r="AI57" s="193">
        <f t="shared" si="151"/>
        <v>0</v>
      </c>
      <c r="AJ57" s="193">
        <f t="shared" si="151"/>
        <v>0</v>
      </c>
      <c r="AK57" s="193">
        <f t="shared" si="151"/>
        <v>0</v>
      </c>
      <c r="AL57" s="193">
        <f t="shared" si="151"/>
        <v>0</v>
      </c>
      <c r="AM57" s="193">
        <f t="shared" si="151"/>
        <v>0</v>
      </c>
      <c r="AN57" s="193">
        <f t="shared" si="151"/>
        <v>0</v>
      </c>
      <c r="AO57" s="194">
        <f>SUM(AC57:AN57)</f>
        <v>0</v>
      </c>
      <c r="AP57" s="193">
        <f aca="true" t="shared" si="152" ref="AP57:BA57">$B61-AP56</f>
        <v>0</v>
      </c>
      <c r="AQ57" s="193">
        <f t="shared" si="152"/>
        <v>0</v>
      </c>
      <c r="AR57" s="193">
        <f t="shared" si="152"/>
        <v>0</v>
      </c>
      <c r="AS57" s="193">
        <f t="shared" si="152"/>
        <v>0</v>
      </c>
      <c r="AT57" s="193">
        <f t="shared" si="152"/>
        <v>0</v>
      </c>
      <c r="AU57" s="193">
        <f t="shared" si="152"/>
        <v>0</v>
      </c>
      <c r="AV57" s="193">
        <f t="shared" si="152"/>
        <v>0</v>
      </c>
      <c r="AW57" s="193">
        <f t="shared" si="152"/>
        <v>0</v>
      </c>
      <c r="AX57" s="193">
        <f t="shared" si="152"/>
        <v>0</v>
      </c>
      <c r="AY57" s="193">
        <f t="shared" si="152"/>
        <v>0</v>
      </c>
      <c r="AZ57" s="193">
        <f t="shared" si="152"/>
        <v>0</v>
      </c>
      <c r="BA57" s="193">
        <f t="shared" si="152"/>
        <v>0</v>
      </c>
      <c r="BB57" s="194">
        <f>SUM(AP57:BA57)</f>
        <v>0</v>
      </c>
      <c r="BC57" s="193">
        <f aca="true" t="shared" si="153" ref="BC57:BN57">$B61-BC56</f>
        <v>0</v>
      </c>
      <c r="BD57" s="193">
        <f t="shared" si="153"/>
        <v>0</v>
      </c>
      <c r="BE57" s="193">
        <f t="shared" si="153"/>
        <v>0</v>
      </c>
      <c r="BF57" s="193">
        <f t="shared" si="153"/>
        <v>0</v>
      </c>
      <c r="BG57" s="193">
        <f t="shared" si="153"/>
        <v>0</v>
      </c>
      <c r="BH57" s="193">
        <f t="shared" si="153"/>
        <v>0</v>
      </c>
      <c r="BI57" s="193">
        <f t="shared" si="153"/>
        <v>0</v>
      </c>
      <c r="BJ57" s="193">
        <f t="shared" si="153"/>
        <v>0</v>
      </c>
      <c r="BK57" s="193">
        <f t="shared" si="153"/>
        <v>0</v>
      </c>
      <c r="BL57" s="193">
        <f t="shared" si="153"/>
        <v>0</v>
      </c>
      <c r="BM57" s="193">
        <f t="shared" si="153"/>
        <v>0</v>
      </c>
      <c r="BN57" s="193">
        <f t="shared" si="153"/>
        <v>0</v>
      </c>
      <c r="BO57" s="194">
        <f>SUM(BC57:BN57)</f>
        <v>0</v>
      </c>
      <c r="BP57" s="193">
        <f aca="true" t="shared" si="154" ref="BP57:CA57">$B61-BP56</f>
        <v>0</v>
      </c>
      <c r="BQ57" s="193">
        <f t="shared" si="154"/>
        <v>0</v>
      </c>
      <c r="BR57" s="193">
        <f t="shared" si="154"/>
        <v>0</v>
      </c>
      <c r="BS57" s="193">
        <f t="shared" si="154"/>
        <v>0</v>
      </c>
      <c r="BT57" s="193">
        <f t="shared" si="154"/>
        <v>0</v>
      </c>
      <c r="BU57" s="193">
        <f t="shared" si="154"/>
        <v>0</v>
      </c>
      <c r="BV57" s="193">
        <f t="shared" si="154"/>
        <v>0</v>
      </c>
      <c r="BW57" s="193">
        <f t="shared" si="154"/>
        <v>0</v>
      </c>
      <c r="BX57" s="193">
        <f t="shared" si="154"/>
        <v>0</v>
      </c>
      <c r="BY57" s="193">
        <f t="shared" si="154"/>
        <v>0</v>
      </c>
      <c r="BZ57" s="193">
        <f t="shared" si="154"/>
        <v>0</v>
      </c>
      <c r="CA57" s="193">
        <f t="shared" si="154"/>
        <v>0</v>
      </c>
      <c r="CB57" s="194">
        <f>SUM(BP57:CA57)</f>
        <v>0</v>
      </c>
      <c r="CC57" s="193">
        <f aca="true" t="shared" si="155" ref="CC57:CN57">$B61-CC56</f>
        <v>0</v>
      </c>
      <c r="CD57" s="193">
        <f t="shared" si="155"/>
        <v>0</v>
      </c>
      <c r="CE57" s="193">
        <f t="shared" si="155"/>
        <v>0</v>
      </c>
      <c r="CF57" s="193">
        <f t="shared" si="155"/>
        <v>0</v>
      </c>
      <c r="CG57" s="193">
        <f t="shared" si="155"/>
        <v>0</v>
      </c>
      <c r="CH57" s="193">
        <f t="shared" si="155"/>
        <v>0</v>
      </c>
      <c r="CI57" s="193">
        <f t="shared" si="155"/>
        <v>0</v>
      </c>
      <c r="CJ57" s="193">
        <f t="shared" si="155"/>
        <v>0</v>
      </c>
      <c r="CK57" s="193">
        <f t="shared" si="155"/>
        <v>0</v>
      </c>
      <c r="CL57" s="193">
        <f t="shared" si="155"/>
        <v>0</v>
      </c>
      <c r="CM57" s="193">
        <f t="shared" si="155"/>
        <v>0</v>
      </c>
      <c r="CN57" s="193">
        <f t="shared" si="155"/>
        <v>0</v>
      </c>
      <c r="CO57" s="194">
        <f>SUM(CC57:CN57)</f>
        <v>0</v>
      </c>
      <c r="CP57" s="193">
        <f aca="true" t="shared" si="156" ref="CP57:CX57">$B61-CP56</f>
        <v>0</v>
      </c>
      <c r="CQ57" s="193">
        <f t="shared" si="156"/>
        <v>0</v>
      </c>
      <c r="CR57" s="193">
        <f t="shared" si="156"/>
        <v>0</v>
      </c>
      <c r="CS57" s="193">
        <f t="shared" si="156"/>
        <v>0</v>
      </c>
      <c r="CT57" s="193">
        <f t="shared" si="156"/>
        <v>0</v>
      </c>
      <c r="CU57" s="193">
        <f t="shared" si="156"/>
        <v>0</v>
      </c>
      <c r="CV57" s="193">
        <f t="shared" si="156"/>
        <v>0</v>
      </c>
      <c r="CW57" s="193">
        <f t="shared" si="156"/>
        <v>0</v>
      </c>
      <c r="CX57" s="193">
        <f t="shared" si="156"/>
        <v>0</v>
      </c>
      <c r="CY57" s="193"/>
      <c r="CZ57" s="193"/>
      <c r="DA57" s="193"/>
      <c r="DB57" s="194">
        <f>SUM(CP57:DA57)</f>
        <v>0</v>
      </c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4">
        <f>SUM(DC57:DN57)</f>
        <v>0</v>
      </c>
    </row>
    <row r="58" spans="1:119" ht="12.75" hidden="1">
      <c r="A58" s="187" t="s">
        <v>15</v>
      </c>
      <c r="B58" s="192">
        <f>O58+AB58+AO58+BB58+BO58+CB58+CO58+DB58+DO58</f>
        <v>0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8"/>
      <c r="M58" s="198"/>
      <c r="N58" s="198"/>
      <c r="O58" s="194">
        <f>SUM(C58:N58)</f>
        <v>0</v>
      </c>
      <c r="P58" s="198"/>
      <c r="Q58" s="198"/>
      <c r="R58" s="198"/>
      <c r="S58" s="198"/>
      <c r="T58" s="198"/>
      <c r="U58" s="198"/>
      <c r="V58" s="193">
        <f aca="true" t="shared" si="157" ref="V58:AA58">V56</f>
        <v>0</v>
      </c>
      <c r="W58" s="193">
        <f t="shared" si="157"/>
        <v>0</v>
      </c>
      <c r="X58" s="193">
        <f t="shared" si="157"/>
        <v>0</v>
      </c>
      <c r="Y58" s="193">
        <f t="shared" si="157"/>
        <v>0</v>
      </c>
      <c r="Z58" s="193">
        <f t="shared" si="157"/>
        <v>0</v>
      </c>
      <c r="AA58" s="193">
        <f t="shared" si="157"/>
        <v>0</v>
      </c>
      <c r="AB58" s="194">
        <f>SUM(P58:AA58)</f>
        <v>0</v>
      </c>
      <c r="AC58" s="193">
        <f aca="true" t="shared" si="158" ref="AC58:AK58">AC56</f>
        <v>0</v>
      </c>
      <c r="AD58" s="193">
        <f t="shared" si="158"/>
        <v>0</v>
      </c>
      <c r="AE58" s="193">
        <f t="shared" si="158"/>
        <v>0</v>
      </c>
      <c r="AF58" s="193">
        <f t="shared" si="158"/>
        <v>0</v>
      </c>
      <c r="AG58" s="193">
        <f t="shared" si="158"/>
        <v>0</v>
      </c>
      <c r="AH58" s="193">
        <f t="shared" si="158"/>
        <v>0</v>
      </c>
      <c r="AI58" s="193">
        <f t="shared" si="158"/>
        <v>0</v>
      </c>
      <c r="AJ58" s="193">
        <f t="shared" si="158"/>
        <v>0</v>
      </c>
      <c r="AK58" s="193">
        <f t="shared" si="158"/>
        <v>0</v>
      </c>
      <c r="AL58" s="193">
        <f>AL56</f>
        <v>0</v>
      </c>
      <c r="AM58" s="193">
        <f>AM56</f>
        <v>0</v>
      </c>
      <c r="AN58" s="193">
        <f>AN56</f>
        <v>0</v>
      </c>
      <c r="AO58" s="194">
        <f>SUM(AC58:AN58)</f>
        <v>0</v>
      </c>
      <c r="AP58" s="193">
        <f aca="true" t="shared" si="159" ref="AP58:BA58">AP56</f>
        <v>0</v>
      </c>
      <c r="AQ58" s="193">
        <f t="shared" si="159"/>
        <v>0</v>
      </c>
      <c r="AR58" s="193">
        <f t="shared" si="159"/>
        <v>0</v>
      </c>
      <c r="AS58" s="193">
        <f t="shared" si="159"/>
        <v>0</v>
      </c>
      <c r="AT58" s="193">
        <f t="shared" si="159"/>
        <v>0</v>
      </c>
      <c r="AU58" s="193">
        <f t="shared" si="159"/>
        <v>0</v>
      </c>
      <c r="AV58" s="193">
        <f t="shared" si="159"/>
        <v>0</v>
      </c>
      <c r="AW58" s="193">
        <f t="shared" si="159"/>
        <v>0</v>
      </c>
      <c r="AX58" s="193">
        <f t="shared" si="159"/>
        <v>0</v>
      </c>
      <c r="AY58" s="193">
        <f t="shared" si="159"/>
        <v>0</v>
      </c>
      <c r="AZ58" s="193">
        <f t="shared" si="159"/>
        <v>0</v>
      </c>
      <c r="BA58" s="193">
        <f t="shared" si="159"/>
        <v>0</v>
      </c>
      <c r="BB58" s="194">
        <f>SUM(AP58:BA58)</f>
        <v>0</v>
      </c>
      <c r="BC58" s="193">
        <f aca="true" t="shared" si="160" ref="BC58:BN58">BC56</f>
        <v>0</v>
      </c>
      <c r="BD58" s="193">
        <f t="shared" si="160"/>
        <v>0</v>
      </c>
      <c r="BE58" s="193">
        <f t="shared" si="160"/>
        <v>0</v>
      </c>
      <c r="BF58" s="193">
        <f t="shared" si="160"/>
        <v>0</v>
      </c>
      <c r="BG58" s="193">
        <f t="shared" si="160"/>
        <v>0</v>
      </c>
      <c r="BH58" s="193">
        <f t="shared" si="160"/>
        <v>0</v>
      </c>
      <c r="BI58" s="193">
        <f t="shared" si="160"/>
        <v>0</v>
      </c>
      <c r="BJ58" s="193">
        <f t="shared" si="160"/>
        <v>0</v>
      </c>
      <c r="BK58" s="193">
        <f t="shared" si="160"/>
        <v>0</v>
      </c>
      <c r="BL58" s="193">
        <f t="shared" si="160"/>
        <v>0</v>
      </c>
      <c r="BM58" s="193">
        <f t="shared" si="160"/>
        <v>0</v>
      </c>
      <c r="BN58" s="193">
        <f t="shared" si="160"/>
        <v>0</v>
      </c>
      <c r="BO58" s="194">
        <f>SUM(BC58:BN58)</f>
        <v>0</v>
      </c>
      <c r="BP58" s="193">
        <f aca="true" t="shared" si="161" ref="BP58:CA58">BP56</f>
        <v>0</v>
      </c>
      <c r="BQ58" s="193">
        <f t="shared" si="161"/>
        <v>0</v>
      </c>
      <c r="BR58" s="193">
        <f t="shared" si="161"/>
        <v>0</v>
      </c>
      <c r="BS58" s="193">
        <f t="shared" si="161"/>
        <v>0</v>
      </c>
      <c r="BT58" s="193">
        <f t="shared" si="161"/>
        <v>0</v>
      </c>
      <c r="BU58" s="193">
        <f t="shared" si="161"/>
        <v>0</v>
      </c>
      <c r="BV58" s="193">
        <f t="shared" si="161"/>
        <v>0</v>
      </c>
      <c r="BW58" s="193">
        <f t="shared" si="161"/>
        <v>0</v>
      </c>
      <c r="BX58" s="193">
        <f t="shared" si="161"/>
        <v>0</v>
      </c>
      <c r="BY58" s="193">
        <f t="shared" si="161"/>
        <v>0</v>
      </c>
      <c r="BZ58" s="193">
        <f t="shared" si="161"/>
        <v>0</v>
      </c>
      <c r="CA58" s="193">
        <f t="shared" si="161"/>
        <v>0</v>
      </c>
      <c r="CB58" s="194">
        <f>SUM(BP58:CA58)</f>
        <v>0</v>
      </c>
      <c r="CC58" s="193">
        <f aca="true" t="shared" si="162" ref="CC58:CN58">CC56</f>
        <v>0</v>
      </c>
      <c r="CD58" s="193">
        <f t="shared" si="162"/>
        <v>0</v>
      </c>
      <c r="CE58" s="193">
        <f t="shared" si="162"/>
        <v>0</v>
      </c>
      <c r="CF58" s="193">
        <f t="shared" si="162"/>
        <v>0</v>
      </c>
      <c r="CG58" s="193">
        <f t="shared" si="162"/>
        <v>0</v>
      </c>
      <c r="CH58" s="193">
        <f t="shared" si="162"/>
        <v>0</v>
      </c>
      <c r="CI58" s="193">
        <f t="shared" si="162"/>
        <v>0</v>
      </c>
      <c r="CJ58" s="193">
        <f t="shared" si="162"/>
        <v>0</v>
      </c>
      <c r="CK58" s="193">
        <f t="shared" si="162"/>
        <v>0</v>
      </c>
      <c r="CL58" s="193">
        <f t="shared" si="162"/>
        <v>0</v>
      </c>
      <c r="CM58" s="193">
        <f t="shared" si="162"/>
        <v>0</v>
      </c>
      <c r="CN58" s="193">
        <f t="shared" si="162"/>
        <v>0</v>
      </c>
      <c r="CO58" s="194">
        <f>SUM(CC58:CN58)</f>
        <v>0</v>
      </c>
      <c r="CP58" s="193">
        <f aca="true" t="shared" si="163" ref="CP58:DA58">CP56</f>
        <v>0</v>
      </c>
      <c r="CQ58" s="193">
        <f t="shared" si="163"/>
        <v>0</v>
      </c>
      <c r="CR58" s="193">
        <f t="shared" si="163"/>
        <v>0</v>
      </c>
      <c r="CS58" s="193">
        <f t="shared" si="163"/>
        <v>0</v>
      </c>
      <c r="CT58" s="193">
        <f t="shared" si="163"/>
        <v>0</v>
      </c>
      <c r="CU58" s="193">
        <f t="shared" si="163"/>
        <v>0</v>
      </c>
      <c r="CV58" s="193">
        <f t="shared" si="163"/>
        <v>0</v>
      </c>
      <c r="CW58" s="193">
        <f t="shared" si="163"/>
        <v>0</v>
      </c>
      <c r="CX58" s="193">
        <f t="shared" si="163"/>
        <v>0</v>
      </c>
      <c r="CY58" s="193">
        <f t="shared" si="163"/>
        <v>0</v>
      </c>
      <c r="CZ58" s="193">
        <f t="shared" si="163"/>
        <v>0</v>
      </c>
      <c r="DA58" s="193">
        <f t="shared" si="163"/>
        <v>0</v>
      </c>
      <c r="DB58" s="194">
        <f>SUM(CP58:DA58)</f>
        <v>0</v>
      </c>
      <c r="DC58" s="193">
        <f aca="true" t="shared" si="164" ref="DC58:DN58">DC56</f>
        <v>0</v>
      </c>
      <c r="DD58" s="193">
        <f t="shared" si="164"/>
        <v>0</v>
      </c>
      <c r="DE58" s="193">
        <f t="shared" si="164"/>
        <v>0</v>
      </c>
      <c r="DF58" s="193">
        <f t="shared" si="164"/>
        <v>0</v>
      </c>
      <c r="DG58" s="193">
        <f t="shared" si="164"/>
        <v>0</v>
      </c>
      <c r="DH58" s="193">
        <f t="shared" si="164"/>
        <v>0</v>
      </c>
      <c r="DI58" s="193">
        <f t="shared" si="164"/>
        <v>0</v>
      </c>
      <c r="DJ58" s="193">
        <f t="shared" si="164"/>
        <v>0</v>
      </c>
      <c r="DK58" s="193">
        <f t="shared" si="164"/>
        <v>0</v>
      </c>
      <c r="DL58" s="193">
        <f t="shared" si="164"/>
        <v>0</v>
      </c>
      <c r="DM58" s="193">
        <f t="shared" si="164"/>
        <v>0</v>
      </c>
      <c r="DN58" s="193">
        <f t="shared" si="164"/>
        <v>0</v>
      </c>
      <c r="DO58" s="194">
        <f>SUM(DC58:DN58)</f>
        <v>0</v>
      </c>
    </row>
    <row r="59" spans="1:119" ht="12.75" hidden="1">
      <c r="A59" s="187" t="s">
        <v>16</v>
      </c>
      <c r="B59" s="192">
        <f>DO59</f>
        <v>0</v>
      </c>
      <c r="C59" s="193">
        <f>C54</f>
        <v>0</v>
      </c>
      <c r="D59" s="193">
        <f aca="true" t="shared" si="165" ref="D59:N59">C59+D54-D57+D55</f>
        <v>0</v>
      </c>
      <c r="E59" s="193">
        <f t="shared" si="165"/>
        <v>0</v>
      </c>
      <c r="F59" s="193">
        <f t="shared" si="165"/>
        <v>0</v>
      </c>
      <c r="G59" s="193">
        <f t="shared" si="165"/>
        <v>0</v>
      </c>
      <c r="H59" s="193">
        <f t="shared" si="165"/>
        <v>0</v>
      </c>
      <c r="I59" s="193">
        <f t="shared" si="165"/>
        <v>0</v>
      </c>
      <c r="J59" s="193">
        <f t="shared" si="165"/>
        <v>0</v>
      </c>
      <c r="K59" s="193">
        <f t="shared" si="165"/>
        <v>0</v>
      </c>
      <c r="L59" s="193">
        <f t="shared" si="165"/>
        <v>0</v>
      </c>
      <c r="M59" s="193">
        <f t="shared" si="165"/>
        <v>0</v>
      </c>
      <c r="N59" s="193">
        <f t="shared" si="165"/>
        <v>0</v>
      </c>
      <c r="O59" s="194">
        <f>N59</f>
        <v>0</v>
      </c>
      <c r="P59" s="193">
        <f aca="true" t="shared" si="166" ref="P59:AA59">O59+P54-P57+P55</f>
        <v>0</v>
      </c>
      <c r="Q59" s="193">
        <f t="shared" si="166"/>
        <v>0</v>
      </c>
      <c r="R59" s="193">
        <f t="shared" si="166"/>
        <v>0</v>
      </c>
      <c r="S59" s="193">
        <f t="shared" si="166"/>
        <v>0</v>
      </c>
      <c r="T59" s="193">
        <f t="shared" si="166"/>
        <v>0</v>
      </c>
      <c r="U59" s="193">
        <f t="shared" si="166"/>
        <v>0</v>
      </c>
      <c r="V59" s="193">
        <f t="shared" si="166"/>
        <v>0</v>
      </c>
      <c r="W59" s="193">
        <f t="shared" si="166"/>
        <v>0</v>
      </c>
      <c r="X59" s="193">
        <f t="shared" si="166"/>
        <v>0</v>
      </c>
      <c r="Y59" s="193">
        <f t="shared" si="166"/>
        <v>0</v>
      </c>
      <c r="Z59" s="193">
        <f t="shared" si="166"/>
        <v>0</v>
      </c>
      <c r="AA59" s="193">
        <f t="shared" si="166"/>
        <v>0</v>
      </c>
      <c r="AB59" s="194">
        <f>AA59</f>
        <v>0</v>
      </c>
      <c r="AC59" s="193">
        <f aca="true" t="shared" si="167" ref="AC59:AN59">AB59+AC54-AC57+AC55</f>
        <v>0</v>
      </c>
      <c r="AD59" s="193">
        <f t="shared" si="167"/>
        <v>0</v>
      </c>
      <c r="AE59" s="193">
        <f t="shared" si="167"/>
        <v>0</v>
      </c>
      <c r="AF59" s="193">
        <f t="shared" si="167"/>
        <v>0</v>
      </c>
      <c r="AG59" s="193">
        <f t="shared" si="167"/>
        <v>0</v>
      </c>
      <c r="AH59" s="193">
        <f t="shared" si="167"/>
        <v>0</v>
      </c>
      <c r="AI59" s="193">
        <f t="shared" si="167"/>
        <v>0</v>
      </c>
      <c r="AJ59" s="193">
        <f t="shared" si="167"/>
        <v>0</v>
      </c>
      <c r="AK59" s="193">
        <f t="shared" si="167"/>
        <v>0</v>
      </c>
      <c r="AL59" s="193">
        <f t="shared" si="167"/>
        <v>0</v>
      </c>
      <c r="AM59" s="193">
        <f t="shared" si="167"/>
        <v>0</v>
      </c>
      <c r="AN59" s="193">
        <f t="shared" si="167"/>
        <v>0</v>
      </c>
      <c r="AO59" s="194">
        <f>AN59</f>
        <v>0</v>
      </c>
      <c r="AP59" s="193">
        <f aca="true" t="shared" si="168" ref="AP59:BA59">AO59+AP54-AP57+AP55</f>
        <v>0</v>
      </c>
      <c r="AQ59" s="193">
        <f t="shared" si="168"/>
        <v>0</v>
      </c>
      <c r="AR59" s="193">
        <f t="shared" si="168"/>
        <v>0</v>
      </c>
      <c r="AS59" s="193">
        <f t="shared" si="168"/>
        <v>0</v>
      </c>
      <c r="AT59" s="193">
        <f t="shared" si="168"/>
        <v>0</v>
      </c>
      <c r="AU59" s="193">
        <f t="shared" si="168"/>
        <v>0</v>
      </c>
      <c r="AV59" s="193">
        <f t="shared" si="168"/>
        <v>0</v>
      </c>
      <c r="AW59" s="193">
        <f t="shared" si="168"/>
        <v>0</v>
      </c>
      <c r="AX59" s="193">
        <f t="shared" si="168"/>
        <v>0</v>
      </c>
      <c r="AY59" s="193">
        <f t="shared" si="168"/>
        <v>0</v>
      </c>
      <c r="AZ59" s="193">
        <f t="shared" si="168"/>
        <v>0</v>
      </c>
      <c r="BA59" s="193">
        <f t="shared" si="168"/>
        <v>0</v>
      </c>
      <c r="BB59" s="194">
        <f>BA59</f>
        <v>0</v>
      </c>
      <c r="BC59" s="193">
        <f aca="true" t="shared" si="169" ref="BC59:BN59">BB59+BC54-BC57+BC55</f>
        <v>0</v>
      </c>
      <c r="BD59" s="193">
        <f t="shared" si="169"/>
        <v>0</v>
      </c>
      <c r="BE59" s="193">
        <f t="shared" si="169"/>
        <v>0</v>
      </c>
      <c r="BF59" s="193">
        <f t="shared" si="169"/>
        <v>0</v>
      </c>
      <c r="BG59" s="193">
        <f t="shared" si="169"/>
        <v>0</v>
      </c>
      <c r="BH59" s="193">
        <f t="shared" si="169"/>
        <v>0</v>
      </c>
      <c r="BI59" s="193">
        <f t="shared" si="169"/>
        <v>0</v>
      </c>
      <c r="BJ59" s="193">
        <f t="shared" si="169"/>
        <v>0</v>
      </c>
      <c r="BK59" s="193">
        <f t="shared" si="169"/>
        <v>0</v>
      </c>
      <c r="BL59" s="193">
        <f t="shared" si="169"/>
        <v>0</v>
      </c>
      <c r="BM59" s="193">
        <f t="shared" si="169"/>
        <v>0</v>
      </c>
      <c r="BN59" s="193">
        <f t="shared" si="169"/>
        <v>0</v>
      </c>
      <c r="BO59" s="194">
        <f>BN59</f>
        <v>0</v>
      </c>
      <c r="BP59" s="193">
        <f aca="true" t="shared" si="170" ref="BP59:CA59">BO59+BP54-BP57+BP55</f>
        <v>0</v>
      </c>
      <c r="BQ59" s="193">
        <f t="shared" si="170"/>
        <v>0</v>
      </c>
      <c r="BR59" s="193">
        <f t="shared" si="170"/>
        <v>0</v>
      </c>
      <c r="BS59" s="193">
        <f t="shared" si="170"/>
        <v>0</v>
      </c>
      <c r="BT59" s="193">
        <f t="shared" si="170"/>
        <v>0</v>
      </c>
      <c r="BU59" s="193">
        <f t="shared" si="170"/>
        <v>0</v>
      </c>
      <c r="BV59" s="193">
        <f t="shared" si="170"/>
        <v>0</v>
      </c>
      <c r="BW59" s="193">
        <f t="shared" si="170"/>
        <v>0</v>
      </c>
      <c r="BX59" s="193">
        <f t="shared" si="170"/>
        <v>0</v>
      </c>
      <c r="BY59" s="193">
        <f t="shared" si="170"/>
        <v>0</v>
      </c>
      <c r="BZ59" s="193">
        <f t="shared" si="170"/>
        <v>0</v>
      </c>
      <c r="CA59" s="193">
        <f t="shared" si="170"/>
        <v>0</v>
      </c>
      <c r="CB59" s="194">
        <f>CA59</f>
        <v>0</v>
      </c>
      <c r="CC59" s="193">
        <f aca="true" t="shared" si="171" ref="CC59:CN59">CB59+CC54-CC57+CC55</f>
        <v>0</v>
      </c>
      <c r="CD59" s="193">
        <f t="shared" si="171"/>
        <v>0</v>
      </c>
      <c r="CE59" s="193">
        <f t="shared" si="171"/>
        <v>0</v>
      </c>
      <c r="CF59" s="193">
        <f t="shared" si="171"/>
        <v>0</v>
      </c>
      <c r="CG59" s="193">
        <f t="shared" si="171"/>
        <v>0</v>
      </c>
      <c r="CH59" s="193">
        <f t="shared" si="171"/>
        <v>0</v>
      </c>
      <c r="CI59" s="193">
        <f t="shared" si="171"/>
        <v>0</v>
      </c>
      <c r="CJ59" s="193">
        <f t="shared" si="171"/>
        <v>0</v>
      </c>
      <c r="CK59" s="193">
        <f t="shared" si="171"/>
        <v>0</v>
      </c>
      <c r="CL59" s="193">
        <f t="shared" si="171"/>
        <v>0</v>
      </c>
      <c r="CM59" s="193">
        <f t="shared" si="171"/>
        <v>0</v>
      </c>
      <c r="CN59" s="193">
        <f t="shared" si="171"/>
        <v>0</v>
      </c>
      <c r="CO59" s="194">
        <f>CN59</f>
        <v>0</v>
      </c>
      <c r="CP59" s="193">
        <f aca="true" t="shared" si="172" ref="CP59:DA59">CO59+CP54-CP57+CP55</f>
        <v>0</v>
      </c>
      <c r="CQ59" s="193">
        <f t="shared" si="172"/>
        <v>0</v>
      </c>
      <c r="CR59" s="193">
        <f t="shared" si="172"/>
        <v>0</v>
      </c>
      <c r="CS59" s="193">
        <f t="shared" si="172"/>
        <v>0</v>
      </c>
      <c r="CT59" s="193">
        <f t="shared" si="172"/>
        <v>0</v>
      </c>
      <c r="CU59" s="193">
        <f t="shared" si="172"/>
        <v>0</v>
      </c>
      <c r="CV59" s="193">
        <f t="shared" si="172"/>
        <v>0</v>
      </c>
      <c r="CW59" s="193">
        <f t="shared" si="172"/>
        <v>0</v>
      </c>
      <c r="CX59" s="193">
        <f t="shared" si="172"/>
        <v>0</v>
      </c>
      <c r="CY59" s="193">
        <f t="shared" si="172"/>
        <v>0</v>
      </c>
      <c r="CZ59" s="193">
        <f t="shared" si="172"/>
        <v>0</v>
      </c>
      <c r="DA59" s="193">
        <f t="shared" si="172"/>
        <v>0</v>
      </c>
      <c r="DB59" s="194">
        <f>DA59</f>
        <v>0</v>
      </c>
      <c r="DC59" s="193">
        <f aca="true" t="shared" si="173" ref="DC59:DN59">DB59+DC54-DC57+DC55</f>
        <v>0</v>
      </c>
      <c r="DD59" s="193">
        <f t="shared" si="173"/>
        <v>0</v>
      </c>
      <c r="DE59" s="193">
        <f t="shared" si="173"/>
        <v>0</v>
      </c>
      <c r="DF59" s="193">
        <f t="shared" si="173"/>
        <v>0</v>
      </c>
      <c r="DG59" s="193">
        <f t="shared" si="173"/>
        <v>0</v>
      </c>
      <c r="DH59" s="193">
        <f t="shared" si="173"/>
        <v>0</v>
      </c>
      <c r="DI59" s="193">
        <f t="shared" si="173"/>
        <v>0</v>
      </c>
      <c r="DJ59" s="193">
        <f t="shared" si="173"/>
        <v>0</v>
      </c>
      <c r="DK59" s="193">
        <f t="shared" si="173"/>
        <v>0</v>
      </c>
      <c r="DL59" s="193">
        <f t="shared" si="173"/>
        <v>0</v>
      </c>
      <c r="DM59" s="193">
        <f t="shared" si="173"/>
        <v>0</v>
      </c>
      <c r="DN59" s="193">
        <f t="shared" si="173"/>
        <v>0</v>
      </c>
      <c r="DO59" s="194">
        <f>DN59</f>
        <v>0</v>
      </c>
    </row>
    <row r="60" spans="1:119" ht="12.75" hidden="1">
      <c r="A60" s="176" t="s">
        <v>78</v>
      </c>
      <c r="B60" s="280">
        <f>Исх!$C$42*12-Исх!$C$43</f>
        <v>72</v>
      </c>
      <c r="CP60" s="179"/>
      <c r="DB60" s="176"/>
      <c r="DO60" s="176"/>
    </row>
    <row r="61" spans="1:119" ht="12.75" hidden="1">
      <c r="A61" s="283" t="s">
        <v>249</v>
      </c>
      <c r="B61" s="284">
        <f>$U$59*$B$20/12/((1-(1+$B$20/12)^-$B60))</f>
        <v>0</v>
      </c>
      <c r="DB61" s="176"/>
      <c r="DO61" s="176"/>
    </row>
    <row r="62" spans="1:119" ht="6" customHeight="1" hidden="1">
      <c r="A62" s="281"/>
      <c r="B62" s="278"/>
      <c r="DB62" s="176"/>
      <c r="DO62" s="176"/>
    </row>
    <row r="63" spans="1:119" ht="12.75" hidden="1">
      <c r="A63" s="267" t="s">
        <v>238</v>
      </c>
      <c r="DB63" s="176"/>
      <c r="DO63" s="176"/>
    </row>
    <row r="64" spans="1:119" ht="12.75" hidden="1" outlineLevel="1">
      <c r="A64" s="268">
        <f>B54+B55-B57</f>
        <v>0</v>
      </c>
      <c r="DB64" s="176"/>
      <c r="DO64" s="176"/>
    </row>
    <row r="65" spans="1:119" ht="12.75" hidden="1" outlineLevel="1">
      <c r="A65" s="268">
        <f>B56-B55-B58</f>
        <v>0</v>
      </c>
      <c r="DB65" s="176"/>
      <c r="DO65" s="176"/>
    </row>
    <row r="66" ht="12.75" collapsed="1"/>
    <row r="67" spans="1:119" ht="12.75">
      <c r="A67" s="292"/>
      <c r="B67" s="293"/>
      <c r="DB67" s="176"/>
      <c r="DO67" s="176"/>
    </row>
    <row r="68" spans="1:119" ht="15.75" customHeight="1">
      <c r="A68" s="185" t="s">
        <v>11</v>
      </c>
      <c r="B68" s="282">
        <f>Исх!$C$41</f>
        <v>0.07</v>
      </c>
      <c r="C68" s="380">
        <f>C20</f>
        <v>2014</v>
      </c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>
        <f>P20</f>
        <v>2015</v>
      </c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>
        <f>AC20</f>
        <v>2016</v>
      </c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>
        <f>AP20</f>
        <v>2017</v>
      </c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80">
        <f>BC20</f>
        <v>2018</v>
      </c>
      <c r="BD68" s="380"/>
      <c r="BE68" s="380"/>
      <c r="BF68" s="380"/>
      <c r="BG68" s="380"/>
      <c r="BH68" s="380"/>
      <c r="BI68" s="380"/>
      <c r="BJ68" s="380"/>
      <c r="BK68" s="380"/>
      <c r="BL68" s="380"/>
      <c r="BM68" s="380"/>
      <c r="BN68" s="380"/>
      <c r="BO68" s="380"/>
      <c r="BP68" s="380">
        <f>BP20</f>
        <v>2019</v>
      </c>
      <c r="BQ68" s="380"/>
      <c r="BR68" s="380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>
        <f>CC20</f>
        <v>2020</v>
      </c>
      <c r="CD68" s="380"/>
      <c r="CE68" s="380"/>
      <c r="CF68" s="380"/>
      <c r="CG68" s="380"/>
      <c r="CH68" s="380"/>
      <c r="CI68" s="380"/>
      <c r="CJ68" s="380"/>
      <c r="CK68" s="380"/>
      <c r="CL68" s="380"/>
      <c r="CM68" s="380"/>
      <c r="CN68" s="380"/>
      <c r="CO68" s="380"/>
      <c r="CP68" s="380">
        <f>CP20</f>
        <v>2021</v>
      </c>
      <c r="CQ68" s="380"/>
      <c r="CR68" s="380"/>
      <c r="CS68" s="380"/>
      <c r="CT68" s="380"/>
      <c r="CU68" s="380"/>
      <c r="CV68" s="380"/>
      <c r="CW68" s="380"/>
      <c r="CX68" s="380"/>
      <c r="CY68" s="380"/>
      <c r="CZ68" s="380"/>
      <c r="DA68" s="380"/>
      <c r="DB68" s="380"/>
      <c r="DC68" s="380">
        <v>2021</v>
      </c>
      <c r="DD68" s="380"/>
      <c r="DE68" s="380"/>
      <c r="DF68" s="380"/>
      <c r="DG68" s="380"/>
      <c r="DH68" s="380"/>
      <c r="DI68" s="380"/>
      <c r="DJ68" s="380"/>
      <c r="DK68" s="380"/>
      <c r="DL68" s="380"/>
      <c r="DM68" s="380"/>
      <c r="DN68" s="380"/>
      <c r="DO68" s="380"/>
    </row>
    <row r="69" spans="1:119" s="191" customFormat="1" ht="15" customHeight="1">
      <c r="A69" s="187" t="s">
        <v>9</v>
      </c>
      <c r="B69" s="188" t="s">
        <v>89</v>
      </c>
      <c r="C69" s="189">
        <v>1</v>
      </c>
      <c r="D69" s="189">
        <v>2</v>
      </c>
      <c r="E69" s="189">
        <f aca="true" t="shared" si="174" ref="E69:N69">D69+1</f>
        <v>3</v>
      </c>
      <c r="F69" s="189">
        <f t="shared" si="174"/>
        <v>4</v>
      </c>
      <c r="G69" s="189">
        <f t="shared" si="174"/>
        <v>5</v>
      </c>
      <c r="H69" s="189">
        <f t="shared" si="174"/>
        <v>6</v>
      </c>
      <c r="I69" s="189">
        <f t="shared" si="174"/>
        <v>7</v>
      </c>
      <c r="J69" s="189">
        <f t="shared" si="174"/>
        <v>8</v>
      </c>
      <c r="K69" s="189">
        <f t="shared" si="174"/>
        <v>9</v>
      </c>
      <c r="L69" s="189">
        <f t="shared" si="174"/>
        <v>10</v>
      </c>
      <c r="M69" s="189">
        <f t="shared" si="174"/>
        <v>11</v>
      </c>
      <c r="N69" s="189">
        <f t="shared" si="174"/>
        <v>12</v>
      </c>
      <c r="O69" s="190" t="str">
        <f>O53</f>
        <v>Итого</v>
      </c>
      <c r="P69" s="189">
        <v>1</v>
      </c>
      <c r="Q69" s="189">
        <v>2</v>
      </c>
      <c r="R69" s="189">
        <f aca="true" t="shared" si="175" ref="R69:AA69">Q69+1</f>
        <v>3</v>
      </c>
      <c r="S69" s="189">
        <f t="shared" si="175"/>
        <v>4</v>
      </c>
      <c r="T69" s="189">
        <f t="shared" si="175"/>
        <v>5</v>
      </c>
      <c r="U69" s="189">
        <f t="shared" si="175"/>
        <v>6</v>
      </c>
      <c r="V69" s="189">
        <f t="shared" si="175"/>
        <v>7</v>
      </c>
      <c r="W69" s="189">
        <f t="shared" si="175"/>
        <v>8</v>
      </c>
      <c r="X69" s="189">
        <f t="shared" si="175"/>
        <v>9</v>
      </c>
      <c r="Y69" s="189">
        <f t="shared" si="175"/>
        <v>10</v>
      </c>
      <c r="Z69" s="189">
        <f t="shared" si="175"/>
        <v>11</v>
      </c>
      <c r="AA69" s="189">
        <f t="shared" si="175"/>
        <v>12</v>
      </c>
      <c r="AB69" s="190" t="str">
        <f>AB53</f>
        <v>Итого</v>
      </c>
      <c r="AC69" s="189">
        <v>1</v>
      </c>
      <c r="AD69" s="189">
        <v>2</v>
      </c>
      <c r="AE69" s="189">
        <f aca="true" t="shared" si="176" ref="AE69:AN69">AD69+1</f>
        <v>3</v>
      </c>
      <c r="AF69" s="189">
        <f t="shared" si="176"/>
        <v>4</v>
      </c>
      <c r="AG69" s="189">
        <f t="shared" si="176"/>
        <v>5</v>
      </c>
      <c r="AH69" s="189">
        <f t="shared" si="176"/>
        <v>6</v>
      </c>
      <c r="AI69" s="189">
        <f t="shared" si="176"/>
        <v>7</v>
      </c>
      <c r="AJ69" s="189">
        <f t="shared" si="176"/>
        <v>8</v>
      </c>
      <c r="AK69" s="189">
        <f t="shared" si="176"/>
        <v>9</v>
      </c>
      <c r="AL69" s="189">
        <f t="shared" si="176"/>
        <v>10</v>
      </c>
      <c r="AM69" s="189">
        <f t="shared" si="176"/>
        <v>11</v>
      </c>
      <c r="AN69" s="189">
        <f t="shared" si="176"/>
        <v>12</v>
      </c>
      <c r="AO69" s="190" t="str">
        <f>AO53</f>
        <v>Итого</v>
      </c>
      <c r="AP69" s="189">
        <v>1</v>
      </c>
      <c r="AQ69" s="189">
        <v>2</v>
      </c>
      <c r="AR69" s="189">
        <f aca="true" t="shared" si="177" ref="AR69:BA69">AQ69+1</f>
        <v>3</v>
      </c>
      <c r="AS69" s="189">
        <f t="shared" si="177"/>
        <v>4</v>
      </c>
      <c r="AT69" s="189">
        <f t="shared" si="177"/>
        <v>5</v>
      </c>
      <c r="AU69" s="189">
        <f t="shared" si="177"/>
        <v>6</v>
      </c>
      <c r="AV69" s="189">
        <f t="shared" si="177"/>
        <v>7</v>
      </c>
      <c r="AW69" s="189">
        <f t="shared" si="177"/>
        <v>8</v>
      </c>
      <c r="AX69" s="189">
        <f t="shared" si="177"/>
        <v>9</v>
      </c>
      <c r="AY69" s="189">
        <f t="shared" si="177"/>
        <v>10</v>
      </c>
      <c r="AZ69" s="189">
        <f t="shared" si="177"/>
        <v>11</v>
      </c>
      <c r="BA69" s="189">
        <f t="shared" si="177"/>
        <v>12</v>
      </c>
      <c r="BB69" s="190" t="str">
        <f>BB53</f>
        <v>Итого</v>
      </c>
      <c r="BC69" s="189">
        <v>1</v>
      </c>
      <c r="BD69" s="189">
        <v>2</v>
      </c>
      <c r="BE69" s="189">
        <f aca="true" t="shared" si="178" ref="BE69:BN69">BD69+1</f>
        <v>3</v>
      </c>
      <c r="BF69" s="189">
        <f t="shared" si="178"/>
        <v>4</v>
      </c>
      <c r="BG69" s="189">
        <f t="shared" si="178"/>
        <v>5</v>
      </c>
      <c r="BH69" s="189">
        <f t="shared" si="178"/>
        <v>6</v>
      </c>
      <c r="BI69" s="189">
        <f t="shared" si="178"/>
        <v>7</v>
      </c>
      <c r="BJ69" s="189">
        <f t="shared" si="178"/>
        <v>8</v>
      </c>
      <c r="BK69" s="189">
        <f t="shared" si="178"/>
        <v>9</v>
      </c>
      <c r="BL69" s="189">
        <f t="shared" si="178"/>
        <v>10</v>
      </c>
      <c r="BM69" s="189">
        <f t="shared" si="178"/>
        <v>11</v>
      </c>
      <c r="BN69" s="189">
        <f t="shared" si="178"/>
        <v>12</v>
      </c>
      <c r="BO69" s="190" t="str">
        <f>BO53</f>
        <v>Итого</v>
      </c>
      <c r="BP69" s="189">
        <v>1</v>
      </c>
      <c r="BQ69" s="189">
        <v>2</v>
      </c>
      <c r="BR69" s="189">
        <f aca="true" t="shared" si="179" ref="BR69:CA69">BQ69+1</f>
        <v>3</v>
      </c>
      <c r="BS69" s="189">
        <f t="shared" si="179"/>
        <v>4</v>
      </c>
      <c r="BT69" s="189">
        <f t="shared" si="179"/>
        <v>5</v>
      </c>
      <c r="BU69" s="189">
        <f t="shared" si="179"/>
        <v>6</v>
      </c>
      <c r="BV69" s="189">
        <f t="shared" si="179"/>
        <v>7</v>
      </c>
      <c r="BW69" s="189">
        <f t="shared" si="179"/>
        <v>8</v>
      </c>
      <c r="BX69" s="189">
        <f t="shared" si="179"/>
        <v>9</v>
      </c>
      <c r="BY69" s="189">
        <f t="shared" si="179"/>
        <v>10</v>
      </c>
      <c r="BZ69" s="189">
        <f t="shared" si="179"/>
        <v>11</v>
      </c>
      <c r="CA69" s="189">
        <f t="shared" si="179"/>
        <v>12</v>
      </c>
      <c r="CB69" s="190" t="str">
        <f>CB53</f>
        <v>Итого</v>
      </c>
      <c r="CC69" s="189">
        <v>1</v>
      </c>
      <c r="CD69" s="189">
        <v>2</v>
      </c>
      <c r="CE69" s="189">
        <f aca="true" t="shared" si="180" ref="CE69:CN69">CD69+1</f>
        <v>3</v>
      </c>
      <c r="CF69" s="189">
        <f t="shared" si="180"/>
        <v>4</v>
      </c>
      <c r="CG69" s="189">
        <f t="shared" si="180"/>
        <v>5</v>
      </c>
      <c r="CH69" s="189">
        <f t="shared" si="180"/>
        <v>6</v>
      </c>
      <c r="CI69" s="189">
        <f t="shared" si="180"/>
        <v>7</v>
      </c>
      <c r="CJ69" s="189">
        <f t="shared" si="180"/>
        <v>8</v>
      </c>
      <c r="CK69" s="189">
        <f t="shared" si="180"/>
        <v>9</v>
      </c>
      <c r="CL69" s="189">
        <f t="shared" si="180"/>
        <v>10</v>
      </c>
      <c r="CM69" s="189">
        <f t="shared" si="180"/>
        <v>11</v>
      </c>
      <c r="CN69" s="189">
        <f t="shared" si="180"/>
        <v>12</v>
      </c>
      <c r="CO69" s="190" t="str">
        <f>CO53</f>
        <v>Итого</v>
      </c>
      <c r="CP69" s="189">
        <v>1</v>
      </c>
      <c r="CQ69" s="189">
        <f aca="true" t="shared" si="181" ref="CQ69:DA69">CP69+1</f>
        <v>2</v>
      </c>
      <c r="CR69" s="189">
        <f t="shared" si="181"/>
        <v>3</v>
      </c>
      <c r="CS69" s="189">
        <f t="shared" si="181"/>
        <v>4</v>
      </c>
      <c r="CT69" s="189">
        <f t="shared" si="181"/>
        <v>5</v>
      </c>
      <c r="CU69" s="189">
        <f t="shared" si="181"/>
        <v>6</v>
      </c>
      <c r="CV69" s="189">
        <f t="shared" si="181"/>
        <v>7</v>
      </c>
      <c r="CW69" s="189">
        <f t="shared" si="181"/>
        <v>8</v>
      </c>
      <c r="CX69" s="189">
        <f t="shared" si="181"/>
        <v>9</v>
      </c>
      <c r="CY69" s="189">
        <f t="shared" si="181"/>
        <v>10</v>
      </c>
      <c r="CZ69" s="189">
        <f t="shared" si="181"/>
        <v>11</v>
      </c>
      <c r="DA69" s="189">
        <f t="shared" si="181"/>
        <v>12</v>
      </c>
      <c r="DB69" s="190" t="str">
        <f>DB53</f>
        <v>Итого</v>
      </c>
      <c r="DC69" s="189">
        <v>1</v>
      </c>
      <c r="DD69" s="189">
        <f aca="true" t="shared" si="182" ref="DD69:DN69">DC69+1</f>
        <v>2</v>
      </c>
      <c r="DE69" s="189">
        <f t="shared" si="182"/>
        <v>3</v>
      </c>
      <c r="DF69" s="189">
        <f t="shared" si="182"/>
        <v>4</v>
      </c>
      <c r="DG69" s="189">
        <f t="shared" si="182"/>
        <v>5</v>
      </c>
      <c r="DH69" s="189">
        <f t="shared" si="182"/>
        <v>6</v>
      </c>
      <c r="DI69" s="189">
        <f t="shared" si="182"/>
        <v>7</v>
      </c>
      <c r="DJ69" s="189">
        <f t="shared" si="182"/>
        <v>8</v>
      </c>
      <c r="DK69" s="189">
        <f t="shared" si="182"/>
        <v>9</v>
      </c>
      <c r="DL69" s="189">
        <f t="shared" si="182"/>
        <v>10</v>
      </c>
      <c r="DM69" s="189">
        <f t="shared" si="182"/>
        <v>11</v>
      </c>
      <c r="DN69" s="189">
        <f t="shared" si="182"/>
        <v>12</v>
      </c>
      <c r="DO69" s="190" t="s">
        <v>0</v>
      </c>
    </row>
    <row r="70" spans="1:119" ht="12.75">
      <c r="A70" s="187" t="s">
        <v>106</v>
      </c>
      <c r="B70" s="192">
        <f>O70+AB70+AO70+BB70+BO70+CB70+CO70+DB70+DO70</f>
        <v>1237032.02252</v>
      </c>
      <c r="C70" s="193"/>
      <c r="D70" s="193"/>
      <c r="E70" s="193"/>
      <c r="F70" s="193">
        <f>'1-Ф3'!G$31</f>
        <v>114591.64500000002</v>
      </c>
      <c r="G70" s="193">
        <f>'1-Ф3'!H$31</f>
        <v>114591.64500000002</v>
      </c>
      <c r="H70" s="193">
        <f>'1-Ф3'!I$31</f>
        <v>308051.9315066667</v>
      </c>
      <c r="I70" s="193">
        <f>'1-Ф3'!J$31</f>
        <v>114591.64500000002</v>
      </c>
      <c r="J70" s="193">
        <f>'1-Ф3'!K$31</f>
        <v>308051.9315066667</v>
      </c>
      <c r="K70" s="193">
        <f>'1-Ф3'!L$31</f>
        <v>0</v>
      </c>
      <c r="L70" s="193">
        <f>'1-Ф3'!M$31</f>
        <v>193460.2865066667</v>
      </c>
      <c r="M70" s="193">
        <f>'1-Ф3'!N$31</f>
        <v>14832.3844</v>
      </c>
      <c r="N70" s="193">
        <f>'1-Ф3'!O$31</f>
        <v>68860.5536</v>
      </c>
      <c r="O70" s="194">
        <f>SUM(C70:N70)</f>
        <v>1237032.02252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>
        <f>SUM(P70:AA70)</f>
        <v>0</v>
      </c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>
        <f>SUM(AC70:AN70)</f>
        <v>0</v>
      </c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</row>
    <row r="71" spans="1:119" s="196" customFormat="1" ht="20.25" customHeight="1">
      <c r="A71" s="187" t="s">
        <v>31</v>
      </c>
      <c r="B71" s="192">
        <f>O71+AB71+AO71+BB71+BO71+CB71+CO71+DB71+DO71</f>
        <v>33682.280172800005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>
        <f>SUM(F72:N72)</f>
        <v>33682.280172800005</v>
      </c>
      <c r="O71" s="194">
        <f>SUM(C71:N71)</f>
        <v>33682.280172800005</v>
      </c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4">
        <f>SUM(P71:AA71)</f>
        <v>0</v>
      </c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4">
        <f>SUM(AC71:AN71)</f>
        <v>0</v>
      </c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4">
        <f>SUM(AP71:BA71)</f>
        <v>0</v>
      </c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4">
        <f>SUM(BC71:BN71)</f>
        <v>0</v>
      </c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4">
        <f>SUM(BP71:CA71)</f>
        <v>0</v>
      </c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4">
        <f>SUM(CC71:CN71)</f>
        <v>0</v>
      </c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4">
        <f>SUM(CP71:DA71)</f>
        <v>0</v>
      </c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4">
        <f>SUM(DC71:DN71)</f>
        <v>0</v>
      </c>
    </row>
    <row r="72" spans="1:119" s="196" customFormat="1" ht="12.75">
      <c r="A72" s="197" t="s">
        <v>13</v>
      </c>
      <c r="B72" s="192">
        <f>O72+AB72+AO72+BB72+BO72+CB72+CO72+DB72+DO72</f>
        <v>322805.9561656431</v>
      </c>
      <c r="C72" s="193"/>
      <c r="D72" s="193">
        <f aca="true" t="shared" si="183" ref="D72:N72">C75*$B68/12</f>
        <v>0</v>
      </c>
      <c r="E72" s="193">
        <f t="shared" si="183"/>
        <v>0</v>
      </c>
      <c r="F72" s="193">
        <f t="shared" si="183"/>
        <v>0</v>
      </c>
      <c r="G72" s="193">
        <f t="shared" si="183"/>
        <v>668.4512625000001</v>
      </c>
      <c r="H72" s="193">
        <f t="shared" si="183"/>
        <v>1336.9025250000002</v>
      </c>
      <c r="I72" s="193">
        <f t="shared" si="183"/>
        <v>3133.872125455556</v>
      </c>
      <c r="J72" s="193">
        <f t="shared" si="183"/>
        <v>3802.323387955557</v>
      </c>
      <c r="K72" s="193">
        <f t="shared" si="183"/>
        <v>5599.292988411112</v>
      </c>
      <c r="L72" s="193">
        <f t="shared" si="183"/>
        <v>5599.292988411112</v>
      </c>
      <c r="M72" s="193">
        <f t="shared" si="183"/>
        <v>6727.811326366667</v>
      </c>
      <c r="N72" s="193">
        <f t="shared" si="183"/>
        <v>6814.333568700001</v>
      </c>
      <c r="O72" s="194">
        <f>SUM(C72:N72)</f>
        <v>33682.280172800005</v>
      </c>
      <c r="P72" s="193">
        <f aca="true" t="shared" si="184" ref="P72:AA72">O75*$B68/12</f>
        <v>7412.500099041335</v>
      </c>
      <c r="Q72" s="193">
        <f t="shared" si="184"/>
        <v>7329.363920790379</v>
      </c>
      <c r="R72" s="193">
        <f t="shared" si="184"/>
        <v>7245.742781499625</v>
      </c>
      <c r="S72" s="193">
        <f t="shared" si="184"/>
        <v>7161.6338522296755</v>
      </c>
      <c r="T72" s="193">
        <f t="shared" si="184"/>
        <v>7077.034287538986</v>
      </c>
      <c r="U72" s="193">
        <f t="shared" si="184"/>
        <v>6991.941225387599</v>
      </c>
      <c r="V72" s="193">
        <f t="shared" si="184"/>
        <v>6906.3517870403275</v>
      </c>
      <c r="W72" s="193">
        <f t="shared" si="184"/>
        <v>6820.263076969365</v>
      </c>
      <c r="X72" s="193">
        <f t="shared" si="184"/>
        <v>6733.672182756322</v>
      </c>
      <c r="Y72" s="193">
        <f t="shared" si="184"/>
        <v>6646.576174993704</v>
      </c>
      <c r="Z72" s="193">
        <f t="shared" si="184"/>
        <v>6558.972107185803</v>
      </c>
      <c r="AA72" s="193">
        <f t="shared" si="184"/>
        <v>6470.857015649023</v>
      </c>
      <c r="AB72" s="194">
        <f>SUM(P72:AA72)</f>
        <v>83354.90851108215</v>
      </c>
      <c r="AC72" s="193">
        <f aca="true" t="shared" si="185" ref="AC72:AN72">AB75*$B68/12</f>
        <v>6382.22791941161</v>
      </c>
      <c r="AD72" s="193">
        <f t="shared" si="185"/>
        <v>6293.081820112814</v>
      </c>
      <c r="AE72" s="193">
        <f t="shared" si="185"/>
        <v>6203.415701901442</v>
      </c>
      <c r="AF72" s="193">
        <f t="shared" si="185"/>
        <v>6113.226531333836</v>
      </c>
      <c r="AG72" s="193">
        <f t="shared" si="185"/>
        <v>6022.511257271252</v>
      </c>
      <c r="AH72" s="193">
        <f t="shared" si="185"/>
        <v>5931.266810776637</v>
      </c>
      <c r="AI72" s="193">
        <f t="shared" si="185"/>
        <v>5839.490105010803</v>
      </c>
      <c r="AJ72" s="193">
        <f t="shared" si="185"/>
        <v>5747.178035128002</v>
      </c>
      <c r="AK72" s="193">
        <f t="shared" si="185"/>
        <v>5654.327478170885</v>
      </c>
      <c r="AL72" s="193">
        <f t="shared" si="185"/>
        <v>5560.935292964851</v>
      </c>
      <c r="AM72" s="193">
        <f t="shared" si="185"/>
        <v>5466.998320011782</v>
      </c>
      <c r="AN72" s="193">
        <f t="shared" si="185"/>
        <v>5372.513381383153</v>
      </c>
      <c r="AO72" s="194">
        <f>SUM(AC72:AN72)</f>
        <v>70587.17265347706</v>
      </c>
      <c r="AP72" s="193">
        <f aca="true" t="shared" si="186" ref="AP72:BA72">AO75*$B68/12</f>
        <v>5277.477280612524</v>
      </c>
      <c r="AQ72" s="193">
        <f t="shared" si="186"/>
        <v>5181.886802587399</v>
      </c>
      <c r="AR72" s="193">
        <f t="shared" si="186"/>
        <v>5085.738713440462</v>
      </c>
      <c r="AS72" s="193">
        <f t="shared" si="186"/>
        <v>4989.029760440167</v>
      </c>
      <c r="AT72" s="193">
        <f t="shared" si="186"/>
        <v>4891.756671880704</v>
      </c>
      <c r="AU72" s="193">
        <f t="shared" si="186"/>
        <v>4793.916156971311</v>
      </c>
      <c r="AV72" s="193">
        <f t="shared" si="186"/>
        <v>4695.504905724946</v>
      </c>
      <c r="AW72" s="193">
        <f t="shared" si="186"/>
        <v>4596.51958884631</v>
      </c>
      <c r="AX72" s="193">
        <f t="shared" si="186"/>
        <v>4496.956857619217</v>
      </c>
      <c r="AY72" s="193">
        <f t="shared" si="186"/>
        <v>4396.813343793298</v>
      </c>
      <c r="AZ72" s="193">
        <f t="shared" si="186"/>
        <v>4296.085659470061</v>
      </c>
      <c r="BA72" s="193">
        <f t="shared" si="186"/>
        <v>4194.770396988272</v>
      </c>
      <c r="BB72" s="194">
        <f>SUM(AP72:BA72)</f>
        <v>56896.45613837467</v>
      </c>
      <c r="BC72" s="193">
        <f aca="true" t="shared" si="187" ref="BC72:BN72">BB75*$B68/12</f>
        <v>4092.864128808673</v>
      </c>
      <c r="BD72" s="193">
        <f t="shared" si="187"/>
        <v>3990.3634073980265</v>
      </c>
      <c r="BE72" s="193">
        <f t="shared" si="187"/>
        <v>3887.264765112484</v>
      </c>
      <c r="BF72" s="193">
        <f t="shared" si="187"/>
        <v>3783.5647140802757</v>
      </c>
      <c r="BG72" s="193">
        <f t="shared" si="187"/>
        <v>3679.2597460837133</v>
      </c>
      <c r="BH72" s="193">
        <f t="shared" si="187"/>
        <v>3574.3463324405043</v>
      </c>
      <c r="BI72" s="193">
        <f t="shared" si="187"/>
        <v>3468.820923884376</v>
      </c>
      <c r="BJ72" s="193">
        <f t="shared" si="187"/>
        <v>3362.6799504450046</v>
      </c>
      <c r="BK72" s="193">
        <f t="shared" si="187"/>
        <v>3255.919821327236</v>
      </c>
      <c r="BL72" s="193">
        <f t="shared" si="187"/>
        <v>3148.536924789614</v>
      </c>
      <c r="BM72" s="193">
        <f t="shared" si="187"/>
        <v>3040.5276280221897</v>
      </c>
      <c r="BN72" s="193">
        <f t="shared" si="187"/>
        <v>2931.8882770236214</v>
      </c>
      <c r="BO72" s="194">
        <f>SUM(BC72:BN72)</f>
        <v>42216.036619415725</v>
      </c>
      <c r="BP72" s="193">
        <f aca="true" t="shared" si="188" ref="BP72:CA72">BO75*$B68/12</f>
        <v>2822.6151964775618</v>
      </c>
      <c r="BQ72" s="193">
        <f t="shared" si="188"/>
        <v>2712.7046896283164</v>
      </c>
      <c r="BR72" s="193">
        <f t="shared" si="188"/>
        <v>2602.153038155784</v>
      </c>
      <c r="BS72" s="193">
        <f t="shared" si="188"/>
        <v>2490.956502049662</v>
      </c>
      <c r="BT72" s="193">
        <f t="shared" si="188"/>
        <v>2379.111319482921</v>
      </c>
      <c r="BU72" s="193">
        <f t="shared" si="188"/>
        <v>2266.6137066845404</v>
      </c>
      <c r="BV72" s="193">
        <f t="shared" si="188"/>
        <v>2153.459857811503</v>
      </c>
      <c r="BW72" s="193">
        <f t="shared" si="188"/>
        <v>2039.6459448200387</v>
      </c>
      <c r="BX72" s="193">
        <f t="shared" si="188"/>
        <v>1925.168117336125</v>
      </c>
      <c r="BY72" s="193">
        <f t="shared" si="188"/>
        <v>1810.0225025252214</v>
      </c>
      <c r="BZ72" s="193">
        <f t="shared" si="188"/>
        <v>1694.2052049612546</v>
      </c>
      <c r="CA72" s="193">
        <f t="shared" si="188"/>
        <v>1577.712306494831</v>
      </c>
      <c r="CB72" s="194">
        <f>SUM(BP72:CA72)</f>
        <v>26474.368386427763</v>
      </c>
      <c r="CC72" s="193">
        <f aca="true" t="shared" si="189" ref="CC72:CN72">CB75*$B68/12</f>
        <v>1460.5398661206866</v>
      </c>
      <c r="CD72" s="193">
        <f t="shared" si="189"/>
        <v>1342.68391984436</v>
      </c>
      <c r="CE72" s="193">
        <f t="shared" si="189"/>
        <v>1224.140480548088</v>
      </c>
      <c r="CF72" s="193">
        <f t="shared" si="189"/>
        <v>1104.905537855921</v>
      </c>
      <c r="CG72" s="193">
        <f t="shared" si="189"/>
        <v>984.9750579980497</v>
      </c>
      <c r="CH72" s="193">
        <f t="shared" si="189"/>
        <v>864.3449836743407</v>
      </c>
      <c r="CI72" s="193">
        <f t="shared" si="189"/>
        <v>743.0112339170769</v>
      </c>
      <c r="CJ72" s="193">
        <f t="shared" si="189"/>
        <v>620.9697039528957</v>
      </c>
      <c r="CK72" s="193">
        <f t="shared" si="189"/>
        <v>498.21626506392334</v>
      </c>
      <c r="CL72" s="193">
        <f t="shared" si="189"/>
        <v>374.7467644480987</v>
      </c>
      <c r="CM72" s="193">
        <f t="shared" si="189"/>
        <v>250.55702507868182</v>
      </c>
      <c r="CN72" s="193">
        <f t="shared" si="189"/>
        <v>125.64284556294326</v>
      </c>
      <c r="CO72" s="194">
        <f>SUM(CC72:CN72)</f>
        <v>9594.733684065068</v>
      </c>
      <c r="CP72" s="193">
        <f aca="true" t="shared" si="190" ref="CP72:DA72">CO75*$B68/12</f>
        <v>2.960405254270882E-11</v>
      </c>
      <c r="CQ72" s="193">
        <f t="shared" si="190"/>
        <v>2.960405254270882E-11</v>
      </c>
      <c r="CR72" s="193">
        <f t="shared" si="190"/>
        <v>2.960405254270882E-11</v>
      </c>
      <c r="CS72" s="193">
        <f t="shared" si="190"/>
        <v>2.960405254270882E-11</v>
      </c>
      <c r="CT72" s="193">
        <f t="shared" si="190"/>
        <v>2.960405254270882E-11</v>
      </c>
      <c r="CU72" s="193">
        <f t="shared" si="190"/>
        <v>2.960405254270882E-11</v>
      </c>
      <c r="CV72" s="193">
        <f t="shared" si="190"/>
        <v>2.960405254270882E-11</v>
      </c>
      <c r="CW72" s="193">
        <f t="shared" si="190"/>
        <v>2.960405254270882E-11</v>
      </c>
      <c r="CX72" s="193">
        <f t="shared" si="190"/>
        <v>2.960405254270882E-11</v>
      </c>
      <c r="CY72" s="193">
        <f t="shared" si="190"/>
        <v>2.960405254270882E-11</v>
      </c>
      <c r="CZ72" s="193">
        <f t="shared" si="190"/>
        <v>2.960405254270882E-11</v>
      </c>
      <c r="DA72" s="193">
        <f t="shared" si="190"/>
        <v>2.960405254270882E-11</v>
      </c>
      <c r="DB72" s="194">
        <f>SUM(CP72:DA72)</f>
        <v>3.5524863051250584E-10</v>
      </c>
      <c r="DC72" s="193">
        <f aca="true" t="shared" si="191" ref="DC72:DN72">DB75*$B68/12</f>
        <v>2.960405254270882E-11</v>
      </c>
      <c r="DD72" s="193">
        <f t="shared" si="191"/>
        <v>2.960405254270882E-11</v>
      </c>
      <c r="DE72" s="193">
        <f t="shared" si="191"/>
        <v>2.960405254270882E-11</v>
      </c>
      <c r="DF72" s="193">
        <f t="shared" si="191"/>
        <v>2.960405254270882E-11</v>
      </c>
      <c r="DG72" s="193">
        <f t="shared" si="191"/>
        <v>2.960405254270882E-11</v>
      </c>
      <c r="DH72" s="193">
        <f t="shared" si="191"/>
        <v>2.960405254270882E-11</v>
      </c>
      <c r="DI72" s="193">
        <f t="shared" si="191"/>
        <v>2.960405254270882E-11</v>
      </c>
      <c r="DJ72" s="193">
        <f t="shared" si="191"/>
        <v>2.960405254270882E-11</v>
      </c>
      <c r="DK72" s="193">
        <f t="shared" si="191"/>
        <v>2.960405254270882E-11</v>
      </c>
      <c r="DL72" s="193">
        <f t="shared" si="191"/>
        <v>2.960405254270882E-11</v>
      </c>
      <c r="DM72" s="193">
        <f t="shared" si="191"/>
        <v>2.960405254270882E-11</v>
      </c>
      <c r="DN72" s="193">
        <f t="shared" si="191"/>
        <v>2.960405254270882E-11</v>
      </c>
      <c r="DO72" s="194">
        <f>SUM(DC72:DN72)</f>
        <v>3.5524863051250584E-10</v>
      </c>
    </row>
    <row r="73" spans="1:119" ht="12.75">
      <c r="A73" s="187" t="s">
        <v>14</v>
      </c>
      <c r="B73" s="192">
        <f>O73+AB73+AO73+BB73+BO73+CB73+CO73+DB73+DO73</f>
        <v>1270714.3026927952</v>
      </c>
      <c r="C73" s="193"/>
      <c r="D73" s="193"/>
      <c r="E73" s="193"/>
      <c r="F73" s="198"/>
      <c r="G73" s="198"/>
      <c r="H73" s="198"/>
      <c r="I73" s="198"/>
      <c r="J73" s="198"/>
      <c r="K73" s="198"/>
      <c r="L73" s="198"/>
      <c r="M73" s="198"/>
      <c r="N73" s="198"/>
      <c r="O73" s="194">
        <f>SUM(C73:N73)</f>
        <v>0</v>
      </c>
      <c r="P73" s="193">
        <f aca="true" t="shared" si="192" ref="P73:V73">$B77-P72</f>
        <v>14251.91627159252</v>
      </c>
      <c r="Q73" s="193">
        <f t="shared" si="192"/>
        <v>14335.052449843475</v>
      </c>
      <c r="R73" s="193">
        <f t="shared" si="192"/>
        <v>14418.673589134229</v>
      </c>
      <c r="S73" s="193">
        <f t="shared" si="192"/>
        <v>14502.78251840418</v>
      </c>
      <c r="T73" s="193">
        <f t="shared" si="192"/>
        <v>14587.382083094868</v>
      </c>
      <c r="U73" s="193">
        <f t="shared" si="192"/>
        <v>14672.475145246255</v>
      </c>
      <c r="V73" s="193">
        <f t="shared" si="192"/>
        <v>14758.064583593528</v>
      </c>
      <c r="W73" s="193">
        <f>$B77-W72</f>
        <v>14844.15329366449</v>
      </c>
      <c r="X73" s="193">
        <f>$B77-X72</f>
        <v>14930.744187877532</v>
      </c>
      <c r="Y73" s="193">
        <f>$B77-Y72</f>
        <v>15017.84019564015</v>
      </c>
      <c r="Z73" s="193">
        <f>$B77-Z72</f>
        <v>15105.444263448051</v>
      </c>
      <c r="AA73" s="193">
        <f>$B77-AA72</f>
        <v>15193.55935498483</v>
      </c>
      <c r="AB73" s="194">
        <f>SUM(P73:AA73)</f>
        <v>176618.08793652413</v>
      </c>
      <c r="AC73" s="193">
        <f aca="true" t="shared" si="193" ref="AC73:AN73">$B77-AC72</f>
        <v>15282.188451222246</v>
      </c>
      <c r="AD73" s="193">
        <f t="shared" si="193"/>
        <v>15371.334550521042</v>
      </c>
      <c r="AE73" s="193">
        <f t="shared" si="193"/>
        <v>15461.000668732413</v>
      </c>
      <c r="AF73" s="193">
        <f t="shared" si="193"/>
        <v>15551.18983930002</v>
      </c>
      <c r="AG73" s="193">
        <f t="shared" si="193"/>
        <v>15641.905113362602</v>
      </c>
      <c r="AH73" s="193">
        <f t="shared" si="193"/>
        <v>15733.149559857218</v>
      </c>
      <c r="AI73" s="193">
        <f t="shared" si="193"/>
        <v>15824.926265623053</v>
      </c>
      <c r="AJ73" s="193">
        <f t="shared" si="193"/>
        <v>15917.238335505852</v>
      </c>
      <c r="AK73" s="193">
        <f t="shared" si="193"/>
        <v>16010.088892462969</v>
      </c>
      <c r="AL73" s="193">
        <f t="shared" si="193"/>
        <v>16103.481077669003</v>
      </c>
      <c r="AM73" s="193">
        <f t="shared" si="193"/>
        <v>16197.418050622073</v>
      </c>
      <c r="AN73" s="193">
        <f t="shared" si="193"/>
        <v>16291.902989250702</v>
      </c>
      <c r="AO73" s="194">
        <f>SUM(AC73:AN73)</f>
        <v>189385.8237941292</v>
      </c>
      <c r="AP73" s="193">
        <f aca="true" t="shared" si="194" ref="AP73:BA73">$B77-AP72</f>
        <v>16386.939090021333</v>
      </c>
      <c r="AQ73" s="193">
        <f t="shared" si="194"/>
        <v>16482.529568046455</v>
      </c>
      <c r="AR73" s="193">
        <f t="shared" si="194"/>
        <v>16578.677657193395</v>
      </c>
      <c r="AS73" s="193">
        <f t="shared" si="194"/>
        <v>16675.386610193687</v>
      </c>
      <c r="AT73" s="193">
        <f t="shared" si="194"/>
        <v>16772.659698753152</v>
      </c>
      <c r="AU73" s="193">
        <f t="shared" si="194"/>
        <v>16870.500213662544</v>
      </c>
      <c r="AV73" s="193">
        <f t="shared" si="194"/>
        <v>16968.91146490891</v>
      </c>
      <c r="AW73" s="193">
        <f t="shared" si="194"/>
        <v>17067.896781787545</v>
      </c>
      <c r="AX73" s="193">
        <f t="shared" si="194"/>
        <v>17167.459513014637</v>
      </c>
      <c r="AY73" s="193">
        <f t="shared" si="194"/>
        <v>17267.603026840556</v>
      </c>
      <c r="AZ73" s="193">
        <f t="shared" si="194"/>
        <v>17368.330711163795</v>
      </c>
      <c r="BA73" s="193">
        <f t="shared" si="194"/>
        <v>17469.645973645584</v>
      </c>
      <c r="BB73" s="194">
        <f>SUM(AP73:BA73)</f>
        <v>203076.54030923158</v>
      </c>
      <c r="BC73" s="193">
        <f aca="true" t="shared" si="195" ref="BC73:BN73">$B77-BC72</f>
        <v>17571.552241825182</v>
      </c>
      <c r="BD73" s="193">
        <f t="shared" si="195"/>
        <v>17674.05296323583</v>
      </c>
      <c r="BE73" s="193">
        <f t="shared" si="195"/>
        <v>17777.151605521372</v>
      </c>
      <c r="BF73" s="193">
        <f t="shared" si="195"/>
        <v>17880.85165655358</v>
      </c>
      <c r="BG73" s="193">
        <f t="shared" si="195"/>
        <v>17985.15662455014</v>
      </c>
      <c r="BH73" s="193">
        <f t="shared" si="195"/>
        <v>18090.07003819335</v>
      </c>
      <c r="BI73" s="193">
        <f t="shared" si="195"/>
        <v>18195.595446749478</v>
      </c>
      <c r="BJ73" s="193">
        <f t="shared" si="195"/>
        <v>18301.73642018885</v>
      </c>
      <c r="BK73" s="193">
        <f t="shared" si="195"/>
        <v>18408.49654930662</v>
      </c>
      <c r="BL73" s="193">
        <f t="shared" si="195"/>
        <v>18515.879445844243</v>
      </c>
      <c r="BM73" s="193">
        <f t="shared" si="195"/>
        <v>18623.888742611663</v>
      </c>
      <c r="BN73" s="193">
        <f t="shared" si="195"/>
        <v>18732.528093610235</v>
      </c>
      <c r="BO73" s="194">
        <f>SUM(BC73:BN73)</f>
        <v>217756.95982819056</v>
      </c>
      <c r="BP73" s="193">
        <f aca="true" t="shared" si="196" ref="BP73:CA73">$B77-BP72</f>
        <v>18841.801174156295</v>
      </c>
      <c r="BQ73" s="193">
        <f t="shared" si="196"/>
        <v>18951.711681005538</v>
      </c>
      <c r="BR73" s="193">
        <f t="shared" si="196"/>
        <v>19062.26333247807</v>
      </c>
      <c r="BS73" s="193">
        <f t="shared" si="196"/>
        <v>19173.459868584192</v>
      </c>
      <c r="BT73" s="193">
        <f t="shared" si="196"/>
        <v>19285.305051150935</v>
      </c>
      <c r="BU73" s="193">
        <f t="shared" si="196"/>
        <v>19397.802663949315</v>
      </c>
      <c r="BV73" s="193">
        <f t="shared" si="196"/>
        <v>19510.95651282235</v>
      </c>
      <c r="BW73" s="193">
        <f t="shared" si="196"/>
        <v>19624.770425813815</v>
      </c>
      <c r="BX73" s="193">
        <f t="shared" si="196"/>
        <v>19739.24825329773</v>
      </c>
      <c r="BY73" s="193">
        <f t="shared" si="196"/>
        <v>19854.393868108633</v>
      </c>
      <c r="BZ73" s="193">
        <f t="shared" si="196"/>
        <v>19970.2111656726</v>
      </c>
      <c r="CA73" s="193">
        <f t="shared" si="196"/>
        <v>20086.704064139023</v>
      </c>
      <c r="CB73" s="194">
        <f>SUM(BP73:CA73)</f>
        <v>233498.62806117852</v>
      </c>
      <c r="CC73" s="193">
        <f aca="true" t="shared" si="197" ref="CC73:CN73">$B77-CC72</f>
        <v>20203.87650451317</v>
      </c>
      <c r="CD73" s="193">
        <f t="shared" si="197"/>
        <v>20321.732450789495</v>
      </c>
      <c r="CE73" s="193">
        <f t="shared" si="197"/>
        <v>20440.275890085766</v>
      </c>
      <c r="CF73" s="193">
        <f t="shared" si="197"/>
        <v>20559.510832777934</v>
      </c>
      <c r="CG73" s="193">
        <f t="shared" si="197"/>
        <v>20679.441312635805</v>
      </c>
      <c r="CH73" s="193">
        <f t="shared" si="197"/>
        <v>20800.071386959513</v>
      </c>
      <c r="CI73" s="193">
        <f t="shared" si="197"/>
        <v>20921.405136716778</v>
      </c>
      <c r="CJ73" s="193">
        <f t="shared" si="197"/>
        <v>21043.44666668096</v>
      </c>
      <c r="CK73" s="193">
        <f t="shared" si="197"/>
        <v>21166.200105569933</v>
      </c>
      <c r="CL73" s="193">
        <f t="shared" si="197"/>
        <v>21289.669606185755</v>
      </c>
      <c r="CM73" s="193">
        <f t="shared" si="197"/>
        <v>21413.859345555175</v>
      </c>
      <c r="CN73" s="193">
        <f t="shared" si="197"/>
        <v>21538.773525070912</v>
      </c>
      <c r="CO73" s="194">
        <f>SUM(CC73:CN73)</f>
        <v>250378.2627635412</v>
      </c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4">
        <f>SUM(CP73:DA73)</f>
        <v>0</v>
      </c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4">
        <f>SUM(DC73:DN73)</f>
        <v>0</v>
      </c>
    </row>
    <row r="74" spans="1:119" ht="12.75">
      <c r="A74" s="187" t="s">
        <v>15</v>
      </c>
      <c r="B74" s="192">
        <f>O74+AB74+AO74+BB74+BO74+CB74+CO74+DB74+DO74</f>
        <v>289123.6759928431</v>
      </c>
      <c r="C74" s="193"/>
      <c r="D74" s="193"/>
      <c r="E74" s="193"/>
      <c r="F74" s="198"/>
      <c r="G74" s="198"/>
      <c r="H74" s="198"/>
      <c r="I74" s="198"/>
      <c r="J74" s="198"/>
      <c r="K74" s="198"/>
      <c r="L74" s="198"/>
      <c r="M74" s="198"/>
      <c r="N74" s="198"/>
      <c r="O74" s="194">
        <f>SUM(C74:N74)</f>
        <v>0</v>
      </c>
      <c r="P74" s="193">
        <f aca="true" t="shared" si="198" ref="P74:V74">P72</f>
        <v>7412.500099041335</v>
      </c>
      <c r="Q74" s="193">
        <f t="shared" si="198"/>
        <v>7329.363920790379</v>
      </c>
      <c r="R74" s="193">
        <f t="shared" si="198"/>
        <v>7245.742781499625</v>
      </c>
      <c r="S74" s="193">
        <f t="shared" si="198"/>
        <v>7161.6338522296755</v>
      </c>
      <c r="T74" s="193">
        <f t="shared" si="198"/>
        <v>7077.034287538986</v>
      </c>
      <c r="U74" s="193">
        <f t="shared" si="198"/>
        <v>6991.941225387599</v>
      </c>
      <c r="V74" s="193">
        <f t="shared" si="198"/>
        <v>6906.3517870403275</v>
      </c>
      <c r="W74" s="193">
        <f>W72</f>
        <v>6820.263076969365</v>
      </c>
      <c r="X74" s="193">
        <f>X72</f>
        <v>6733.672182756322</v>
      </c>
      <c r="Y74" s="193">
        <f>Y72</f>
        <v>6646.576174993704</v>
      </c>
      <c r="Z74" s="193">
        <f>Z72</f>
        <v>6558.972107185803</v>
      </c>
      <c r="AA74" s="193">
        <f>AA72</f>
        <v>6470.857015649023</v>
      </c>
      <c r="AB74" s="194">
        <f>SUM(P74:AA74)</f>
        <v>83354.90851108215</v>
      </c>
      <c r="AC74" s="193">
        <f aca="true" t="shared" si="199" ref="AC74:AK74">AC72</f>
        <v>6382.22791941161</v>
      </c>
      <c r="AD74" s="193">
        <f t="shared" si="199"/>
        <v>6293.081820112814</v>
      </c>
      <c r="AE74" s="193">
        <f t="shared" si="199"/>
        <v>6203.415701901442</v>
      </c>
      <c r="AF74" s="193">
        <f t="shared" si="199"/>
        <v>6113.226531333836</v>
      </c>
      <c r="AG74" s="193">
        <f t="shared" si="199"/>
        <v>6022.511257271252</v>
      </c>
      <c r="AH74" s="193">
        <f t="shared" si="199"/>
        <v>5931.266810776637</v>
      </c>
      <c r="AI74" s="193">
        <f t="shared" si="199"/>
        <v>5839.490105010803</v>
      </c>
      <c r="AJ74" s="193">
        <f t="shared" si="199"/>
        <v>5747.178035128002</v>
      </c>
      <c r="AK74" s="193">
        <f t="shared" si="199"/>
        <v>5654.327478170885</v>
      </c>
      <c r="AL74" s="193">
        <f>AL72</f>
        <v>5560.935292964851</v>
      </c>
      <c r="AM74" s="193">
        <f>AM72</f>
        <v>5466.998320011782</v>
      </c>
      <c r="AN74" s="193">
        <f>AN72</f>
        <v>5372.513381383153</v>
      </c>
      <c r="AO74" s="194">
        <f>SUM(AC74:AN74)</f>
        <v>70587.17265347706</v>
      </c>
      <c r="AP74" s="193">
        <f aca="true" t="shared" si="200" ref="AP74:BA74">AP72</f>
        <v>5277.477280612524</v>
      </c>
      <c r="AQ74" s="193">
        <f t="shared" si="200"/>
        <v>5181.886802587399</v>
      </c>
      <c r="AR74" s="193">
        <f t="shared" si="200"/>
        <v>5085.738713440462</v>
      </c>
      <c r="AS74" s="193">
        <f t="shared" si="200"/>
        <v>4989.029760440167</v>
      </c>
      <c r="AT74" s="193">
        <f t="shared" si="200"/>
        <v>4891.756671880704</v>
      </c>
      <c r="AU74" s="193">
        <f t="shared" si="200"/>
        <v>4793.916156971311</v>
      </c>
      <c r="AV74" s="193">
        <f t="shared" si="200"/>
        <v>4695.504905724946</v>
      </c>
      <c r="AW74" s="193">
        <f t="shared" si="200"/>
        <v>4596.51958884631</v>
      </c>
      <c r="AX74" s="193">
        <f t="shared" si="200"/>
        <v>4496.956857619217</v>
      </c>
      <c r="AY74" s="193">
        <f t="shared" si="200"/>
        <v>4396.813343793298</v>
      </c>
      <c r="AZ74" s="193">
        <f t="shared" si="200"/>
        <v>4296.085659470061</v>
      </c>
      <c r="BA74" s="193">
        <f t="shared" si="200"/>
        <v>4194.770396988272</v>
      </c>
      <c r="BB74" s="194">
        <f>SUM(AP74:BA74)</f>
        <v>56896.45613837467</v>
      </c>
      <c r="BC74" s="193">
        <f aca="true" t="shared" si="201" ref="BC74:BN74">BC72</f>
        <v>4092.864128808673</v>
      </c>
      <c r="BD74" s="193">
        <f t="shared" si="201"/>
        <v>3990.3634073980265</v>
      </c>
      <c r="BE74" s="193">
        <f t="shared" si="201"/>
        <v>3887.264765112484</v>
      </c>
      <c r="BF74" s="193">
        <f t="shared" si="201"/>
        <v>3783.5647140802757</v>
      </c>
      <c r="BG74" s="193">
        <f t="shared" si="201"/>
        <v>3679.2597460837133</v>
      </c>
      <c r="BH74" s="193">
        <f t="shared" si="201"/>
        <v>3574.3463324405043</v>
      </c>
      <c r="BI74" s="193">
        <f t="shared" si="201"/>
        <v>3468.820923884376</v>
      </c>
      <c r="BJ74" s="193">
        <f t="shared" si="201"/>
        <v>3362.6799504450046</v>
      </c>
      <c r="BK74" s="193">
        <f t="shared" si="201"/>
        <v>3255.919821327236</v>
      </c>
      <c r="BL74" s="193">
        <f t="shared" si="201"/>
        <v>3148.536924789614</v>
      </c>
      <c r="BM74" s="193">
        <f t="shared" si="201"/>
        <v>3040.5276280221897</v>
      </c>
      <c r="BN74" s="193">
        <f t="shared" si="201"/>
        <v>2931.8882770236214</v>
      </c>
      <c r="BO74" s="194">
        <f>SUM(BC74:BN74)</f>
        <v>42216.036619415725</v>
      </c>
      <c r="BP74" s="193">
        <f aca="true" t="shared" si="202" ref="BP74:CA74">BP72</f>
        <v>2822.6151964775618</v>
      </c>
      <c r="BQ74" s="193">
        <f t="shared" si="202"/>
        <v>2712.7046896283164</v>
      </c>
      <c r="BR74" s="193">
        <f t="shared" si="202"/>
        <v>2602.153038155784</v>
      </c>
      <c r="BS74" s="193">
        <f t="shared" si="202"/>
        <v>2490.956502049662</v>
      </c>
      <c r="BT74" s="193">
        <f t="shared" si="202"/>
        <v>2379.111319482921</v>
      </c>
      <c r="BU74" s="193">
        <f t="shared" si="202"/>
        <v>2266.6137066845404</v>
      </c>
      <c r="BV74" s="193">
        <f t="shared" si="202"/>
        <v>2153.459857811503</v>
      </c>
      <c r="BW74" s="193">
        <f t="shared" si="202"/>
        <v>2039.6459448200387</v>
      </c>
      <c r="BX74" s="193">
        <f t="shared" si="202"/>
        <v>1925.168117336125</v>
      </c>
      <c r="BY74" s="193">
        <f t="shared" si="202"/>
        <v>1810.0225025252214</v>
      </c>
      <c r="BZ74" s="193">
        <f t="shared" si="202"/>
        <v>1694.2052049612546</v>
      </c>
      <c r="CA74" s="193">
        <f t="shared" si="202"/>
        <v>1577.712306494831</v>
      </c>
      <c r="CB74" s="194">
        <f>SUM(BP74:CA74)</f>
        <v>26474.368386427763</v>
      </c>
      <c r="CC74" s="193">
        <f aca="true" t="shared" si="203" ref="CC74:CN74">CC72</f>
        <v>1460.5398661206866</v>
      </c>
      <c r="CD74" s="193">
        <f t="shared" si="203"/>
        <v>1342.68391984436</v>
      </c>
      <c r="CE74" s="193">
        <f t="shared" si="203"/>
        <v>1224.140480548088</v>
      </c>
      <c r="CF74" s="193">
        <f t="shared" si="203"/>
        <v>1104.905537855921</v>
      </c>
      <c r="CG74" s="193">
        <f t="shared" si="203"/>
        <v>984.9750579980497</v>
      </c>
      <c r="CH74" s="193">
        <f t="shared" si="203"/>
        <v>864.3449836743407</v>
      </c>
      <c r="CI74" s="193">
        <f t="shared" si="203"/>
        <v>743.0112339170769</v>
      </c>
      <c r="CJ74" s="193">
        <f t="shared" si="203"/>
        <v>620.9697039528957</v>
      </c>
      <c r="CK74" s="193">
        <f t="shared" si="203"/>
        <v>498.21626506392334</v>
      </c>
      <c r="CL74" s="193">
        <f t="shared" si="203"/>
        <v>374.7467644480987</v>
      </c>
      <c r="CM74" s="193">
        <f t="shared" si="203"/>
        <v>250.55702507868182</v>
      </c>
      <c r="CN74" s="193">
        <f t="shared" si="203"/>
        <v>125.64284556294326</v>
      </c>
      <c r="CO74" s="194">
        <f>SUM(CC74:CN74)</f>
        <v>9594.733684065068</v>
      </c>
      <c r="CP74" s="193">
        <f aca="true" t="shared" si="204" ref="CP74:DA74">CP72</f>
        <v>2.960405254270882E-11</v>
      </c>
      <c r="CQ74" s="193">
        <f t="shared" si="204"/>
        <v>2.960405254270882E-11</v>
      </c>
      <c r="CR74" s="193">
        <f t="shared" si="204"/>
        <v>2.960405254270882E-11</v>
      </c>
      <c r="CS74" s="193">
        <f t="shared" si="204"/>
        <v>2.960405254270882E-11</v>
      </c>
      <c r="CT74" s="193">
        <f t="shared" si="204"/>
        <v>2.960405254270882E-11</v>
      </c>
      <c r="CU74" s="193">
        <f t="shared" si="204"/>
        <v>2.960405254270882E-11</v>
      </c>
      <c r="CV74" s="193">
        <f t="shared" si="204"/>
        <v>2.960405254270882E-11</v>
      </c>
      <c r="CW74" s="193">
        <f t="shared" si="204"/>
        <v>2.960405254270882E-11</v>
      </c>
      <c r="CX74" s="193">
        <f t="shared" si="204"/>
        <v>2.960405254270882E-11</v>
      </c>
      <c r="CY74" s="193">
        <f t="shared" si="204"/>
        <v>2.960405254270882E-11</v>
      </c>
      <c r="CZ74" s="193">
        <f t="shared" si="204"/>
        <v>2.960405254270882E-11</v>
      </c>
      <c r="DA74" s="193">
        <f t="shared" si="204"/>
        <v>2.960405254270882E-11</v>
      </c>
      <c r="DB74" s="194">
        <f>SUM(CP74:DA74)</f>
        <v>3.5524863051250584E-10</v>
      </c>
      <c r="DC74" s="193">
        <f aca="true" t="shared" si="205" ref="DC74:DN74">DC72</f>
        <v>2.960405254270882E-11</v>
      </c>
      <c r="DD74" s="193">
        <f t="shared" si="205"/>
        <v>2.960405254270882E-11</v>
      </c>
      <c r="DE74" s="193">
        <f t="shared" si="205"/>
        <v>2.960405254270882E-11</v>
      </c>
      <c r="DF74" s="193">
        <f t="shared" si="205"/>
        <v>2.960405254270882E-11</v>
      </c>
      <c r="DG74" s="193">
        <f t="shared" si="205"/>
        <v>2.960405254270882E-11</v>
      </c>
      <c r="DH74" s="193">
        <f t="shared" si="205"/>
        <v>2.960405254270882E-11</v>
      </c>
      <c r="DI74" s="193">
        <f t="shared" si="205"/>
        <v>2.960405254270882E-11</v>
      </c>
      <c r="DJ74" s="193">
        <f t="shared" si="205"/>
        <v>2.960405254270882E-11</v>
      </c>
      <c r="DK74" s="193">
        <f t="shared" si="205"/>
        <v>2.960405254270882E-11</v>
      </c>
      <c r="DL74" s="193">
        <f t="shared" si="205"/>
        <v>2.960405254270882E-11</v>
      </c>
      <c r="DM74" s="193">
        <f t="shared" si="205"/>
        <v>2.960405254270882E-11</v>
      </c>
      <c r="DN74" s="193">
        <f t="shared" si="205"/>
        <v>2.960405254270882E-11</v>
      </c>
      <c r="DO74" s="194">
        <f>SUM(DC74:DN74)</f>
        <v>3.5524863051250584E-10</v>
      </c>
    </row>
    <row r="75" spans="1:119" ht="12.75">
      <c r="A75" s="187" t="s">
        <v>16</v>
      </c>
      <c r="B75" s="192">
        <f>DO75</f>
        <v>5.0749804358929396E-09</v>
      </c>
      <c r="C75" s="193">
        <f>C70</f>
        <v>0</v>
      </c>
      <c r="D75" s="193">
        <f aca="true" t="shared" si="206" ref="D75:N75">C75+D70-D73+D71</f>
        <v>0</v>
      </c>
      <c r="E75" s="193">
        <f t="shared" si="206"/>
        <v>0</v>
      </c>
      <c r="F75" s="193">
        <f t="shared" si="206"/>
        <v>114591.64500000002</v>
      </c>
      <c r="G75" s="193">
        <f t="shared" si="206"/>
        <v>229183.29000000004</v>
      </c>
      <c r="H75" s="193">
        <f t="shared" si="206"/>
        <v>537235.2215066667</v>
      </c>
      <c r="I75" s="193">
        <f t="shared" si="206"/>
        <v>651826.8665066668</v>
      </c>
      <c r="J75" s="193">
        <f t="shared" si="206"/>
        <v>959878.7980133335</v>
      </c>
      <c r="K75" s="193">
        <f t="shared" si="206"/>
        <v>959878.7980133335</v>
      </c>
      <c r="L75" s="193">
        <f t="shared" si="206"/>
        <v>1153339.08452</v>
      </c>
      <c r="M75" s="193">
        <f t="shared" si="206"/>
        <v>1168171.4689200001</v>
      </c>
      <c r="N75" s="193">
        <f t="shared" si="206"/>
        <v>1270714.3026928</v>
      </c>
      <c r="O75" s="194">
        <f>N75</f>
        <v>1270714.3026928</v>
      </c>
      <c r="P75" s="193">
        <f aca="true" t="shared" si="207" ref="P75:AA75">O75+P70-P73+P71</f>
        <v>1256462.3864212076</v>
      </c>
      <c r="Q75" s="193">
        <f t="shared" si="207"/>
        <v>1242127.3339713642</v>
      </c>
      <c r="R75" s="193">
        <f t="shared" si="207"/>
        <v>1227708.66038223</v>
      </c>
      <c r="S75" s="193">
        <f t="shared" si="207"/>
        <v>1213205.877863826</v>
      </c>
      <c r="T75" s="193">
        <f t="shared" si="207"/>
        <v>1198618.495780731</v>
      </c>
      <c r="U75" s="193">
        <f t="shared" si="207"/>
        <v>1183946.0206354847</v>
      </c>
      <c r="V75" s="193">
        <f t="shared" si="207"/>
        <v>1169187.9560518912</v>
      </c>
      <c r="W75" s="193">
        <f t="shared" si="207"/>
        <v>1154343.8027582266</v>
      </c>
      <c r="X75" s="193">
        <f t="shared" si="207"/>
        <v>1139413.0585703491</v>
      </c>
      <c r="Y75" s="193">
        <f t="shared" si="207"/>
        <v>1124395.218374709</v>
      </c>
      <c r="Z75" s="193">
        <f t="shared" si="207"/>
        <v>1109289.774111261</v>
      </c>
      <c r="AA75" s="193">
        <f t="shared" si="207"/>
        <v>1094096.214756276</v>
      </c>
      <c r="AB75" s="194">
        <f>AA75</f>
        <v>1094096.214756276</v>
      </c>
      <c r="AC75" s="193">
        <f aca="true" t="shared" si="208" ref="AC75:AN75">AB75+AC70-AC73+AC71</f>
        <v>1078814.0263050538</v>
      </c>
      <c r="AD75" s="193">
        <f t="shared" si="208"/>
        <v>1063442.6917545327</v>
      </c>
      <c r="AE75" s="193">
        <f t="shared" si="208"/>
        <v>1047981.6910858003</v>
      </c>
      <c r="AF75" s="193">
        <f t="shared" si="208"/>
        <v>1032430.5012465003</v>
      </c>
      <c r="AG75" s="193">
        <f t="shared" si="208"/>
        <v>1016788.5961331377</v>
      </c>
      <c r="AH75" s="193">
        <f t="shared" si="208"/>
        <v>1001055.4465732805</v>
      </c>
      <c r="AI75" s="193">
        <f t="shared" si="208"/>
        <v>985230.5203076574</v>
      </c>
      <c r="AJ75" s="193">
        <f t="shared" si="208"/>
        <v>969313.2819721516</v>
      </c>
      <c r="AK75" s="193">
        <f t="shared" si="208"/>
        <v>953303.1930796886</v>
      </c>
      <c r="AL75" s="193">
        <f t="shared" si="208"/>
        <v>937199.7120020196</v>
      </c>
      <c r="AM75" s="193">
        <f t="shared" si="208"/>
        <v>921002.2939513975</v>
      </c>
      <c r="AN75" s="193">
        <f t="shared" si="208"/>
        <v>904710.3909621468</v>
      </c>
      <c r="AO75" s="194">
        <f>AN75</f>
        <v>904710.3909621468</v>
      </c>
      <c r="AP75" s="193">
        <f aca="true" t="shared" si="209" ref="AP75:BA75">AO75+AP70-AP73+AP71</f>
        <v>888323.4518721255</v>
      </c>
      <c r="AQ75" s="193">
        <f t="shared" si="209"/>
        <v>871840.922304079</v>
      </c>
      <c r="AR75" s="193">
        <f t="shared" si="209"/>
        <v>855262.2446468857</v>
      </c>
      <c r="AS75" s="193">
        <f t="shared" si="209"/>
        <v>838586.858036692</v>
      </c>
      <c r="AT75" s="193">
        <f t="shared" si="209"/>
        <v>821814.1983379389</v>
      </c>
      <c r="AU75" s="193">
        <f t="shared" si="209"/>
        <v>804943.6981242764</v>
      </c>
      <c r="AV75" s="193">
        <f t="shared" si="209"/>
        <v>787974.7866593675</v>
      </c>
      <c r="AW75" s="193">
        <f t="shared" si="209"/>
        <v>770906.88987758</v>
      </c>
      <c r="AX75" s="193">
        <f t="shared" si="209"/>
        <v>753739.4303645653</v>
      </c>
      <c r="AY75" s="193">
        <f t="shared" si="209"/>
        <v>736471.8273377247</v>
      </c>
      <c r="AZ75" s="193">
        <f t="shared" si="209"/>
        <v>719103.4966265609</v>
      </c>
      <c r="BA75" s="193">
        <f t="shared" si="209"/>
        <v>701633.8506529153</v>
      </c>
      <c r="BB75" s="194">
        <f>BA75</f>
        <v>701633.8506529153</v>
      </c>
      <c r="BC75" s="193">
        <f aca="true" t="shared" si="210" ref="BC75:BN75">BB75+BC70-BC73+BC71</f>
        <v>684062.2984110902</v>
      </c>
      <c r="BD75" s="193">
        <f t="shared" si="210"/>
        <v>666388.2454478543</v>
      </c>
      <c r="BE75" s="193">
        <f t="shared" si="210"/>
        <v>648611.093842333</v>
      </c>
      <c r="BF75" s="193">
        <f t="shared" si="210"/>
        <v>630730.2421857794</v>
      </c>
      <c r="BG75" s="193">
        <f t="shared" si="210"/>
        <v>612745.0855612293</v>
      </c>
      <c r="BH75" s="193">
        <f t="shared" si="210"/>
        <v>594655.0155230359</v>
      </c>
      <c r="BI75" s="193">
        <f t="shared" si="210"/>
        <v>576459.4200762864</v>
      </c>
      <c r="BJ75" s="193">
        <f t="shared" si="210"/>
        <v>558157.6836560976</v>
      </c>
      <c r="BK75" s="193">
        <f t="shared" si="210"/>
        <v>539749.187106791</v>
      </c>
      <c r="BL75" s="193">
        <f t="shared" si="210"/>
        <v>521233.30766094674</v>
      </c>
      <c r="BM75" s="193">
        <f t="shared" si="210"/>
        <v>502609.41891833505</v>
      </c>
      <c r="BN75" s="193">
        <f t="shared" si="210"/>
        <v>483876.8908247248</v>
      </c>
      <c r="BO75" s="194">
        <f>BN75</f>
        <v>483876.8908247248</v>
      </c>
      <c r="BP75" s="193">
        <f aca="true" t="shared" si="211" ref="BP75:CA75">BO75+BP70-BP73+BP71</f>
        <v>465035.0896505685</v>
      </c>
      <c r="BQ75" s="193">
        <f t="shared" si="211"/>
        <v>446083.37796956295</v>
      </c>
      <c r="BR75" s="193">
        <f t="shared" si="211"/>
        <v>427021.1146370849</v>
      </c>
      <c r="BS75" s="193">
        <f t="shared" si="211"/>
        <v>407847.6547685007</v>
      </c>
      <c r="BT75" s="193">
        <f t="shared" si="211"/>
        <v>388562.34971734975</v>
      </c>
      <c r="BU75" s="193">
        <f t="shared" si="211"/>
        <v>369164.5470534004</v>
      </c>
      <c r="BV75" s="193">
        <f t="shared" si="211"/>
        <v>349653.59054057806</v>
      </c>
      <c r="BW75" s="193">
        <f t="shared" si="211"/>
        <v>330028.82011476427</v>
      </c>
      <c r="BX75" s="193">
        <f t="shared" si="211"/>
        <v>310289.5718614665</v>
      </c>
      <c r="BY75" s="193">
        <f t="shared" si="211"/>
        <v>290435.1779933579</v>
      </c>
      <c r="BZ75" s="193">
        <f t="shared" si="211"/>
        <v>270464.9668276853</v>
      </c>
      <c r="CA75" s="193">
        <f t="shared" si="211"/>
        <v>250378.26276354628</v>
      </c>
      <c r="CB75" s="194">
        <f>CA75</f>
        <v>250378.26276354628</v>
      </c>
      <c r="CC75" s="193">
        <f aca="true" t="shared" si="212" ref="CC75:CN75">CB75+CC70-CC73+CC71</f>
        <v>230174.3862590331</v>
      </c>
      <c r="CD75" s="193">
        <f t="shared" si="212"/>
        <v>209852.65380824363</v>
      </c>
      <c r="CE75" s="193">
        <f t="shared" si="212"/>
        <v>189412.37791815787</v>
      </c>
      <c r="CF75" s="193">
        <f t="shared" si="212"/>
        <v>168852.86708537993</v>
      </c>
      <c r="CG75" s="193">
        <f t="shared" si="212"/>
        <v>148173.4257727441</v>
      </c>
      <c r="CH75" s="193">
        <f t="shared" si="212"/>
        <v>127373.3543857846</v>
      </c>
      <c r="CI75" s="193">
        <f t="shared" si="212"/>
        <v>106451.94924906781</v>
      </c>
      <c r="CJ75" s="193">
        <f t="shared" si="212"/>
        <v>85408.50258238685</v>
      </c>
      <c r="CK75" s="193">
        <f t="shared" si="212"/>
        <v>64242.30247681691</v>
      </c>
      <c r="CL75" s="193">
        <f t="shared" si="212"/>
        <v>42952.63287063116</v>
      </c>
      <c r="CM75" s="193">
        <f t="shared" si="212"/>
        <v>21538.773525075987</v>
      </c>
      <c r="CN75" s="193">
        <f t="shared" si="212"/>
        <v>5.0749804358929396E-09</v>
      </c>
      <c r="CO75" s="194">
        <f>CN75</f>
        <v>5.0749804358929396E-09</v>
      </c>
      <c r="CP75" s="193">
        <f aca="true" t="shared" si="213" ref="CP75:DA75">CO75+CP70-CP73+CP71</f>
        <v>5.0749804358929396E-09</v>
      </c>
      <c r="CQ75" s="193">
        <f t="shared" si="213"/>
        <v>5.0749804358929396E-09</v>
      </c>
      <c r="CR75" s="193">
        <f t="shared" si="213"/>
        <v>5.0749804358929396E-09</v>
      </c>
      <c r="CS75" s="193">
        <f t="shared" si="213"/>
        <v>5.0749804358929396E-09</v>
      </c>
      <c r="CT75" s="193">
        <f t="shared" si="213"/>
        <v>5.0749804358929396E-09</v>
      </c>
      <c r="CU75" s="193">
        <f t="shared" si="213"/>
        <v>5.0749804358929396E-09</v>
      </c>
      <c r="CV75" s="193">
        <f t="shared" si="213"/>
        <v>5.0749804358929396E-09</v>
      </c>
      <c r="CW75" s="193">
        <f t="shared" si="213"/>
        <v>5.0749804358929396E-09</v>
      </c>
      <c r="CX75" s="193">
        <f t="shared" si="213"/>
        <v>5.0749804358929396E-09</v>
      </c>
      <c r="CY75" s="193">
        <f t="shared" si="213"/>
        <v>5.0749804358929396E-09</v>
      </c>
      <c r="CZ75" s="193">
        <f t="shared" si="213"/>
        <v>5.0749804358929396E-09</v>
      </c>
      <c r="DA75" s="193">
        <f t="shared" si="213"/>
        <v>5.0749804358929396E-09</v>
      </c>
      <c r="DB75" s="194">
        <f>DA75</f>
        <v>5.0749804358929396E-09</v>
      </c>
      <c r="DC75" s="193">
        <f aca="true" t="shared" si="214" ref="DC75:DN75">DB75+DC70-DC73+DC71</f>
        <v>5.0749804358929396E-09</v>
      </c>
      <c r="DD75" s="193">
        <f t="shared" si="214"/>
        <v>5.0749804358929396E-09</v>
      </c>
      <c r="DE75" s="193">
        <f t="shared" si="214"/>
        <v>5.0749804358929396E-09</v>
      </c>
      <c r="DF75" s="193">
        <f t="shared" si="214"/>
        <v>5.0749804358929396E-09</v>
      </c>
      <c r="DG75" s="193">
        <f t="shared" si="214"/>
        <v>5.0749804358929396E-09</v>
      </c>
      <c r="DH75" s="193">
        <f t="shared" si="214"/>
        <v>5.0749804358929396E-09</v>
      </c>
      <c r="DI75" s="193">
        <f t="shared" si="214"/>
        <v>5.0749804358929396E-09</v>
      </c>
      <c r="DJ75" s="193">
        <f t="shared" si="214"/>
        <v>5.0749804358929396E-09</v>
      </c>
      <c r="DK75" s="193">
        <f t="shared" si="214"/>
        <v>5.0749804358929396E-09</v>
      </c>
      <c r="DL75" s="193">
        <f t="shared" si="214"/>
        <v>5.0749804358929396E-09</v>
      </c>
      <c r="DM75" s="193">
        <f t="shared" si="214"/>
        <v>5.0749804358929396E-09</v>
      </c>
      <c r="DN75" s="193">
        <f t="shared" si="214"/>
        <v>5.0749804358929396E-09</v>
      </c>
      <c r="DO75" s="194">
        <f>DN75</f>
        <v>5.0749804358929396E-09</v>
      </c>
    </row>
    <row r="76" spans="1:119" ht="12.75">
      <c r="A76" s="176" t="s">
        <v>78</v>
      </c>
      <c r="B76" s="280">
        <f>Исх!$C$42*12-Исх!$C$43</f>
        <v>72</v>
      </c>
      <c r="CP76" s="179"/>
      <c r="DB76" s="176"/>
      <c r="DO76" s="176"/>
    </row>
    <row r="77" spans="1:119" ht="12.75">
      <c r="A77" s="283" t="s">
        <v>249</v>
      </c>
      <c r="B77" s="284">
        <f>$O$75*$B$20/12/((1-(1+$B$20/12)^-$B76))</f>
        <v>21664.416370633855</v>
      </c>
      <c r="DB77" s="176"/>
      <c r="DO77" s="176"/>
    </row>
    <row r="78" spans="1:119" ht="6" customHeight="1">
      <c r="A78" s="281"/>
      <c r="B78" s="278"/>
      <c r="DB78" s="176"/>
      <c r="DO78" s="176"/>
    </row>
    <row r="79" spans="1:119" ht="12.75">
      <c r="A79" s="267" t="s">
        <v>238</v>
      </c>
      <c r="DB79" s="176"/>
      <c r="DO79" s="176"/>
    </row>
    <row r="80" spans="1:119" ht="12.75" hidden="1" outlineLevel="1">
      <c r="A80" s="268">
        <f>B70+B71-B73</f>
        <v>4.889443516731262E-09</v>
      </c>
      <c r="DB80" s="176"/>
      <c r="DO80" s="176"/>
    </row>
    <row r="81" spans="1:119" ht="12.75" hidden="1" outlineLevel="1">
      <c r="A81" s="268">
        <f>B72-B71-B74</f>
        <v>0</v>
      </c>
      <c r="DB81" s="176"/>
      <c r="DO81" s="176"/>
    </row>
    <row r="82" ht="12.75" collapsed="1"/>
    <row r="83" spans="1:119" ht="12.75" hidden="1">
      <c r="A83" s="292" t="s">
        <v>267</v>
      </c>
      <c r="B83" s="293"/>
      <c r="DB83" s="176"/>
      <c r="DO83" s="176"/>
    </row>
    <row r="84" spans="1:119" ht="15.75" customHeight="1" hidden="1">
      <c r="A84" s="185" t="s">
        <v>11</v>
      </c>
      <c r="B84" s="282">
        <f>Исх!$C$41</f>
        <v>0.07</v>
      </c>
      <c r="C84" s="380">
        <f>C68</f>
        <v>2014</v>
      </c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>
        <f>P68</f>
        <v>2015</v>
      </c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>
        <f>AC68</f>
        <v>2016</v>
      </c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>
        <f>AP68</f>
        <v>2017</v>
      </c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380"/>
      <c r="BC84" s="380">
        <f>BC68</f>
        <v>2018</v>
      </c>
      <c r="BD84" s="380"/>
      <c r="BE84" s="380"/>
      <c r="BF84" s="380"/>
      <c r="BG84" s="380"/>
      <c r="BH84" s="380"/>
      <c r="BI84" s="380"/>
      <c r="BJ84" s="380"/>
      <c r="BK84" s="380"/>
      <c r="BL84" s="380"/>
      <c r="BM84" s="380"/>
      <c r="BN84" s="380"/>
      <c r="BO84" s="380"/>
      <c r="BP84" s="380">
        <f>BP68</f>
        <v>2019</v>
      </c>
      <c r="BQ84" s="380"/>
      <c r="BR84" s="380"/>
      <c r="BS84" s="380"/>
      <c r="BT84" s="380"/>
      <c r="BU84" s="380"/>
      <c r="BV84" s="380"/>
      <c r="BW84" s="380"/>
      <c r="BX84" s="380"/>
      <c r="BY84" s="380"/>
      <c r="BZ84" s="380"/>
      <c r="CA84" s="380"/>
      <c r="CB84" s="380"/>
      <c r="CC84" s="380">
        <f>CC68</f>
        <v>2020</v>
      </c>
      <c r="CD84" s="380"/>
      <c r="CE84" s="380"/>
      <c r="CF84" s="380"/>
      <c r="CG84" s="380"/>
      <c r="CH84" s="380"/>
      <c r="CI84" s="380"/>
      <c r="CJ84" s="380"/>
      <c r="CK84" s="380"/>
      <c r="CL84" s="380"/>
      <c r="CM84" s="380"/>
      <c r="CN84" s="380"/>
      <c r="CO84" s="380"/>
      <c r="CP84" s="380">
        <f>CP68</f>
        <v>2021</v>
      </c>
      <c r="CQ84" s="380"/>
      <c r="CR84" s="380"/>
      <c r="CS84" s="380"/>
      <c r="CT84" s="380"/>
      <c r="CU84" s="380"/>
      <c r="CV84" s="380"/>
      <c r="CW84" s="380"/>
      <c r="CX84" s="380"/>
      <c r="CY84" s="380"/>
      <c r="CZ84" s="380"/>
      <c r="DA84" s="380"/>
      <c r="DB84" s="380"/>
      <c r="DC84" s="380">
        <v>2021</v>
      </c>
      <c r="DD84" s="380"/>
      <c r="DE84" s="380"/>
      <c r="DF84" s="380"/>
      <c r="DG84" s="380"/>
      <c r="DH84" s="380"/>
      <c r="DI84" s="380"/>
      <c r="DJ84" s="380"/>
      <c r="DK84" s="380"/>
      <c r="DL84" s="380"/>
      <c r="DM84" s="380"/>
      <c r="DN84" s="380"/>
      <c r="DO84" s="380"/>
    </row>
    <row r="85" spans="1:119" s="191" customFormat="1" ht="15" customHeight="1" hidden="1">
      <c r="A85" s="187" t="s">
        <v>9</v>
      </c>
      <c r="B85" s="188" t="s">
        <v>89</v>
      </c>
      <c r="C85" s="189">
        <v>1</v>
      </c>
      <c r="D85" s="189">
        <v>2</v>
      </c>
      <c r="E85" s="189">
        <f aca="true" t="shared" si="215" ref="E85:N85">D85+1</f>
        <v>3</v>
      </c>
      <c r="F85" s="189">
        <f t="shared" si="215"/>
        <v>4</v>
      </c>
      <c r="G85" s="189">
        <f t="shared" si="215"/>
        <v>5</v>
      </c>
      <c r="H85" s="189">
        <f t="shared" si="215"/>
        <v>6</v>
      </c>
      <c r="I85" s="189">
        <f t="shared" si="215"/>
        <v>7</v>
      </c>
      <c r="J85" s="189">
        <f t="shared" si="215"/>
        <v>8</v>
      </c>
      <c r="K85" s="189">
        <f t="shared" si="215"/>
        <v>9</v>
      </c>
      <c r="L85" s="189">
        <f t="shared" si="215"/>
        <v>10</v>
      </c>
      <c r="M85" s="189">
        <f t="shared" si="215"/>
        <v>11</v>
      </c>
      <c r="N85" s="189">
        <f t="shared" si="215"/>
        <v>12</v>
      </c>
      <c r="O85" s="190" t="str">
        <f>O69</f>
        <v>Итого</v>
      </c>
      <c r="P85" s="189">
        <v>1</v>
      </c>
      <c r="Q85" s="189">
        <v>2</v>
      </c>
      <c r="R85" s="189">
        <f aca="true" t="shared" si="216" ref="R85:AA85">Q85+1</f>
        <v>3</v>
      </c>
      <c r="S85" s="189">
        <f t="shared" si="216"/>
        <v>4</v>
      </c>
      <c r="T85" s="189">
        <f t="shared" si="216"/>
        <v>5</v>
      </c>
      <c r="U85" s="189">
        <f t="shared" si="216"/>
        <v>6</v>
      </c>
      <c r="V85" s="189">
        <f t="shared" si="216"/>
        <v>7</v>
      </c>
      <c r="W85" s="189">
        <f t="shared" si="216"/>
        <v>8</v>
      </c>
      <c r="X85" s="189">
        <f t="shared" si="216"/>
        <v>9</v>
      </c>
      <c r="Y85" s="189">
        <f t="shared" si="216"/>
        <v>10</v>
      </c>
      <c r="Z85" s="189">
        <f t="shared" si="216"/>
        <v>11</v>
      </c>
      <c r="AA85" s="189">
        <f t="shared" si="216"/>
        <v>12</v>
      </c>
      <c r="AB85" s="190" t="str">
        <f>AB69</f>
        <v>Итого</v>
      </c>
      <c r="AC85" s="189">
        <v>1</v>
      </c>
      <c r="AD85" s="189">
        <v>2</v>
      </c>
      <c r="AE85" s="189">
        <f aca="true" t="shared" si="217" ref="AE85:AN85">AD85+1</f>
        <v>3</v>
      </c>
      <c r="AF85" s="189">
        <f t="shared" si="217"/>
        <v>4</v>
      </c>
      <c r="AG85" s="189">
        <f t="shared" si="217"/>
        <v>5</v>
      </c>
      <c r="AH85" s="189">
        <f t="shared" si="217"/>
        <v>6</v>
      </c>
      <c r="AI85" s="189">
        <f t="shared" si="217"/>
        <v>7</v>
      </c>
      <c r="AJ85" s="189">
        <f t="shared" si="217"/>
        <v>8</v>
      </c>
      <c r="AK85" s="189">
        <f t="shared" si="217"/>
        <v>9</v>
      </c>
      <c r="AL85" s="189">
        <f t="shared" si="217"/>
        <v>10</v>
      </c>
      <c r="AM85" s="189">
        <f t="shared" si="217"/>
        <v>11</v>
      </c>
      <c r="AN85" s="189">
        <f t="shared" si="217"/>
        <v>12</v>
      </c>
      <c r="AO85" s="190" t="str">
        <f>AO69</f>
        <v>Итого</v>
      </c>
      <c r="AP85" s="189">
        <v>1</v>
      </c>
      <c r="AQ85" s="189">
        <v>2</v>
      </c>
      <c r="AR85" s="189">
        <f aca="true" t="shared" si="218" ref="AR85:BA85">AQ85+1</f>
        <v>3</v>
      </c>
      <c r="AS85" s="189">
        <f t="shared" si="218"/>
        <v>4</v>
      </c>
      <c r="AT85" s="189">
        <f t="shared" si="218"/>
        <v>5</v>
      </c>
      <c r="AU85" s="189">
        <f t="shared" si="218"/>
        <v>6</v>
      </c>
      <c r="AV85" s="189">
        <f t="shared" si="218"/>
        <v>7</v>
      </c>
      <c r="AW85" s="189">
        <f t="shared" si="218"/>
        <v>8</v>
      </c>
      <c r="AX85" s="189">
        <f t="shared" si="218"/>
        <v>9</v>
      </c>
      <c r="AY85" s="189">
        <f t="shared" si="218"/>
        <v>10</v>
      </c>
      <c r="AZ85" s="189">
        <f t="shared" si="218"/>
        <v>11</v>
      </c>
      <c r="BA85" s="189">
        <f t="shared" si="218"/>
        <v>12</v>
      </c>
      <c r="BB85" s="190" t="str">
        <f>BB69</f>
        <v>Итого</v>
      </c>
      <c r="BC85" s="189">
        <v>1</v>
      </c>
      <c r="BD85" s="189">
        <v>2</v>
      </c>
      <c r="BE85" s="189">
        <f aca="true" t="shared" si="219" ref="BE85:BN85">BD85+1</f>
        <v>3</v>
      </c>
      <c r="BF85" s="189">
        <f t="shared" si="219"/>
        <v>4</v>
      </c>
      <c r="BG85" s="189">
        <f t="shared" si="219"/>
        <v>5</v>
      </c>
      <c r="BH85" s="189">
        <f t="shared" si="219"/>
        <v>6</v>
      </c>
      <c r="BI85" s="189">
        <f t="shared" si="219"/>
        <v>7</v>
      </c>
      <c r="BJ85" s="189">
        <f t="shared" si="219"/>
        <v>8</v>
      </c>
      <c r="BK85" s="189">
        <f t="shared" si="219"/>
        <v>9</v>
      </c>
      <c r="BL85" s="189">
        <f t="shared" si="219"/>
        <v>10</v>
      </c>
      <c r="BM85" s="189">
        <f t="shared" si="219"/>
        <v>11</v>
      </c>
      <c r="BN85" s="189">
        <f t="shared" si="219"/>
        <v>12</v>
      </c>
      <c r="BO85" s="190" t="str">
        <f>BO69</f>
        <v>Итого</v>
      </c>
      <c r="BP85" s="189">
        <v>1</v>
      </c>
      <c r="BQ85" s="189">
        <v>2</v>
      </c>
      <c r="BR85" s="189">
        <f aca="true" t="shared" si="220" ref="BR85:CA85">BQ85+1</f>
        <v>3</v>
      </c>
      <c r="BS85" s="189">
        <f t="shared" si="220"/>
        <v>4</v>
      </c>
      <c r="BT85" s="189">
        <f t="shared" si="220"/>
        <v>5</v>
      </c>
      <c r="BU85" s="189">
        <f t="shared" si="220"/>
        <v>6</v>
      </c>
      <c r="BV85" s="189">
        <f t="shared" si="220"/>
        <v>7</v>
      </c>
      <c r="BW85" s="189">
        <f t="shared" si="220"/>
        <v>8</v>
      </c>
      <c r="BX85" s="189">
        <f t="shared" si="220"/>
        <v>9</v>
      </c>
      <c r="BY85" s="189">
        <f t="shared" si="220"/>
        <v>10</v>
      </c>
      <c r="BZ85" s="189">
        <f t="shared" si="220"/>
        <v>11</v>
      </c>
      <c r="CA85" s="189">
        <f t="shared" si="220"/>
        <v>12</v>
      </c>
      <c r="CB85" s="190" t="str">
        <f>CB69</f>
        <v>Итого</v>
      </c>
      <c r="CC85" s="189">
        <v>1</v>
      </c>
      <c r="CD85" s="189">
        <v>2</v>
      </c>
      <c r="CE85" s="189">
        <f aca="true" t="shared" si="221" ref="CE85:CN85">CD85+1</f>
        <v>3</v>
      </c>
      <c r="CF85" s="189">
        <f t="shared" si="221"/>
        <v>4</v>
      </c>
      <c r="CG85" s="189">
        <f t="shared" si="221"/>
        <v>5</v>
      </c>
      <c r="CH85" s="189">
        <f t="shared" si="221"/>
        <v>6</v>
      </c>
      <c r="CI85" s="189">
        <f t="shared" si="221"/>
        <v>7</v>
      </c>
      <c r="CJ85" s="189">
        <f t="shared" si="221"/>
        <v>8</v>
      </c>
      <c r="CK85" s="189">
        <f t="shared" si="221"/>
        <v>9</v>
      </c>
      <c r="CL85" s="189">
        <f t="shared" si="221"/>
        <v>10</v>
      </c>
      <c r="CM85" s="189">
        <f t="shared" si="221"/>
        <v>11</v>
      </c>
      <c r="CN85" s="189">
        <f t="shared" si="221"/>
        <v>12</v>
      </c>
      <c r="CO85" s="190" t="str">
        <f>CO69</f>
        <v>Итого</v>
      </c>
      <c r="CP85" s="189">
        <v>1</v>
      </c>
      <c r="CQ85" s="189">
        <f aca="true" t="shared" si="222" ref="CQ85:DA85">CP85+1</f>
        <v>2</v>
      </c>
      <c r="CR85" s="189">
        <f t="shared" si="222"/>
        <v>3</v>
      </c>
      <c r="CS85" s="189">
        <f t="shared" si="222"/>
        <v>4</v>
      </c>
      <c r="CT85" s="189">
        <f t="shared" si="222"/>
        <v>5</v>
      </c>
      <c r="CU85" s="189">
        <f t="shared" si="222"/>
        <v>6</v>
      </c>
      <c r="CV85" s="189">
        <f t="shared" si="222"/>
        <v>7</v>
      </c>
      <c r="CW85" s="189">
        <f t="shared" si="222"/>
        <v>8</v>
      </c>
      <c r="CX85" s="189">
        <f t="shared" si="222"/>
        <v>9</v>
      </c>
      <c r="CY85" s="189">
        <f t="shared" si="222"/>
        <v>10</v>
      </c>
      <c r="CZ85" s="189">
        <f t="shared" si="222"/>
        <v>11</v>
      </c>
      <c r="DA85" s="189">
        <f t="shared" si="222"/>
        <v>12</v>
      </c>
      <c r="DB85" s="190" t="str">
        <f>DB69</f>
        <v>Итого</v>
      </c>
      <c r="DC85" s="189">
        <v>1</v>
      </c>
      <c r="DD85" s="189">
        <f aca="true" t="shared" si="223" ref="DD85:DN85">DC85+1</f>
        <v>2</v>
      </c>
      <c r="DE85" s="189">
        <f t="shared" si="223"/>
        <v>3</v>
      </c>
      <c r="DF85" s="189">
        <f t="shared" si="223"/>
        <v>4</v>
      </c>
      <c r="DG85" s="189">
        <f t="shared" si="223"/>
        <v>5</v>
      </c>
      <c r="DH85" s="189">
        <f t="shared" si="223"/>
        <v>6</v>
      </c>
      <c r="DI85" s="189">
        <f t="shared" si="223"/>
        <v>7</v>
      </c>
      <c r="DJ85" s="189">
        <f t="shared" si="223"/>
        <v>8</v>
      </c>
      <c r="DK85" s="189">
        <f t="shared" si="223"/>
        <v>9</v>
      </c>
      <c r="DL85" s="189">
        <f t="shared" si="223"/>
        <v>10</v>
      </c>
      <c r="DM85" s="189">
        <f t="shared" si="223"/>
        <v>11</v>
      </c>
      <c r="DN85" s="189">
        <f t="shared" si="223"/>
        <v>12</v>
      </c>
      <c r="DO85" s="190" t="s">
        <v>0</v>
      </c>
    </row>
    <row r="86" spans="1:119" ht="12.75" hidden="1">
      <c r="A86" s="187" t="s">
        <v>106</v>
      </c>
      <c r="B86" s="192">
        <f>O86+AB86+AO86+BB86+BO86+CB86+CO86+DB86+DO86</f>
        <v>0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4">
        <f>SUM(C86:N86)</f>
        <v>0</v>
      </c>
      <c r="P86" s="193"/>
      <c r="Q86" s="193"/>
      <c r="R86" s="193">
        <f>'1-Ф3'!S$31</f>
        <v>0</v>
      </c>
      <c r="S86" s="193"/>
      <c r="T86" s="193"/>
      <c r="U86" s="193"/>
      <c r="V86" s="193"/>
      <c r="W86" s="193"/>
      <c r="X86" s="193"/>
      <c r="Y86" s="193"/>
      <c r="Z86" s="193"/>
      <c r="AA86" s="193"/>
      <c r="AB86" s="193">
        <f>SUM(P86:AA86)</f>
        <v>0</v>
      </c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>
        <f>SUM(AC86:AN86)</f>
        <v>0</v>
      </c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</row>
    <row r="87" spans="1:119" s="196" customFormat="1" ht="20.25" customHeight="1" hidden="1">
      <c r="A87" s="187" t="s">
        <v>31</v>
      </c>
      <c r="B87" s="192">
        <f>O87+AB87+AO87+BB87+BO87+CB87+CO87+DB87+DO87</f>
        <v>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4">
        <f>SUM(C87:N87)</f>
        <v>0</v>
      </c>
      <c r="P87" s="193"/>
      <c r="Q87" s="193">
        <f>SUM(O88:Q88)</f>
        <v>0</v>
      </c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4">
        <f>SUM(P87:AA87)</f>
        <v>0</v>
      </c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4">
        <f>SUM(AC87:AN87)</f>
        <v>0</v>
      </c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4">
        <f>SUM(AP87:BA87)</f>
        <v>0</v>
      </c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4">
        <f>SUM(BC87:BN87)</f>
        <v>0</v>
      </c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4">
        <f>SUM(BP87:CA87)</f>
        <v>0</v>
      </c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4">
        <f>SUM(CC87:CN87)</f>
        <v>0</v>
      </c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4">
        <f>SUM(CP87:DA87)</f>
        <v>0</v>
      </c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4">
        <f>SUM(DC87:DN87)</f>
        <v>0</v>
      </c>
    </row>
    <row r="88" spans="1:119" s="196" customFormat="1" ht="12.75" hidden="1">
      <c r="A88" s="197" t="s">
        <v>13</v>
      </c>
      <c r="B88" s="192">
        <f>O88+AB88+AO88+BB88+BO88+CB88+CO88+DB88+DO88</f>
        <v>0</v>
      </c>
      <c r="C88" s="193"/>
      <c r="D88" s="193">
        <f aca="true" t="shared" si="224" ref="D88:N88">C91*$B84/12</f>
        <v>0</v>
      </c>
      <c r="E88" s="193">
        <f t="shared" si="224"/>
        <v>0</v>
      </c>
      <c r="F88" s="193">
        <f t="shared" si="224"/>
        <v>0</v>
      </c>
      <c r="G88" s="193">
        <f t="shared" si="224"/>
        <v>0</v>
      </c>
      <c r="H88" s="193">
        <f t="shared" si="224"/>
        <v>0</v>
      </c>
      <c r="I88" s="193">
        <f t="shared" si="224"/>
        <v>0</v>
      </c>
      <c r="J88" s="193">
        <f t="shared" si="224"/>
        <v>0</v>
      </c>
      <c r="K88" s="193">
        <f t="shared" si="224"/>
        <v>0</v>
      </c>
      <c r="L88" s="193">
        <f t="shared" si="224"/>
        <v>0</v>
      </c>
      <c r="M88" s="193">
        <f t="shared" si="224"/>
        <v>0</v>
      </c>
      <c r="N88" s="193">
        <f t="shared" si="224"/>
        <v>0</v>
      </c>
      <c r="O88" s="194">
        <f>SUM(C88:N88)</f>
        <v>0</v>
      </c>
      <c r="P88" s="193">
        <f aca="true" t="shared" si="225" ref="P88:AA88">O91*$B84/12</f>
        <v>0</v>
      </c>
      <c r="Q88" s="193">
        <f t="shared" si="225"/>
        <v>0</v>
      </c>
      <c r="R88" s="193">
        <f t="shared" si="225"/>
        <v>0</v>
      </c>
      <c r="S88" s="193">
        <f t="shared" si="225"/>
        <v>0</v>
      </c>
      <c r="T88" s="193">
        <f t="shared" si="225"/>
        <v>0</v>
      </c>
      <c r="U88" s="193">
        <f t="shared" si="225"/>
        <v>0</v>
      </c>
      <c r="V88" s="193">
        <f t="shared" si="225"/>
        <v>0</v>
      </c>
      <c r="W88" s="193">
        <f t="shared" si="225"/>
        <v>0</v>
      </c>
      <c r="X88" s="193">
        <f t="shared" si="225"/>
        <v>0</v>
      </c>
      <c r="Y88" s="193">
        <f t="shared" si="225"/>
        <v>0</v>
      </c>
      <c r="Z88" s="193">
        <f t="shared" si="225"/>
        <v>0</v>
      </c>
      <c r="AA88" s="193">
        <f t="shared" si="225"/>
        <v>0</v>
      </c>
      <c r="AB88" s="194">
        <f>SUM(P88:AA88)</f>
        <v>0</v>
      </c>
      <c r="AC88" s="193">
        <f aca="true" t="shared" si="226" ref="AC88:AN88">AB91*$B84/12</f>
        <v>0</v>
      </c>
      <c r="AD88" s="193">
        <f t="shared" si="226"/>
        <v>0</v>
      </c>
      <c r="AE88" s="193">
        <f t="shared" si="226"/>
        <v>0</v>
      </c>
      <c r="AF88" s="193">
        <f t="shared" si="226"/>
        <v>0</v>
      </c>
      <c r="AG88" s="193">
        <f t="shared" si="226"/>
        <v>0</v>
      </c>
      <c r="AH88" s="193">
        <f t="shared" si="226"/>
        <v>0</v>
      </c>
      <c r="AI88" s="193">
        <f t="shared" si="226"/>
        <v>0</v>
      </c>
      <c r="AJ88" s="193">
        <f t="shared" si="226"/>
        <v>0</v>
      </c>
      <c r="AK88" s="193">
        <f t="shared" si="226"/>
        <v>0</v>
      </c>
      <c r="AL88" s="193">
        <f t="shared" si="226"/>
        <v>0</v>
      </c>
      <c r="AM88" s="193">
        <f t="shared" si="226"/>
        <v>0</v>
      </c>
      <c r="AN88" s="193">
        <f t="shared" si="226"/>
        <v>0</v>
      </c>
      <c r="AO88" s="194">
        <f>SUM(AC88:AN88)</f>
        <v>0</v>
      </c>
      <c r="AP88" s="193">
        <f aca="true" t="shared" si="227" ref="AP88:BA88">AO91*$B84/12</f>
        <v>0</v>
      </c>
      <c r="AQ88" s="193">
        <f t="shared" si="227"/>
        <v>0</v>
      </c>
      <c r="AR88" s="193">
        <f t="shared" si="227"/>
        <v>0</v>
      </c>
      <c r="AS88" s="193">
        <f t="shared" si="227"/>
        <v>0</v>
      </c>
      <c r="AT88" s="193">
        <f t="shared" si="227"/>
        <v>0</v>
      </c>
      <c r="AU88" s="193">
        <f t="shared" si="227"/>
        <v>0</v>
      </c>
      <c r="AV88" s="193">
        <f t="shared" si="227"/>
        <v>0</v>
      </c>
      <c r="AW88" s="193">
        <f t="shared" si="227"/>
        <v>0</v>
      </c>
      <c r="AX88" s="193">
        <f t="shared" si="227"/>
        <v>0</v>
      </c>
      <c r="AY88" s="193">
        <f t="shared" si="227"/>
        <v>0</v>
      </c>
      <c r="AZ88" s="193">
        <f t="shared" si="227"/>
        <v>0</v>
      </c>
      <c r="BA88" s="193">
        <f t="shared" si="227"/>
        <v>0</v>
      </c>
      <c r="BB88" s="194">
        <f>SUM(AP88:BA88)</f>
        <v>0</v>
      </c>
      <c r="BC88" s="193">
        <f aca="true" t="shared" si="228" ref="BC88:BN88">BB91*$B84/12</f>
        <v>0</v>
      </c>
      <c r="BD88" s="193">
        <f t="shared" si="228"/>
        <v>0</v>
      </c>
      <c r="BE88" s="193">
        <f t="shared" si="228"/>
        <v>0</v>
      </c>
      <c r="BF88" s="193">
        <f t="shared" si="228"/>
        <v>0</v>
      </c>
      <c r="BG88" s="193">
        <f t="shared" si="228"/>
        <v>0</v>
      </c>
      <c r="BH88" s="193">
        <f t="shared" si="228"/>
        <v>0</v>
      </c>
      <c r="BI88" s="193">
        <f t="shared" si="228"/>
        <v>0</v>
      </c>
      <c r="BJ88" s="193">
        <f t="shared" si="228"/>
        <v>0</v>
      </c>
      <c r="BK88" s="193">
        <f t="shared" si="228"/>
        <v>0</v>
      </c>
      <c r="BL88" s="193">
        <f t="shared" si="228"/>
        <v>0</v>
      </c>
      <c r="BM88" s="193">
        <f t="shared" si="228"/>
        <v>0</v>
      </c>
      <c r="BN88" s="193">
        <f t="shared" si="228"/>
        <v>0</v>
      </c>
      <c r="BO88" s="194">
        <f>SUM(BC88:BN88)</f>
        <v>0</v>
      </c>
      <c r="BP88" s="193">
        <f aca="true" t="shared" si="229" ref="BP88:CA88">BO91*$B84/12</f>
        <v>0</v>
      </c>
      <c r="BQ88" s="193">
        <f t="shared" si="229"/>
        <v>0</v>
      </c>
      <c r="BR88" s="193">
        <f t="shared" si="229"/>
        <v>0</v>
      </c>
      <c r="BS88" s="193">
        <f t="shared" si="229"/>
        <v>0</v>
      </c>
      <c r="BT88" s="193">
        <f t="shared" si="229"/>
        <v>0</v>
      </c>
      <c r="BU88" s="193">
        <f t="shared" si="229"/>
        <v>0</v>
      </c>
      <c r="BV88" s="193">
        <f t="shared" si="229"/>
        <v>0</v>
      </c>
      <c r="BW88" s="193">
        <f t="shared" si="229"/>
        <v>0</v>
      </c>
      <c r="BX88" s="193">
        <f t="shared" si="229"/>
        <v>0</v>
      </c>
      <c r="BY88" s="193">
        <f t="shared" si="229"/>
        <v>0</v>
      </c>
      <c r="BZ88" s="193">
        <f t="shared" si="229"/>
        <v>0</v>
      </c>
      <c r="CA88" s="193">
        <f t="shared" si="229"/>
        <v>0</v>
      </c>
      <c r="CB88" s="194">
        <f>SUM(BP88:CA88)</f>
        <v>0</v>
      </c>
      <c r="CC88" s="193">
        <f aca="true" t="shared" si="230" ref="CC88:CN88">CB91*$B84/12</f>
        <v>0</v>
      </c>
      <c r="CD88" s="193">
        <f t="shared" si="230"/>
        <v>0</v>
      </c>
      <c r="CE88" s="193">
        <f t="shared" si="230"/>
        <v>0</v>
      </c>
      <c r="CF88" s="193">
        <f t="shared" si="230"/>
        <v>0</v>
      </c>
      <c r="CG88" s="193">
        <f t="shared" si="230"/>
        <v>0</v>
      </c>
      <c r="CH88" s="193">
        <f t="shared" si="230"/>
        <v>0</v>
      </c>
      <c r="CI88" s="193">
        <f t="shared" si="230"/>
        <v>0</v>
      </c>
      <c r="CJ88" s="193">
        <f t="shared" si="230"/>
        <v>0</v>
      </c>
      <c r="CK88" s="193">
        <f t="shared" si="230"/>
        <v>0</v>
      </c>
      <c r="CL88" s="193">
        <f t="shared" si="230"/>
        <v>0</v>
      </c>
      <c r="CM88" s="193">
        <f t="shared" si="230"/>
        <v>0</v>
      </c>
      <c r="CN88" s="193">
        <f t="shared" si="230"/>
        <v>0</v>
      </c>
      <c r="CO88" s="194">
        <f>SUM(CC88:CN88)</f>
        <v>0</v>
      </c>
      <c r="CP88" s="193">
        <f aca="true" t="shared" si="231" ref="CP88:DA88">CO91*$B84/12</f>
        <v>0</v>
      </c>
      <c r="CQ88" s="193">
        <f t="shared" si="231"/>
        <v>0</v>
      </c>
      <c r="CR88" s="193">
        <f t="shared" si="231"/>
        <v>0</v>
      </c>
      <c r="CS88" s="193">
        <f t="shared" si="231"/>
        <v>0</v>
      </c>
      <c r="CT88" s="193">
        <f t="shared" si="231"/>
        <v>0</v>
      </c>
      <c r="CU88" s="193">
        <f t="shared" si="231"/>
        <v>0</v>
      </c>
      <c r="CV88" s="193">
        <f t="shared" si="231"/>
        <v>0</v>
      </c>
      <c r="CW88" s="193">
        <f t="shared" si="231"/>
        <v>0</v>
      </c>
      <c r="CX88" s="193">
        <f t="shared" si="231"/>
        <v>0</v>
      </c>
      <c r="CY88" s="193">
        <f t="shared" si="231"/>
        <v>0</v>
      </c>
      <c r="CZ88" s="193">
        <f t="shared" si="231"/>
        <v>0</v>
      </c>
      <c r="DA88" s="193">
        <f t="shared" si="231"/>
        <v>0</v>
      </c>
      <c r="DB88" s="194">
        <f>SUM(CP88:DA88)</f>
        <v>0</v>
      </c>
      <c r="DC88" s="193">
        <f aca="true" t="shared" si="232" ref="DC88:DN88">DB91*$B84/12</f>
        <v>0</v>
      </c>
      <c r="DD88" s="193">
        <f t="shared" si="232"/>
        <v>0</v>
      </c>
      <c r="DE88" s="193">
        <f t="shared" si="232"/>
        <v>0</v>
      </c>
      <c r="DF88" s="193">
        <f t="shared" si="232"/>
        <v>0</v>
      </c>
      <c r="DG88" s="193">
        <f t="shared" si="232"/>
        <v>0</v>
      </c>
      <c r="DH88" s="193">
        <f t="shared" si="232"/>
        <v>0</v>
      </c>
      <c r="DI88" s="193">
        <f t="shared" si="232"/>
        <v>0</v>
      </c>
      <c r="DJ88" s="193">
        <f t="shared" si="232"/>
        <v>0</v>
      </c>
      <c r="DK88" s="193">
        <f t="shared" si="232"/>
        <v>0</v>
      </c>
      <c r="DL88" s="193">
        <f t="shared" si="232"/>
        <v>0</v>
      </c>
      <c r="DM88" s="193">
        <f t="shared" si="232"/>
        <v>0</v>
      </c>
      <c r="DN88" s="193">
        <f t="shared" si="232"/>
        <v>0</v>
      </c>
      <c r="DO88" s="194">
        <f>SUM(DC88:DN88)</f>
        <v>0</v>
      </c>
    </row>
    <row r="89" spans="1:119" ht="12.75" hidden="1">
      <c r="A89" s="187" t="s">
        <v>14</v>
      </c>
      <c r="B89" s="192">
        <f>O89+AB89+AO89+BB89+BO89+CB89+CO89+DB89+DO89</f>
        <v>0</v>
      </c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8"/>
      <c r="O89" s="194">
        <f>SUM(C89:N89)</f>
        <v>0</v>
      </c>
      <c r="P89" s="198"/>
      <c r="Q89" s="198"/>
      <c r="R89" s="198"/>
      <c r="S89" s="198"/>
      <c r="T89" s="198"/>
      <c r="U89" s="198"/>
      <c r="V89" s="198"/>
      <c r="W89" s="198"/>
      <c r="X89" s="193">
        <f>$B93-X88</f>
        <v>0</v>
      </c>
      <c r="Y89" s="193">
        <f>$B93-Y88</f>
        <v>0</v>
      </c>
      <c r="Z89" s="193">
        <f>$B93-Z88</f>
        <v>0</v>
      </c>
      <c r="AA89" s="193">
        <f>$B93-AA88</f>
        <v>0</v>
      </c>
      <c r="AB89" s="194">
        <f>SUM(P89:AA89)</f>
        <v>0</v>
      </c>
      <c r="AC89" s="193">
        <f aca="true" t="shared" si="233" ref="AC89:AN89">$B93-AC88</f>
        <v>0</v>
      </c>
      <c r="AD89" s="193">
        <f t="shared" si="233"/>
        <v>0</v>
      </c>
      <c r="AE89" s="193">
        <f t="shared" si="233"/>
        <v>0</v>
      </c>
      <c r="AF89" s="193">
        <f t="shared" si="233"/>
        <v>0</v>
      </c>
      <c r="AG89" s="193">
        <f t="shared" si="233"/>
        <v>0</v>
      </c>
      <c r="AH89" s="193">
        <f t="shared" si="233"/>
        <v>0</v>
      </c>
      <c r="AI89" s="193">
        <f t="shared" si="233"/>
        <v>0</v>
      </c>
      <c r="AJ89" s="193">
        <f t="shared" si="233"/>
        <v>0</v>
      </c>
      <c r="AK89" s="193">
        <f t="shared" si="233"/>
        <v>0</v>
      </c>
      <c r="AL89" s="193">
        <f t="shared" si="233"/>
        <v>0</v>
      </c>
      <c r="AM89" s="193">
        <f t="shared" si="233"/>
        <v>0</v>
      </c>
      <c r="AN89" s="193">
        <f t="shared" si="233"/>
        <v>0</v>
      </c>
      <c r="AO89" s="194">
        <f>SUM(AC89:AN89)</f>
        <v>0</v>
      </c>
      <c r="AP89" s="193">
        <f aca="true" t="shared" si="234" ref="AP89:BA89">$B93-AP88</f>
        <v>0</v>
      </c>
      <c r="AQ89" s="193">
        <f t="shared" si="234"/>
        <v>0</v>
      </c>
      <c r="AR89" s="193">
        <f t="shared" si="234"/>
        <v>0</v>
      </c>
      <c r="AS89" s="193">
        <f t="shared" si="234"/>
        <v>0</v>
      </c>
      <c r="AT89" s="193">
        <f t="shared" si="234"/>
        <v>0</v>
      </c>
      <c r="AU89" s="193">
        <f t="shared" si="234"/>
        <v>0</v>
      </c>
      <c r="AV89" s="193">
        <f t="shared" si="234"/>
        <v>0</v>
      </c>
      <c r="AW89" s="193">
        <f t="shared" si="234"/>
        <v>0</v>
      </c>
      <c r="AX89" s="193">
        <f t="shared" si="234"/>
        <v>0</v>
      </c>
      <c r="AY89" s="193">
        <f t="shared" si="234"/>
        <v>0</v>
      </c>
      <c r="AZ89" s="193">
        <f t="shared" si="234"/>
        <v>0</v>
      </c>
      <c r="BA89" s="193">
        <f t="shared" si="234"/>
        <v>0</v>
      </c>
      <c r="BB89" s="194">
        <f>SUM(AP89:BA89)</f>
        <v>0</v>
      </c>
      <c r="BC89" s="193">
        <f aca="true" t="shared" si="235" ref="BC89:BN89">$B93-BC88</f>
        <v>0</v>
      </c>
      <c r="BD89" s="193">
        <f t="shared" si="235"/>
        <v>0</v>
      </c>
      <c r="BE89" s="193">
        <f t="shared" si="235"/>
        <v>0</v>
      </c>
      <c r="BF89" s="193">
        <f t="shared" si="235"/>
        <v>0</v>
      </c>
      <c r="BG89" s="193">
        <f t="shared" si="235"/>
        <v>0</v>
      </c>
      <c r="BH89" s="193">
        <f t="shared" si="235"/>
        <v>0</v>
      </c>
      <c r="BI89" s="193">
        <f t="shared" si="235"/>
        <v>0</v>
      </c>
      <c r="BJ89" s="193">
        <f t="shared" si="235"/>
        <v>0</v>
      </c>
      <c r="BK89" s="193">
        <f t="shared" si="235"/>
        <v>0</v>
      </c>
      <c r="BL89" s="193">
        <f t="shared" si="235"/>
        <v>0</v>
      </c>
      <c r="BM89" s="193">
        <f t="shared" si="235"/>
        <v>0</v>
      </c>
      <c r="BN89" s="193">
        <f t="shared" si="235"/>
        <v>0</v>
      </c>
      <c r="BO89" s="194">
        <f>SUM(BC89:BN89)</f>
        <v>0</v>
      </c>
      <c r="BP89" s="193">
        <f aca="true" t="shared" si="236" ref="BP89:CA89">$B93-BP88</f>
        <v>0</v>
      </c>
      <c r="BQ89" s="193">
        <f t="shared" si="236"/>
        <v>0</v>
      </c>
      <c r="BR89" s="193">
        <f t="shared" si="236"/>
        <v>0</v>
      </c>
      <c r="BS89" s="193">
        <f t="shared" si="236"/>
        <v>0</v>
      </c>
      <c r="BT89" s="193">
        <f t="shared" si="236"/>
        <v>0</v>
      </c>
      <c r="BU89" s="193">
        <f t="shared" si="236"/>
        <v>0</v>
      </c>
      <c r="BV89" s="193">
        <f t="shared" si="236"/>
        <v>0</v>
      </c>
      <c r="BW89" s="193">
        <f t="shared" si="236"/>
        <v>0</v>
      </c>
      <c r="BX89" s="193">
        <f t="shared" si="236"/>
        <v>0</v>
      </c>
      <c r="BY89" s="193">
        <f t="shared" si="236"/>
        <v>0</v>
      </c>
      <c r="BZ89" s="193">
        <f t="shared" si="236"/>
        <v>0</v>
      </c>
      <c r="CA89" s="193">
        <f t="shared" si="236"/>
        <v>0</v>
      </c>
      <c r="CB89" s="194">
        <f>SUM(BP89:CA89)</f>
        <v>0</v>
      </c>
      <c r="CC89" s="193">
        <f aca="true" t="shared" si="237" ref="CC89:CN89">$B93-CC88</f>
        <v>0</v>
      </c>
      <c r="CD89" s="193">
        <f t="shared" si="237"/>
        <v>0</v>
      </c>
      <c r="CE89" s="193">
        <f t="shared" si="237"/>
        <v>0</v>
      </c>
      <c r="CF89" s="193">
        <f t="shared" si="237"/>
        <v>0</v>
      </c>
      <c r="CG89" s="193">
        <f t="shared" si="237"/>
        <v>0</v>
      </c>
      <c r="CH89" s="193">
        <f t="shared" si="237"/>
        <v>0</v>
      </c>
      <c r="CI89" s="193">
        <f t="shared" si="237"/>
        <v>0</v>
      </c>
      <c r="CJ89" s="193">
        <f t="shared" si="237"/>
        <v>0</v>
      </c>
      <c r="CK89" s="193">
        <f t="shared" si="237"/>
        <v>0</v>
      </c>
      <c r="CL89" s="193">
        <f t="shared" si="237"/>
        <v>0</v>
      </c>
      <c r="CM89" s="193">
        <f t="shared" si="237"/>
        <v>0</v>
      </c>
      <c r="CN89" s="193">
        <f t="shared" si="237"/>
        <v>0</v>
      </c>
      <c r="CO89" s="194">
        <f>SUM(CC89:CN89)</f>
        <v>0</v>
      </c>
      <c r="CP89" s="193">
        <f aca="true" t="shared" si="238" ref="CP89:CZ89">$B93-CP88</f>
        <v>0</v>
      </c>
      <c r="CQ89" s="193">
        <f t="shared" si="238"/>
        <v>0</v>
      </c>
      <c r="CR89" s="193">
        <f t="shared" si="238"/>
        <v>0</v>
      </c>
      <c r="CS89" s="193">
        <f t="shared" si="238"/>
        <v>0</v>
      </c>
      <c r="CT89" s="193">
        <f t="shared" si="238"/>
        <v>0</v>
      </c>
      <c r="CU89" s="193">
        <f t="shared" si="238"/>
        <v>0</v>
      </c>
      <c r="CV89" s="193">
        <f t="shared" si="238"/>
        <v>0</v>
      </c>
      <c r="CW89" s="193">
        <f t="shared" si="238"/>
        <v>0</v>
      </c>
      <c r="CX89" s="193">
        <f t="shared" si="238"/>
        <v>0</v>
      </c>
      <c r="CY89" s="193">
        <f t="shared" si="238"/>
        <v>0</v>
      </c>
      <c r="CZ89" s="193">
        <f t="shared" si="238"/>
        <v>0</v>
      </c>
      <c r="DA89" s="193"/>
      <c r="DB89" s="194">
        <f>SUM(CP89:DA89)</f>
        <v>0</v>
      </c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4">
        <f>SUM(DC89:DN89)</f>
        <v>0</v>
      </c>
    </row>
    <row r="90" spans="1:119" ht="12.75" hidden="1">
      <c r="A90" s="187" t="s">
        <v>15</v>
      </c>
      <c r="B90" s="192">
        <f>O90+AB90+AO90+BB90+BO90+CB90+CO90+DB90+DO90</f>
        <v>0</v>
      </c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8"/>
      <c r="O90" s="194">
        <f>SUM(C90:N90)</f>
        <v>0</v>
      </c>
      <c r="P90" s="198"/>
      <c r="Q90" s="198"/>
      <c r="R90" s="193">
        <f aca="true" t="shared" si="239" ref="R90:W90">R88</f>
        <v>0</v>
      </c>
      <c r="S90" s="193">
        <f t="shared" si="239"/>
        <v>0</v>
      </c>
      <c r="T90" s="193">
        <f t="shared" si="239"/>
        <v>0</v>
      </c>
      <c r="U90" s="193">
        <f t="shared" si="239"/>
        <v>0</v>
      </c>
      <c r="V90" s="193">
        <f t="shared" si="239"/>
        <v>0</v>
      </c>
      <c r="W90" s="193">
        <f t="shared" si="239"/>
        <v>0</v>
      </c>
      <c r="X90" s="193">
        <f>X88</f>
        <v>0</v>
      </c>
      <c r="Y90" s="193">
        <f>Y88</f>
        <v>0</v>
      </c>
      <c r="Z90" s="193">
        <f>Z88</f>
        <v>0</v>
      </c>
      <c r="AA90" s="193">
        <f>AA88</f>
        <v>0</v>
      </c>
      <c r="AB90" s="194">
        <f>SUM(P90:AA90)</f>
        <v>0</v>
      </c>
      <c r="AC90" s="193">
        <f aca="true" t="shared" si="240" ref="AC90:AK90">AC88</f>
        <v>0</v>
      </c>
      <c r="AD90" s="193">
        <f t="shared" si="240"/>
        <v>0</v>
      </c>
      <c r="AE90" s="193">
        <f t="shared" si="240"/>
        <v>0</v>
      </c>
      <c r="AF90" s="193">
        <f t="shared" si="240"/>
        <v>0</v>
      </c>
      <c r="AG90" s="193">
        <f t="shared" si="240"/>
        <v>0</v>
      </c>
      <c r="AH90" s="193">
        <f t="shared" si="240"/>
        <v>0</v>
      </c>
      <c r="AI90" s="193">
        <f t="shared" si="240"/>
        <v>0</v>
      </c>
      <c r="AJ90" s="193">
        <f t="shared" si="240"/>
        <v>0</v>
      </c>
      <c r="AK90" s="193">
        <f t="shared" si="240"/>
        <v>0</v>
      </c>
      <c r="AL90" s="193">
        <f>AL88</f>
        <v>0</v>
      </c>
      <c r="AM90" s="193">
        <f>AM88</f>
        <v>0</v>
      </c>
      <c r="AN90" s="193">
        <f>AN88</f>
        <v>0</v>
      </c>
      <c r="AO90" s="194">
        <f>SUM(AC90:AN90)</f>
        <v>0</v>
      </c>
      <c r="AP90" s="193">
        <f aca="true" t="shared" si="241" ref="AP90:BA90">AP88</f>
        <v>0</v>
      </c>
      <c r="AQ90" s="193">
        <f t="shared" si="241"/>
        <v>0</v>
      </c>
      <c r="AR90" s="193">
        <f t="shared" si="241"/>
        <v>0</v>
      </c>
      <c r="AS90" s="193">
        <f t="shared" si="241"/>
        <v>0</v>
      </c>
      <c r="AT90" s="193">
        <f t="shared" si="241"/>
        <v>0</v>
      </c>
      <c r="AU90" s="193">
        <f t="shared" si="241"/>
        <v>0</v>
      </c>
      <c r="AV90" s="193">
        <f t="shared" si="241"/>
        <v>0</v>
      </c>
      <c r="AW90" s="193">
        <f t="shared" si="241"/>
        <v>0</v>
      </c>
      <c r="AX90" s="193">
        <f t="shared" si="241"/>
        <v>0</v>
      </c>
      <c r="AY90" s="193">
        <f t="shared" si="241"/>
        <v>0</v>
      </c>
      <c r="AZ90" s="193">
        <f t="shared" si="241"/>
        <v>0</v>
      </c>
      <c r="BA90" s="193">
        <f t="shared" si="241"/>
        <v>0</v>
      </c>
      <c r="BB90" s="194">
        <f>SUM(AP90:BA90)</f>
        <v>0</v>
      </c>
      <c r="BC90" s="193">
        <f aca="true" t="shared" si="242" ref="BC90:BN90">BC88</f>
        <v>0</v>
      </c>
      <c r="BD90" s="193">
        <f t="shared" si="242"/>
        <v>0</v>
      </c>
      <c r="BE90" s="193">
        <f t="shared" si="242"/>
        <v>0</v>
      </c>
      <c r="BF90" s="193">
        <f t="shared" si="242"/>
        <v>0</v>
      </c>
      <c r="BG90" s="193">
        <f t="shared" si="242"/>
        <v>0</v>
      </c>
      <c r="BH90" s="193">
        <f t="shared" si="242"/>
        <v>0</v>
      </c>
      <c r="BI90" s="193">
        <f t="shared" si="242"/>
        <v>0</v>
      </c>
      <c r="BJ90" s="193">
        <f t="shared" si="242"/>
        <v>0</v>
      </c>
      <c r="BK90" s="193">
        <f t="shared" si="242"/>
        <v>0</v>
      </c>
      <c r="BL90" s="193">
        <f t="shared" si="242"/>
        <v>0</v>
      </c>
      <c r="BM90" s="193">
        <f t="shared" si="242"/>
        <v>0</v>
      </c>
      <c r="BN90" s="193">
        <f t="shared" si="242"/>
        <v>0</v>
      </c>
      <c r="BO90" s="194">
        <f>SUM(BC90:BN90)</f>
        <v>0</v>
      </c>
      <c r="BP90" s="193">
        <f aca="true" t="shared" si="243" ref="BP90:CA90">BP88</f>
        <v>0</v>
      </c>
      <c r="BQ90" s="193">
        <f t="shared" si="243"/>
        <v>0</v>
      </c>
      <c r="BR90" s="193">
        <f t="shared" si="243"/>
        <v>0</v>
      </c>
      <c r="BS90" s="193">
        <f t="shared" si="243"/>
        <v>0</v>
      </c>
      <c r="BT90" s="193">
        <f t="shared" si="243"/>
        <v>0</v>
      </c>
      <c r="BU90" s="193">
        <f t="shared" si="243"/>
        <v>0</v>
      </c>
      <c r="BV90" s="193">
        <f t="shared" si="243"/>
        <v>0</v>
      </c>
      <c r="BW90" s="193">
        <f t="shared" si="243"/>
        <v>0</v>
      </c>
      <c r="BX90" s="193">
        <f t="shared" si="243"/>
        <v>0</v>
      </c>
      <c r="BY90" s="193">
        <f t="shared" si="243"/>
        <v>0</v>
      </c>
      <c r="BZ90" s="193">
        <f t="shared" si="243"/>
        <v>0</v>
      </c>
      <c r="CA90" s="193">
        <f t="shared" si="243"/>
        <v>0</v>
      </c>
      <c r="CB90" s="194">
        <f>SUM(BP90:CA90)</f>
        <v>0</v>
      </c>
      <c r="CC90" s="193">
        <f aca="true" t="shared" si="244" ref="CC90:CN90">CC88</f>
        <v>0</v>
      </c>
      <c r="CD90" s="193">
        <f t="shared" si="244"/>
        <v>0</v>
      </c>
      <c r="CE90" s="193">
        <f t="shared" si="244"/>
        <v>0</v>
      </c>
      <c r="CF90" s="193">
        <f t="shared" si="244"/>
        <v>0</v>
      </c>
      <c r="CG90" s="193">
        <f t="shared" si="244"/>
        <v>0</v>
      </c>
      <c r="CH90" s="193">
        <f t="shared" si="244"/>
        <v>0</v>
      </c>
      <c r="CI90" s="193">
        <f t="shared" si="244"/>
        <v>0</v>
      </c>
      <c r="CJ90" s="193">
        <f t="shared" si="244"/>
        <v>0</v>
      </c>
      <c r="CK90" s="193">
        <f t="shared" si="244"/>
        <v>0</v>
      </c>
      <c r="CL90" s="193">
        <f t="shared" si="244"/>
        <v>0</v>
      </c>
      <c r="CM90" s="193">
        <f t="shared" si="244"/>
        <v>0</v>
      </c>
      <c r="CN90" s="193">
        <f t="shared" si="244"/>
        <v>0</v>
      </c>
      <c r="CO90" s="194">
        <f>SUM(CC90:CN90)</f>
        <v>0</v>
      </c>
      <c r="CP90" s="193">
        <f aca="true" t="shared" si="245" ref="CP90:DA90">CP88</f>
        <v>0</v>
      </c>
      <c r="CQ90" s="193">
        <f t="shared" si="245"/>
        <v>0</v>
      </c>
      <c r="CR90" s="193">
        <f t="shared" si="245"/>
        <v>0</v>
      </c>
      <c r="CS90" s="193">
        <f t="shared" si="245"/>
        <v>0</v>
      </c>
      <c r="CT90" s="193">
        <f t="shared" si="245"/>
        <v>0</v>
      </c>
      <c r="CU90" s="193">
        <f t="shared" si="245"/>
        <v>0</v>
      </c>
      <c r="CV90" s="193">
        <f t="shared" si="245"/>
        <v>0</v>
      </c>
      <c r="CW90" s="193">
        <f t="shared" si="245"/>
        <v>0</v>
      </c>
      <c r="CX90" s="193">
        <f t="shared" si="245"/>
        <v>0</v>
      </c>
      <c r="CY90" s="193">
        <f t="shared" si="245"/>
        <v>0</v>
      </c>
      <c r="CZ90" s="193">
        <f t="shared" si="245"/>
        <v>0</v>
      </c>
      <c r="DA90" s="193">
        <f t="shared" si="245"/>
        <v>0</v>
      </c>
      <c r="DB90" s="194">
        <f>SUM(CP90:DA90)</f>
        <v>0</v>
      </c>
      <c r="DC90" s="193">
        <f aca="true" t="shared" si="246" ref="DC90:DN90">DC88</f>
        <v>0</v>
      </c>
      <c r="DD90" s="193">
        <f t="shared" si="246"/>
        <v>0</v>
      </c>
      <c r="DE90" s="193">
        <f t="shared" si="246"/>
        <v>0</v>
      </c>
      <c r="DF90" s="193">
        <f t="shared" si="246"/>
        <v>0</v>
      </c>
      <c r="DG90" s="193">
        <f t="shared" si="246"/>
        <v>0</v>
      </c>
      <c r="DH90" s="193">
        <f t="shared" si="246"/>
        <v>0</v>
      </c>
      <c r="DI90" s="193">
        <f t="shared" si="246"/>
        <v>0</v>
      </c>
      <c r="DJ90" s="193">
        <f t="shared" si="246"/>
        <v>0</v>
      </c>
      <c r="DK90" s="193">
        <f t="shared" si="246"/>
        <v>0</v>
      </c>
      <c r="DL90" s="193">
        <f t="shared" si="246"/>
        <v>0</v>
      </c>
      <c r="DM90" s="193">
        <f t="shared" si="246"/>
        <v>0</v>
      </c>
      <c r="DN90" s="193">
        <f t="shared" si="246"/>
        <v>0</v>
      </c>
      <c r="DO90" s="194">
        <f>SUM(DC90:DN90)</f>
        <v>0</v>
      </c>
    </row>
    <row r="91" spans="1:119" ht="12.75" hidden="1">
      <c r="A91" s="187" t="s">
        <v>16</v>
      </c>
      <c r="B91" s="192">
        <f>DO91</f>
        <v>0</v>
      </c>
      <c r="C91" s="193">
        <f>C86</f>
        <v>0</v>
      </c>
      <c r="D91" s="193">
        <f aca="true" t="shared" si="247" ref="D91:N91">C91+D86-D89+D87</f>
        <v>0</v>
      </c>
      <c r="E91" s="193">
        <f t="shared" si="247"/>
        <v>0</v>
      </c>
      <c r="F91" s="193">
        <f t="shared" si="247"/>
        <v>0</v>
      </c>
      <c r="G91" s="193">
        <f t="shared" si="247"/>
        <v>0</v>
      </c>
      <c r="H91" s="193">
        <f t="shared" si="247"/>
        <v>0</v>
      </c>
      <c r="I91" s="193">
        <f t="shared" si="247"/>
        <v>0</v>
      </c>
      <c r="J91" s="193">
        <f t="shared" si="247"/>
        <v>0</v>
      </c>
      <c r="K91" s="193">
        <f t="shared" si="247"/>
        <v>0</v>
      </c>
      <c r="L91" s="193">
        <f t="shared" si="247"/>
        <v>0</v>
      </c>
      <c r="M91" s="193">
        <f t="shared" si="247"/>
        <v>0</v>
      </c>
      <c r="N91" s="193">
        <f t="shared" si="247"/>
        <v>0</v>
      </c>
      <c r="O91" s="194">
        <f>N91</f>
        <v>0</v>
      </c>
      <c r="P91" s="193">
        <f aca="true" t="shared" si="248" ref="P91:AA91">O91+P86-P89+P87</f>
        <v>0</v>
      </c>
      <c r="Q91" s="193">
        <f t="shared" si="248"/>
        <v>0</v>
      </c>
      <c r="R91" s="193">
        <f t="shared" si="248"/>
        <v>0</v>
      </c>
      <c r="S91" s="193">
        <f t="shared" si="248"/>
        <v>0</v>
      </c>
      <c r="T91" s="193">
        <f t="shared" si="248"/>
        <v>0</v>
      </c>
      <c r="U91" s="193">
        <f t="shared" si="248"/>
        <v>0</v>
      </c>
      <c r="V91" s="193">
        <f t="shared" si="248"/>
        <v>0</v>
      </c>
      <c r="W91" s="193">
        <f t="shared" si="248"/>
        <v>0</v>
      </c>
      <c r="X91" s="193">
        <f t="shared" si="248"/>
        <v>0</v>
      </c>
      <c r="Y91" s="193">
        <f t="shared" si="248"/>
        <v>0</v>
      </c>
      <c r="Z91" s="193">
        <f t="shared" si="248"/>
        <v>0</v>
      </c>
      <c r="AA91" s="193">
        <f t="shared" si="248"/>
        <v>0</v>
      </c>
      <c r="AB91" s="194">
        <f>AA91</f>
        <v>0</v>
      </c>
      <c r="AC91" s="193">
        <f aca="true" t="shared" si="249" ref="AC91:AN91">AB91+AC86-AC89+AC87</f>
        <v>0</v>
      </c>
      <c r="AD91" s="193">
        <f t="shared" si="249"/>
        <v>0</v>
      </c>
      <c r="AE91" s="193">
        <f t="shared" si="249"/>
        <v>0</v>
      </c>
      <c r="AF91" s="193">
        <f t="shared" si="249"/>
        <v>0</v>
      </c>
      <c r="AG91" s="193">
        <f t="shared" si="249"/>
        <v>0</v>
      </c>
      <c r="AH91" s="193">
        <f t="shared" si="249"/>
        <v>0</v>
      </c>
      <c r="AI91" s="193">
        <f t="shared" si="249"/>
        <v>0</v>
      </c>
      <c r="AJ91" s="193">
        <f t="shared" si="249"/>
        <v>0</v>
      </c>
      <c r="AK91" s="193">
        <f t="shared" si="249"/>
        <v>0</v>
      </c>
      <c r="AL91" s="193">
        <f t="shared" si="249"/>
        <v>0</v>
      </c>
      <c r="AM91" s="193">
        <f t="shared" si="249"/>
        <v>0</v>
      </c>
      <c r="AN91" s="193">
        <f t="shared" si="249"/>
        <v>0</v>
      </c>
      <c r="AO91" s="194">
        <f>AN91</f>
        <v>0</v>
      </c>
      <c r="AP91" s="193">
        <f aca="true" t="shared" si="250" ref="AP91:BA91">AO91+AP86-AP89+AP87</f>
        <v>0</v>
      </c>
      <c r="AQ91" s="193">
        <f t="shared" si="250"/>
        <v>0</v>
      </c>
      <c r="AR91" s="193">
        <f t="shared" si="250"/>
        <v>0</v>
      </c>
      <c r="AS91" s="193">
        <f t="shared" si="250"/>
        <v>0</v>
      </c>
      <c r="AT91" s="193">
        <f t="shared" si="250"/>
        <v>0</v>
      </c>
      <c r="AU91" s="193">
        <f t="shared" si="250"/>
        <v>0</v>
      </c>
      <c r="AV91" s="193">
        <f t="shared" si="250"/>
        <v>0</v>
      </c>
      <c r="AW91" s="193">
        <f t="shared" si="250"/>
        <v>0</v>
      </c>
      <c r="AX91" s="193">
        <f t="shared" si="250"/>
        <v>0</v>
      </c>
      <c r="AY91" s="193">
        <f t="shared" si="250"/>
        <v>0</v>
      </c>
      <c r="AZ91" s="193">
        <f t="shared" si="250"/>
        <v>0</v>
      </c>
      <c r="BA91" s="193">
        <f t="shared" si="250"/>
        <v>0</v>
      </c>
      <c r="BB91" s="194">
        <f>BA91</f>
        <v>0</v>
      </c>
      <c r="BC91" s="193">
        <f aca="true" t="shared" si="251" ref="BC91:BN91">BB91+BC86-BC89+BC87</f>
        <v>0</v>
      </c>
      <c r="BD91" s="193">
        <f t="shared" si="251"/>
        <v>0</v>
      </c>
      <c r="BE91" s="193">
        <f t="shared" si="251"/>
        <v>0</v>
      </c>
      <c r="BF91" s="193">
        <f t="shared" si="251"/>
        <v>0</v>
      </c>
      <c r="BG91" s="193">
        <f t="shared" si="251"/>
        <v>0</v>
      </c>
      <c r="BH91" s="193">
        <f t="shared" si="251"/>
        <v>0</v>
      </c>
      <c r="BI91" s="193">
        <f t="shared" si="251"/>
        <v>0</v>
      </c>
      <c r="BJ91" s="193">
        <f t="shared" si="251"/>
        <v>0</v>
      </c>
      <c r="BK91" s="193">
        <f t="shared" si="251"/>
        <v>0</v>
      </c>
      <c r="BL91" s="193">
        <f t="shared" si="251"/>
        <v>0</v>
      </c>
      <c r="BM91" s="193">
        <f t="shared" si="251"/>
        <v>0</v>
      </c>
      <c r="BN91" s="193">
        <f t="shared" si="251"/>
        <v>0</v>
      </c>
      <c r="BO91" s="194">
        <f>BN91</f>
        <v>0</v>
      </c>
      <c r="BP91" s="193">
        <f aca="true" t="shared" si="252" ref="BP91:CA91">BO91+BP86-BP89+BP87</f>
        <v>0</v>
      </c>
      <c r="BQ91" s="193">
        <f t="shared" si="252"/>
        <v>0</v>
      </c>
      <c r="BR91" s="193">
        <f t="shared" si="252"/>
        <v>0</v>
      </c>
      <c r="BS91" s="193">
        <f t="shared" si="252"/>
        <v>0</v>
      </c>
      <c r="BT91" s="193">
        <f t="shared" si="252"/>
        <v>0</v>
      </c>
      <c r="BU91" s="193">
        <f t="shared" si="252"/>
        <v>0</v>
      </c>
      <c r="BV91" s="193">
        <f t="shared" si="252"/>
        <v>0</v>
      </c>
      <c r="BW91" s="193">
        <f t="shared" si="252"/>
        <v>0</v>
      </c>
      <c r="BX91" s="193">
        <f t="shared" si="252"/>
        <v>0</v>
      </c>
      <c r="BY91" s="193">
        <f t="shared" si="252"/>
        <v>0</v>
      </c>
      <c r="BZ91" s="193">
        <f t="shared" si="252"/>
        <v>0</v>
      </c>
      <c r="CA91" s="193">
        <f t="shared" si="252"/>
        <v>0</v>
      </c>
      <c r="CB91" s="194">
        <f>CA91</f>
        <v>0</v>
      </c>
      <c r="CC91" s="193">
        <f aca="true" t="shared" si="253" ref="CC91:CN91">CB91+CC86-CC89+CC87</f>
        <v>0</v>
      </c>
      <c r="CD91" s="193">
        <f t="shared" si="253"/>
        <v>0</v>
      </c>
      <c r="CE91" s="193">
        <f t="shared" si="253"/>
        <v>0</v>
      </c>
      <c r="CF91" s="193">
        <f t="shared" si="253"/>
        <v>0</v>
      </c>
      <c r="CG91" s="193">
        <f t="shared" si="253"/>
        <v>0</v>
      </c>
      <c r="CH91" s="193">
        <f t="shared" si="253"/>
        <v>0</v>
      </c>
      <c r="CI91" s="193">
        <f t="shared" si="253"/>
        <v>0</v>
      </c>
      <c r="CJ91" s="193">
        <f t="shared" si="253"/>
        <v>0</v>
      </c>
      <c r="CK91" s="193">
        <f t="shared" si="253"/>
        <v>0</v>
      </c>
      <c r="CL91" s="193">
        <f t="shared" si="253"/>
        <v>0</v>
      </c>
      <c r="CM91" s="193">
        <f t="shared" si="253"/>
        <v>0</v>
      </c>
      <c r="CN91" s="193">
        <f t="shared" si="253"/>
        <v>0</v>
      </c>
      <c r="CO91" s="194">
        <f>CN91</f>
        <v>0</v>
      </c>
      <c r="CP91" s="193">
        <f aca="true" t="shared" si="254" ref="CP91:DA91">CO91+CP86-CP89+CP87</f>
        <v>0</v>
      </c>
      <c r="CQ91" s="193">
        <f t="shared" si="254"/>
        <v>0</v>
      </c>
      <c r="CR91" s="193">
        <f t="shared" si="254"/>
        <v>0</v>
      </c>
      <c r="CS91" s="193">
        <f t="shared" si="254"/>
        <v>0</v>
      </c>
      <c r="CT91" s="193">
        <f t="shared" si="254"/>
        <v>0</v>
      </c>
      <c r="CU91" s="193">
        <f t="shared" si="254"/>
        <v>0</v>
      </c>
      <c r="CV91" s="193">
        <f t="shared" si="254"/>
        <v>0</v>
      </c>
      <c r="CW91" s="193">
        <f t="shared" si="254"/>
        <v>0</v>
      </c>
      <c r="CX91" s="193">
        <f t="shared" si="254"/>
        <v>0</v>
      </c>
      <c r="CY91" s="193">
        <f t="shared" si="254"/>
        <v>0</v>
      </c>
      <c r="CZ91" s="193">
        <f t="shared" si="254"/>
        <v>0</v>
      </c>
      <c r="DA91" s="193">
        <f t="shared" si="254"/>
        <v>0</v>
      </c>
      <c r="DB91" s="194">
        <f>DA91</f>
        <v>0</v>
      </c>
      <c r="DC91" s="193">
        <f aca="true" t="shared" si="255" ref="DC91:DN91">DB91+DC86-DC89+DC87</f>
        <v>0</v>
      </c>
      <c r="DD91" s="193">
        <f t="shared" si="255"/>
        <v>0</v>
      </c>
      <c r="DE91" s="193">
        <f t="shared" si="255"/>
        <v>0</v>
      </c>
      <c r="DF91" s="193">
        <f t="shared" si="255"/>
        <v>0</v>
      </c>
      <c r="DG91" s="193">
        <f t="shared" si="255"/>
        <v>0</v>
      </c>
      <c r="DH91" s="193">
        <f t="shared" si="255"/>
        <v>0</v>
      </c>
      <c r="DI91" s="193">
        <f t="shared" si="255"/>
        <v>0</v>
      </c>
      <c r="DJ91" s="193">
        <f t="shared" si="255"/>
        <v>0</v>
      </c>
      <c r="DK91" s="193">
        <f t="shared" si="255"/>
        <v>0</v>
      </c>
      <c r="DL91" s="193">
        <f t="shared" si="255"/>
        <v>0</v>
      </c>
      <c r="DM91" s="193">
        <f t="shared" si="255"/>
        <v>0</v>
      </c>
      <c r="DN91" s="193">
        <f t="shared" si="255"/>
        <v>0</v>
      </c>
      <c r="DO91" s="194">
        <f>DN91</f>
        <v>0</v>
      </c>
    </row>
    <row r="92" spans="1:119" ht="12.75" hidden="1">
      <c r="A92" s="176" t="s">
        <v>78</v>
      </c>
      <c r="B92" s="280">
        <f>Исх!$C$42*12-Исх!$C$43</f>
        <v>72</v>
      </c>
      <c r="CP92" s="179"/>
      <c r="DB92" s="176"/>
      <c r="DO92" s="176"/>
    </row>
    <row r="93" spans="1:119" ht="12.75" hidden="1">
      <c r="A93" s="283" t="s">
        <v>249</v>
      </c>
      <c r="B93" s="284">
        <f>$W$91*$B$20/12/((1-(1+$B$20/12)^-$B92))</f>
        <v>0</v>
      </c>
      <c r="DB93" s="176"/>
      <c r="DO93" s="176"/>
    </row>
    <row r="94" spans="1:119" ht="7.5" customHeight="1" hidden="1">
      <c r="A94" s="281"/>
      <c r="B94" s="278"/>
      <c r="DB94" s="176"/>
      <c r="DO94" s="176"/>
    </row>
    <row r="95" spans="1:119" ht="12.75" hidden="1">
      <c r="A95" s="267" t="s">
        <v>238</v>
      </c>
      <c r="DB95" s="176"/>
      <c r="DO95" s="176"/>
    </row>
    <row r="96" spans="1:119" ht="12.75" hidden="1" outlineLevel="1">
      <c r="A96" s="268">
        <f>B86+B87-B89</f>
        <v>0</v>
      </c>
      <c r="DB96" s="176"/>
      <c r="DO96" s="176"/>
    </row>
    <row r="97" spans="1:119" ht="12.75" hidden="1" outlineLevel="1">
      <c r="A97" s="268">
        <f>B88-B87-B90</f>
        <v>0</v>
      </c>
      <c r="DB97" s="176"/>
      <c r="DO97" s="176"/>
    </row>
    <row r="98" ht="12.75" collapsed="1"/>
  </sheetData>
  <sheetProtection/>
  <mergeCells count="54">
    <mergeCell ref="CP20:DB20"/>
    <mergeCell ref="CC5:CO5"/>
    <mergeCell ref="C5:O5"/>
    <mergeCell ref="P5:AB5"/>
    <mergeCell ref="AC5:AO5"/>
    <mergeCell ref="AP5:BB5"/>
    <mergeCell ref="BC5:BO5"/>
    <mergeCell ref="BP5:CB5"/>
    <mergeCell ref="DC20:DO20"/>
    <mergeCell ref="CP5:DB5"/>
    <mergeCell ref="DC5:DO5"/>
    <mergeCell ref="C20:O20"/>
    <mergeCell ref="P20:AB20"/>
    <mergeCell ref="AC20:AO20"/>
    <mergeCell ref="AP20:BB20"/>
    <mergeCell ref="BC20:BO20"/>
    <mergeCell ref="BP20:CB20"/>
    <mergeCell ref="CC20:CO20"/>
    <mergeCell ref="C36:O36"/>
    <mergeCell ref="P36:AB36"/>
    <mergeCell ref="AC36:AO36"/>
    <mergeCell ref="AP36:BB36"/>
    <mergeCell ref="BC36:BO36"/>
    <mergeCell ref="BP36:CB36"/>
    <mergeCell ref="CC36:CO36"/>
    <mergeCell ref="CP36:DB36"/>
    <mergeCell ref="DC36:DO36"/>
    <mergeCell ref="C52:O52"/>
    <mergeCell ref="P52:AB52"/>
    <mergeCell ref="AC52:AO52"/>
    <mergeCell ref="AP52:BB52"/>
    <mergeCell ref="BC52:BO52"/>
    <mergeCell ref="BP52:CB52"/>
    <mergeCell ref="CC52:CO52"/>
    <mergeCell ref="CP52:DB52"/>
    <mergeCell ref="DC52:DO52"/>
    <mergeCell ref="C68:O68"/>
    <mergeCell ref="P68:AB68"/>
    <mergeCell ref="AC68:AO68"/>
    <mergeCell ref="AP68:BB68"/>
    <mergeCell ref="BC68:BO68"/>
    <mergeCell ref="BP68:CB68"/>
    <mergeCell ref="CC68:CO68"/>
    <mergeCell ref="CP68:DB68"/>
    <mergeCell ref="DC68:DO68"/>
    <mergeCell ref="C84:O84"/>
    <mergeCell ref="P84:AB84"/>
    <mergeCell ref="AC84:AO84"/>
    <mergeCell ref="AP84:BB84"/>
    <mergeCell ref="BC84:BO84"/>
    <mergeCell ref="BP84:CB84"/>
    <mergeCell ref="CC84:CO84"/>
    <mergeCell ref="CP84:DB84"/>
    <mergeCell ref="DC84:DO84"/>
  </mergeCells>
  <printOptions/>
  <pageMargins left="0.35433070866141736" right="0.1968503937007874" top="0.9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T26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9" sqref="N9"/>
    </sheetView>
  </sheetViews>
  <sheetFormatPr defaultColWidth="8.875" defaultRowHeight="12.75" outlineLevelRow="1" outlineLevelCol="1"/>
  <cols>
    <col min="1" max="1" width="33.00390625" style="77" customWidth="1"/>
    <col min="2" max="3" width="9.125" style="77" bestFit="1" customWidth="1"/>
    <col min="4" max="4" width="10.00390625" style="77" customWidth="1"/>
    <col min="5" max="7" width="3.875" style="77" customWidth="1" outlineLevel="1"/>
    <col min="8" max="15" width="7.625" style="77" bestFit="1" customWidth="1" outlineLevel="1"/>
    <col min="16" max="16" width="9.125" style="77" bestFit="1" customWidth="1" outlineLevel="1"/>
    <col min="17" max="17" width="9.125" style="77" bestFit="1" customWidth="1"/>
    <col min="18" max="18" width="4.125" style="77" customWidth="1"/>
    <col min="19" max="19" width="16.00390625" style="77" customWidth="1"/>
    <col min="20" max="20" width="12.875" style="77" bestFit="1" customWidth="1"/>
    <col min="21" max="16384" width="8.875" style="77" customWidth="1"/>
  </cols>
  <sheetData>
    <row r="2" spans="1:19" ht="12.75">
      <c r="A2" s="61" t="s">
        <v>254</v>
      </c>
      <c r="B2" s="172"/>
      <c r="Q2" s="146"/>
      <c r="R2" s="200"/>
      <c r="S2" s="170"/>
    </row>
    <row r="3" spans="1:19" ht="17.25" customHeight="1">
      <c r="A3" s="381" t="s">
        <v>185</v>
      </c>
      <c r="B3" s="382" t="s">
        <v>155</v>
      </c>
      <c r="C3" s="382" t="s">
        <v>156</v>
      </c>
      <c r="D3" s="383" t="s">
        <v>189</v>
      </c>
      <c r="E3" s="335">
        <v>2014</v>
      </c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7"/>
      <c r="Q3" s="90" t="s">
        <v>0</v>
      </c>
      <c r="R3" s="200"/>
      <c r="S3" s="201"/>
    </row>
    <row r="4" spans="1:17" ht="12.75">
      <c r="A4" s="381"/>
      <c r="B4" s="382"/>
      <c r="C4" s="382"/>
      <c r="D4" s="383"/>
      <c r="E4" s="202">
        <v>1</v>
      </c>
      <c r="F4" s="202">
        <v>2</v>
      </c>
      <c r="G4" s="202">
        <v>3</v>
      </c>
      <c r="H4" s="202">
        <v>4</v>
      </c>
      <c r="I4" s="202">
        <v>5</v>
      </c>
      <c r="J4" s="202">
        <v>6</v>
      </c>
      <c r="K4" s="202">
        <v>7</v>
      </c>
      <c r="L4" s="202">
        <v>8</v>
      </c>
      <c r="M4" s="202">
        <v>9</v>
      </c>
      <c r="N4" s="202">
        <v>10</v>
      </c>
      <c r="O4" s="202">
        <v>11</v>
      </c>
      <c r="P4" s="202">
        <v>12</v>
      </c>
      <c r="Q4" s="92">
        <v>2014</v>
      </c>
    </row>
    <row r="5" spans="1:19" s="61" customFormat="1" ht="12.75">
      <c r="A5" s="203" t="s">
        <v>184</v>
      </c>
      <c r="B5" s="204"/>
      <c r="C5" s="204"/>
      <c r="D5" s="143">
        <f aca="true" t="shared" si="0" ref="D5:Q5">SUM(D6:D7)</f>
        <v>674068.5</v>
      </c>
      <c r="E5" s="143">
        <f t="shared" si="0"/>
        <v>0</v>
      </c>
      <c r="F5" s="143">
        <f t="shared" si="0"/>
        <v>0</v>
      </c>
      <c r="G5" s="143">
        <f t="shared" si="0"/>
        <v>0</v>
      </c>
      <c r="H5" s="143">
        <f t="shared" si="0"/>
        <v>134813.7</v>
      </c>
      <c r="I5" s="143">
        <f t="shared" si="0"/>
        <v>134813.7</v>
      </c>
      <c r="J5" s="143">
        <f t="shared" si="0"/>
        <v>134813.7</v>
      </c>
      <c r="K5" s="143">
        <f t="shared" si="0"/>
        <v>134813.7</v>
      </c>
      <c r="L5" s="143">
        <f t="shared" si="0"/>
        <v>134813.7</v>
      </c>
      <c r="M5" s="143">
        <f t="shared" si="0"/>
        <v>0</v>
      </c>
      <c r="N5" s="143">
        <f t="shared" si="0"/>
        <v>0</v>
      </c>
      <c r="O5" s="143">
        <f t="shared" si="0"/>
        <v>0</v>
      </c>
      <c r="P5" s="143">
        <f t="shared" si="0"/>
        <v>0</v>
      </c>
      <c r="Q5" s="143">
        <f t="shared" si="0"/>
        <v>674068.5</v>
      </c>
      <c r="S5" s="77"/>
    </row>
    <row r="6" spans="1:19" ht="12.75" outlineLevel="1">
      <c r="A6" s="250" t="s">
        <v>341</v>
      </c>
      <c r="B6" s="242">
        <v>6300</v>
      </c>
      <c r="C6" s="242">
        <f>700*Исх!$C$5/1000</f>
        <v>106.995</v>
      </c>
      <c r="D6" s="153">
        <f>B6*C6</f>
        <v>674068.5</v>
      </c>
      <c r="E6" s="153"/>
      <c r="F6" s="153"/>
      <c r="G6" s="153"/>
      <c r="H6" s="153">
        <f>$D6/5</f>
        <v>134813.7</v>
      </c>
      <c r="I6" s="153">
        <f>$D6/5</f>
        <v>134813.7</v>
      </c>
      <c r="J6" s="153">
        <f>$D6/5</f>
        <v>134813.7</v>
      </c>
      <c r="K6" s="153">
        <f>$D6/5</f>
        <v>134813.7</v>
      </c>
      <c r="L6" s="153">
        <f>$D6/5</f>
        <v>134813.7</v>
      </c>
      <c r="M6" s="153"/>
      <c r="N6" s="153"/>
      <c r="O6" s="153"/>
      <c r="P6" s="153"/>
      <c r="Q6" s="154">
        <f>SUM(E6:P6)</f>
        <v>674068.5</v>
      </c>
      <c r="S6" s="286" t="s">
        <v>342</v>
      </c>
    </row>
    <row r="7" spans="1:17" ht="12.75" outlineLevel="1">
      <c r="A7" s="250"/>
      <c r="B7" s="83"/>
      <c r="C7" s="144"/>
      <c r="D7" s="153">
        <f>B7*C7</f>
        <v>0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>
        <f>SUM(E7:P7)</f>
        <v>0</v>
      </c>
    </row>
    <row r="8" spans="1:17" ht="12.75">
      <c r="A8" s="203" t="s">
        <v>105</v>
      </c>
      <c r="B8" s="204"/>
      <c r="C8" s="204"/>
      <c r="D8" s="143">
        <f aca="true" t="shared" si="1" ref="D8:Q8">SUM(D9:D10)</f>
        <v>682801.0112000001</v>
      </c>
      <c r="E8" s="143">
        <f t="shared" si="1"/>
        <v>0</v>
      </c>
      <c r="F8" s="143">
        <f t="shared" si="1"/>
        <v>0</v>
      </c>
      <c r="G8" s="143">
        <f t="shared" si="1"/>
        <v>0</v>
      </c>
      <c r="H8" s="143">
        <f t="shared" si="1"/>
        <v>0</v>
      </c>
      <c r="I8" s="143">
        <f t="shared" si="1"/>
        <v>0</v>
      </c>
      <c r="J8" s="143">
        <f t="shared" si="1"/>
        <v>227600.3370666667</v>
      </c>
      <c r="K8" s="143">
        <f t="shared" si="1"/>
        <v>0</v>
      </c>
      <c r="L8" s="143">
        <f t="shared" si="1"/>
        <v>227600.3370666667</v>
      </c>
      <c r="M8" s="143">
        <f t="shared" si="1"/>
        <v>0</v>
      </c>
      <c r="N8" s="143">
        <f t="shared" si="1"/>
        <v>227600.3370666667</v>
      </c>
      <c r="O8" s="143">
        <f t="shared" si="1"/>
        <v>0</v>
      </c>
      <c r="P8" s="143">
        <f t="shared" si="1"/>
        <v>0</v>
      </c>
      <c r="Q8" s="143">
        <f t="shared" si="1"/>
        <v>682801.0112000001</v>
      </c>
    </row>
    <row r="9" spans="1:20" ht="25.5" outlineLevel="1">
      <c r="A9" s="250" t="s">
        <v>339</v>
      </c>
      <c r="B9" s="144">
        <v>1</v>
      </c>
      <c r="C9" s="144">
        <f>22160*Исх!$C$6*1.1*1.12</f>
        <v>682801.0112000001</v>
      </c>
      <c r="D9" s="153">
        <f>B9*C9</f>
        <v>682801.0112000001</v>
      </c>
      <c r="E9" s="153"/>
      <c r="F9" s="153"/>
      <c r="G9" s="153"/>
      <c r="H9" s="153"/>
      <c r="I9" s="153"/>
      <c r="J9" s="153">
        <f>$D9/3</f>
        <v>227600.3370666667</v>
      </c>
      <c r="K9" s="153"/>
      <c r="L9" s="153">
        <f>$D9/3</f>
        <v>227600.3370666667</v>
      </c>
      <c r="M9" s="153"/>
      <c r="N9" s="153">
        <f>$D9/3</f>
        <v>227600.3370666667</v>
      </c>
      <c r="O9" s="153"/>
      <c r="P9" s="153"/>
      <c r="Q9" s="154">
        <f>SUM(E9:P9)</f>
        <v>682801.0112000001</v>
      </c>
      <c r="S9" s="286" t="s">
        <v>340</v>
      </c>
      <c r="T9" s="311"/>
    </row>
    <row r="10" spans="1:20" ht="12.75" outlineLevel="1">
      <c r="A10" s="250"/>
      <c r="B10" s="144"/>
      <c r="C10" s="144"/>
      <c r="D10" s="153">
        <f>B10*C10</f>
        <v>0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>
        <f>SUM(E10:P10)</f>
        <v>0</v>
      </c>
      <c r="T10" s="311"/>
    </row>
    <row r="11" spans="1:17" ht="12.75">
      <c r="A11" s="203" t="s">
        <v>330</v>
      </c>
      <c r="B11" s="204"/>
      <c r="C11" s="204"/>
      <c r="D11" s="143">
        <f aca="true" t="shared" si="2" ref="D11:Q11">SUM(D12:D13)</f>
        <v>17449.864</v>
      </c>
      <c r="E11" s="143">
        <f t="shared" si="2"/>
        <v>0</v>
      </c>
      <c r="F11" s="143">
        <f t="shared" si="2"/>
        <v>0</v>
      </c>
      <c r="G11" s="143">
        <f t="shared" si="2"/>
        <v>0</v>
      </c>
      <c r="H11" s="143">
        <f t="shared" si="2"/>
        <v>0</v>
      </c>
      <c r="I11" s="143">
        <f t="shared" si="2"/>
        <v>0</v>
      </c>
      <c r="J11" s="143">
        <f t="shared" si="2"/>
        <v>0</v>
      </c>
      <c r="K11" s="143">
        <f t="shared" si="2"/>
        <v>0</v>
      </c>
      <c r="L11" s="143">
        <f t="shared" si="2"/>
        <v>0</v>
      </c>
      <c r="M11" s="143">
        <f t="shared" si="2"/>
        <v>0</v>
      </c>
      <c r="N11" s="143">
        <f t="shared" si="2"/>
        <v>0</v>
      </c>
      <c r="O11" s="143">
        <f t="shared" si="2"/>
        <v>17449.864</v>
      </c>
      <c r="P11" s="143">
        <f t="shared" si="2"/>
        <v>0</v>
      </c>
      <c r="Q11" s="143">
        <f t="shared" si="2"/>
        <v>17449.864</v>
      </c>
    </row>
    <row r="12" spans="1:20" ht="12.75" outlineLevel="1">
      <c r="A12" s="276" t="s">
        <v>357</v>
      </c>
      <c r="B12" s="144">
        <v>1</v>
      </c>
      <c r="C12" s="144">
        <v>8500</v>
      </c>
      <c r="D12" s="153">
        <f>B12*C12</f>
        <v>8500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>
        <f>D12</f>
        <v>8500</v>
      </c>
      <c r="P12" s="153"/>
      <c r="Q12" s="154">
        <f>SUM(E12:P12)</f>
        <v>8500</v>
      </c>
      <c r="T12" s="311"/>
    </row>
    <row r="13" spans="1:20" ht="12.75" outlineLevel="1">
      <c r="A13" s="276" t="s">
        <v>358</v>
      </c>
      <c r="B13" s="144">
        <v>3</v>
      </c>
      <c r="C13" s="144">
        <f>584.5*Исх!$C$7*1.1</f>
        <v>2983.288</v>
      </c>
      <c r="D13" s="153">
        <f>B13*C13</f>
        <v>8949.864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>
        <f>D13</f>
        <v>8949.864</v>
      </c>
      <c r="P13" s="153"/>
      <c r="Q13" s="154">
        <f>SUM(E13:P13)</f>
        <v>8949.864</v>
      </c>
      <c r="S13" s="286" t="s">
        <v>319</v>
      </c>
      <c r="T13" s="311"/>
    </row>
    <row r="14" spans="1:17" ht="12.75">
      <c r="A14" s="140" t="s">
        <v>0</v>
      </c>
      <c r="B14" s="167"/>
      <c r="C14" s="167"/>
      <c r="D14" s="167">
        <f aca="true" t="shared" si="3" ref="D14:Q14">D5+D8+D11</f>
        <v>1374319.3752000001</v>
      </c>
      <c r="E14" s="167">
        <f t="shared" si="3"/>
        <v>0</v>
      </c>
      <c r="F14" s="167">
        <f t="shared" si="3"/>
        <v>0</v>
      </c>
      <c r="G14" s="167">
        <f t="shared" si="3"/>
        <v>0</v>
      </c>
      <c r="H14" s="167">
        <f t="shared" si="3"/>
        <v>134813.7</v>
      </c>
      <c r="I14" s="167">
        <f t="shared" si="3"/>
        <v>134813.7</v>
      </c>
      <c r="J14" s="167">
        <f t="shared" si="3"/>
        <v>362414.0370666667</v>
      </c>
      <c r="K14" s="167">
        <f t="shared" si="3"/>
        <v>134813.7</v>
      </c>
      <c r="L14" s="167">
        <f t="shared" si="3"/>
        <v>362414.0370666667</v>
      </c>
      <c r="M14" s="167">
        <f t="shared" si="3"/>
        <v>0</v>
      </c>
      <c r="N14" s="167">
        <f t="shared" si="3"/>
        <v>227600.3370666667</v>
      </c>
      <c r="O14" s="167">
        <f t="shared" si="3"/>
        <v>17449.864</v>
      </c>
      <c r="P14" s="167">
        <f t="shared" si="3"/>
        <v>0</v>
      </c>
      <c r="Q14" s="167">
        <f t="shared" si="3"/>
        <v>1374319.3752000001</v>
      </c>
    </row>
    <row r="15" ht="12.75">
      <c r="D15" s="200">
        <f>D14-Q14</f>
        <v>0</v>
      </c>
    </row>
    <row r="16" spans="2:4" ht="12.75">
      <c r="B16" s="146" t="s">
        <v>59</v>
      </c>
      <c r="C16" s="200" t="s">
        <v>43</v>
      </c>
      <c r="D16" s="205" t="s">
        <v>98</v>
      </c>
    </row>
    <row r="17" spans="1:4" ht="12.75">
      <c r="A17" s="77" t="s">
        <v>109</v>
      </c>
      <c r="B17" s="200">
        <f>D5</f>
        <v>674068.5</v>
      </c>
      <c r="C17" s="200">
        <f>B17/Исх!$C$19</f>
        <v>601846.875</v>
      </c>
      <c r="D17" s="168">
        <f>B17/Исх!$C$5</f>
        <v>4410</v>
      </c>
    </row>
    <row r="18" spans="1:4" ht="12.75">
      <c r="A18" s="77" t="s">
        <v>105</v>
      </c>
      <c r="B18" s="200">
        <f>D8</f>
        <v>682801.0112000001</v>
      </c>
      <c r="C18" s="200">
        <f>B18/Исх!$C$19</f>
        <v>609643.76</v>
      </c>
      <c r="D18" s="168">
        <f>B18/Исх!$C$5</f>
        <v>4467.131247628395</v>
      </c>
    </row>
    <row r="19" spans="1:12" ht="12.75">
      <c r="A19" s="77" t="s">
        <v>190</v>
      </c>
      <c r="B19" s="200">
        <f>D11</f>
        <v>17449.864</v>
      </c>
      <c r="C19" s="200">
        <f>B19/Исх!$C$19</f>
        <v>15580.235714285714</v>
      </c>
      <c r="D19" s="168">
        <f>B19/Исх!$C$5</f>
        <v>114.16332351979065</v>
      </c>
      <c r="L19" s="172"/>
    </row>
    <row r="20" spans="1:4" ht="12.75">
      <c r="A20" s="61" t="s">
        <v>89</v>
      </c>
      <c r="B20" s="206">
        <f>SUM(B17:B19)</f>
        <v>1374319.3752000001</v>
      </c>
      <c r="C20" s="206">
        <f>SUM(C17:C19)</f>
        <v>1227070.8707142856</v>
      </c>
      <c r="D20" s="206">
        <f>SUM(D17:D19)</f>
        <v>8991.294571148186</v>
      </c>
    </row>
    <row r="23" spans="1:17" ht="12.75">
      <c r="A23" s="77" t="s">
        <v>248</v>
      </c>
      <c r="D23" s="200">
        <f>Q23</f>
        <v>0</v>
      </c>
      <c r="H23" s="200">
        <f aca="true" t="shared" si="4" ref="H23:O23">G23+H5</f>
        <v>134813.7</v>
      </c>
      <c r="I23" s="200">
        <f t="shared" si="4"/>
        <v>269627.4</v>
      </c>
      <c r="J23" s="200">
        <f t="shared" si="4"/>
        <v>404441.10000000003</v>
      </c>
      <c r="K23" s="200">
        <f t="shared" si="4"/>
        <v>539254.8</v>
      </c>
      <c r="L23" s="200">
        <f t="shared" si="4"/>
        <v>674068.5</v>
      </c>
      <c r="M23" s="200">
        <f t="shared" si="4"/>
        <v>674068.5</v>
      </c>
      <c r="N23" s="200">
        <f t="shared" si="4"/>
        <v>674068.5</v>
      </c>
      <c r="O23" s="200">
        <f t="shared" si="4"/>
        <v>674068.5</v>
      </c>
      <c r="Q23" s="200">
        <f>P23</f>
        <v>0</v>
      </c>
    </row>
    <row r="24" spans="1:17" ht="12.75">
      <c r="A24" s="77" t="s">
        <v>263</v>
      </c>
      <c r="D24" s="200">
        <f>Q24</f>
        <v>0</v>
      </c>
      <c r="I24" s="200">
        <f aca="true" t="shared" si="5" ref="I24:N24">H24+I8</f>
        <v>0</v>
      </c>
      <c r="J24" s="200">
        <f t="shared" si="5"/>
        <v>227600.3370666667</v>
      </c>
      <c r="K24" s="200">
        <f t="shared" si="5"/>
        <v>227600.3370666667</v>
      </c>
      <c r="L24" s="200">
        <f t="shared" si="5"/>
        <v>455200.6741333334</v>
      </c>
      <c r="M24" s="200">
        <f t="shared" si="5"/>
        <v>455200.6741333334</v>
      </c>
      <c r="N24" s="200">
        <f t="shared" si="5"/>
        <v>682801.0112000001</v>
      </c>
      <c r="O24" s="200">
        <f>N24+O8+O11</f>
        <v>700250.8752000001</v>
      </c>
      <c r="Q24" s="200">
        <f>P24</f>
        <v>0</v>
      </c>
    </row>
    <row r="25" spans="1:17" ht="12.75">
      <c r="A25" s="77" t="s">
        <v>264</v>
      </c>
      <c r="D25" s="200">
        <f>Q25</f>
        <v>1374319.3752000001</v>
      </c>
      <c r="O25" s="200"/>
      <c r="P25" s="200">
        <f>D5+D8+D11</f>
        <v>1374319.3752000001</v>
      </c>
      <c r="Q25" s="200">
        <f>SUM(E25:P25)</f>
        <v>1374319.3752000001</v>
      </c>
    </row>
    <row r="26" spans="1:17" ht="12.75">
      <c r="A26" s="77" t="s">
        <v>296</v>
      </c>
      <c r="D26" s="200">
        <f>D25/Исх!$C$19</f>
        <v>1227070.8707142856</v>
      </c>
      <c r="P26" s="200">
        <f>P25/Исх!$C$19</f>
        <v>1227070.8707142856</v>
      </c>
      <c r="Q26" s="200">
        <f>Q25/Исх!$C$19</f>
        <v>1227070.8707142856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S9" r:id="rId1" display="http://asia-business.ru/price/table/index.php?inside_admin=1&amp;inside_admin=1&amp;div1=1&amp;div2=47&amp;p=14977&amp;ref=yes#14977"/>
    <hyperlink ref="S6" r:id="rId2" display="http://asia-business.ru/torg/equipment/food/storage/storage_1672.html"/>
    <hyperlink ref="S13" r:id="rId3" display="http://www.avtogaz.ru/evroplatforma/"/>
  </hyperlinks>
  <printOptions/>
  <pageMargins left="0.2" right="0.2362204724409449" top="0.7086614173228347" bottom="0.2755905511811024" header="0.5118110236220472" footer="0.1968503937007874"/>
  <pageSetup horizontalDpi="600" verticalDpi="600" orientation="landscape" paperSize="9" scale="96"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E21" sqref="E21"/>
    </sheetView>
  </sheetViews>
  <sheetFormatPr defaultColWidth="9.00390625" defaultRowHeight="12.75"/>
  <cols>
    <col min="1" max="1" width="38.625" style="77" customWidth="1"/>
    <col min="2" max="2" width="7.875" style="77" hidden="1" customWidth="1"/>
    <col min="3" max="3" width="9.75390625" style="77" customWidth="1"/>
    <col min="4" max="16384" width="9.125" style="77" customWidth="1"/>
  </cols>
  <sheetData>
    <row r="1" spans="1:6" ht="12.75">
      <c r="A1" s="61" t="s">
        <v>74</v>
      </c>
      <c r="B1" s="61"/>
      <c r="C1" s="61"/>
      <c r="D1" s="61"/>
      <c r="E1" s="61"/>
      <c r="F1" s="61"/>
    </row>
    <row r="2" spans="1:9" ht="12.75">
      <c r="A2" s="207"/>
      <c r="B2" s="207"/>
      <c r="C2" s="207"/>
      <c r="D2" s="207"/>
      <c r="E2" s="207"/>
      <c r="F2" s="207"/>
      <c r="I2" s="146" t="str">
        <f>Исх!C10</f>
        <v>тыс.тг.</v>
      </c>
    </row>
    <row r="3" spans="1:9" ht="12.75">
      <c r="A3" s="216" t="s">
        <v>9</v>
      </c>
      <c r="B3" s="232">
        <v>2014</v>
      </c>
      <c r="C3" s="232">
        <f aca="true" t="shared" si="0" ref="C3:H3">B3+1</f>
        <v>2015</v>
      </c>
      <c r="D3" s="232">
        <f t="shared" si="0"/>
        <v>2016</v>
      </c>
      <c r="E3" s="232">
        <f t="shared" si="0"/>
        <v>2017</v>
      </c>
      <c r="F3" s="232">
        <f t="shared" si="0"/>
        <v>2018</v>
      </c>
      <c r="G3" s="232">
        <f t="shared" si="0"/>
        <v>2019</v>
      </c>
      <c r="H3" s="232">
        <f t="shared" si="0"/>
        <v>2020</v>
      </c>
      <c r="I3" s="232">
        <f>H3+1</f>
        <v>2021</v>
      </c>
    </row>
    <row r="4" spans="1:9" ht="12.75">
      <c r="A4" s="208" t="s">
        <v>325</v>
      </c>
      <c r="B4" s="209">
        <f>'2-ф2'!P5</f>
        <v>0</v>
      </c>
      <c r="C4" s="209">
        <f>'2-ф2'!AC5</f>
        <v>737996.1734693877</v>
      </c>
      <c r="D4" s="209">
        <f>'2-ф2'!AP5</f>
        <v>1334272.959183673</v>
      </c>
      <c r="E4" s="209">
        <f>'2-ф2'!AQ5</f>
        <v>1447346.93877551</v>
      </c>
      <c r="F4" s="209">
        <f>'2-ф2'!AR5</f>
        <v>1537806.1224489794</v>
      </c>
      <c r="G4" s="209">
        <f>'2-ф2'!AS5</f>
        <v>1628265.3061224488</v>
      </c>
      <c r="H4" s="209">
        <f>'2-ф2'!AT5</f>
        <v>1718724.489795918</v>
      </c>
      <c r="I4" s="209">
        <f>'2-ф2'!AU5</f>
        <v>1809183.6734693875</v>
      </c>
    </row>
    <row r="5" spans="1:9" ht="12.75">
      <c r="A5" s="208" t="s">
        <v>90</v>
      </c>
      <c r="B5" s="210">
        <f aca="true" t="shared" si="1" ref="B5:H5">B4-B6</f>
        <v>-33682.280172800005</v>
      </c>
      <c r="C5" s="210">
        <f t="shared" si="1"/>
        <v>249894.56535651977</v>
      </c>
      <c r="D5" s="210">
        <f t="shared" si="1"/>
        <v>666705.479000553</v>
      </c>
      <c r="E5" s="210">
        <f t="shared" si="1"/>
        <v>754995.3355466354</v>
      </c>
      <c r="F5" s="210">
        <f t="shared" si="1"/>
        <v>828710.041642128</v>
      </c>
      <c r="G5" s="210">
        <f t="shared" si="1"/>
        <v>903325.2635387671</v>
      </c>
      <c r="H5" s="210">
        <f t="shared" si="1"/>
        <v>978909.6823462542</v>
      </c>
      <c r="I5" s="210">
        <f>I4-I6</f>
        <v>1047031.9920989906</v>
      </c>
    </row>
    <row r="6" spans="1:9" ht="12.75">
      <c r="A6" s="208" t="s">
        <v>326</v>
      </c>
      <c r="B6" s="211">
        <f aca="true" t="shared" si="2" ref="B6:H6">SUM(B7:B8)</f>
        <v>33682.280172800005</v>
      </c>
      <c r="C6" s="211">
        <f t="shared" si="2"/>
        <v>488101.6081128679</v>
      </c>
      <c r="D6" s="211">
        <f t="shared" si="2"/>
        <v>667567.4801831199</v>
      </c>
      <c r="E6" s="211">
        <f t="shared" si="2"/>
        <v>692351.6032288746</v>
      </c>
      <c r="F6" s="211">
        <f t="shared" si="2"/>
        <v>709096.0808068514</v>
      </c>
      <c r="G6" s="211">
        <f t="shared" si="2"/>
        <v>724940.0425836816</v>
      </c>
      <c r="H6" s="211">
        <f t="shared" si="2"/>
        <v>739814.8074496639</v>
      </c>
      <c r="I6" s="211">
        <f>SUM(I7:I8)</f>
        <v>762151.6813703969</v>
      </c>
    </row>
    <row r="7" spans="1:9" ht="12.75">
      <c r="A7" s="208" t="s">
        <v>91</v>
      </c>
      <c r="B7" s="209">
        <f>'2-ф2'!P14+'2-ф2'!P13+'2-ф2'!P12</f>
        <v>33682.280172800005</v>
      </c>
      <c r="C7" s="209">
        <f>'2-ф2'!AC14+'2-ф2'!AC13+'2-ф2'!AC12</f>
        <v>253043.0088271536</v>
      </c>
      <c r="D7" s="209">
        <f>'2-ф2'!AP14+'2-ф2'!AP13+'2-ф2'!AP12</f>
        <v>242589.21589740558</v>
      </c>
      <c r="E7" s="209">
        <f>'2-ф2'!AQ14+'2-ф2'!AQ13+'2-ф2'!AQ12</f>
        <v>231358.2318003032</v>
      </c>
      <c r="F7" s="209">
        <f>'2-ф2'!AR14+'2-ф2'!AR13+'2-ф2'!AR12</f>
        <v>219290.6236639943</v>
      </c>
      <c r="G7" s="209">
        <f>'2-ф2'!AS14+'2-ф2'!AS13+'2-ф2'!AS12</f>
        <v>206322.49972653884</v>
      </c>
      <c r="H7" s="209">
        <f>'2-ф2'!AT14+'2-ф2'!AT13+'2-ф2'!AT12</f>
        <v>192385.17887823528</v>
      </c>
      <c r="I7" s="209">
        <f>'2-ф2'!AU14+'2-ф2'!AU13+'2-ф2'!AU12</f>
        <v>185909.9670846826</v>
      </c>
    </row>
    <row r="8" spans="1:9" ht="12.75">
      <c r="A8" s="208" t="s">
        <v>92</v>
      </c>
      <c r="B8" s="209">
        <f>'2-ф2'!P8</f>
        <v>0</v>
      </c>
      <c r="C8" s="209">
        <f>'2-ф2'!AC8</f>
        <v>235058.5992857143</v>
      </c>
      <c r="D8" s="209">
        <f>'2-ф2'!AP8</f>
        <v>424978.2642857143</v>
      </c>
      <c r="E8" s="209">
        <f>'2-ф2'!AQ8</f>
        <v>460993.3714285714</v>
      </c>
      <c r="F8" s="209">
        <f>'2-ф2'!AR8</f>
        <v>489805.4571428571</v>
      </c>
      <c r="G8" s="209">
        <f>'2-ф2'!AS8</f>
        <v>518617.54285714286</v>
      </c>
      <c r="H8" s="209">
        <f>'2-ф2'!AT8</f>
        <v>547429.6285714286</v>
      </c>
      <c r="I8" s="209">
        <f>'2-ф2'!AU8</f>
        <v>576241.7142857143</v>
      </c>
    </row>
    <row r="9" spans="1:9" ht="12.75">
      <c r="A9" s="208" t="s">
        <v>93</v>
      </c>
      <c r="B9" s="211">
        <f aca="true" t="shared" si="3" ref="B9:H9">B4-B8</f>
        <v>0</v>
      </c>
      <c r="C9" s="211">
        <f t="shared" si="3"/>
        <v>502937.57418367337</v>
      </c>
      <c r="D9" s="211">
        <f t="shared" si="3"/>
        <v>909294.6948979585</v>
      </c>
      <c r="E9" s="211">
        <f t="shared" si="3"/>
        <v>986353.5673469387</v>
      </c>
      <c r="F9" s="211">
        <f t="shared" si="3"/>
        <v>1048000.6653061223</v>
      </c>
      <c r="G9" s="211">
        <f t="shared" si="3"/>
        <v>1109647.763265306</v>
      </c>
      <c r="H9" s="211">
        <f t="shared" si="3"/>
        <v>1171294.8612244895</v>
      </c>
      <c r="I9" s="211">
        <f>I4-I8</f>
        <v>1232941.9591836731</v>
      </c>
    </row>
    <row r="10" spans="1:9" ht="12.75">
      <c r="A10" s="208" t="s">
        <v>75</v>
      </c>
      <c r="B10" s="212" t="e">
        <f aca="true" t="shared" si="4" ref="B10:H10">B9/B4</f>
        <v>#DIV/0!</v>
      </c>
      <c r="C10" s="212">
        <f t="shared" si="4"/>
        <v>0.6814907614213197</v>
      </c>
      <c r="D10" s="212">
        <f t="shared" si="4"/>
        <v>0.6814907614213196</v>
      </c>
      <c r="E10" s="212">
        <f t="shared" si="4"/>
        <v>0.6814907614213198</v>
      </c>
      <c r="F10" s="212">
        <f t="shared" si="4"/>
        <v>0.6814907614213198</v>
      </c>
      <c r="G10" s="212">
        <f t="shared" si="4"/>
        <v>0.6814907614213197</v>
      </c>
      <c r="H10" s="212">
        <f t="shared" si="4"/>
        <v>0.6814907614213197</v>
      </c>
      <c r="I10" s="212">
        <f>I9/I4</f>
        <v>0.6814907614213197</v>
      </c>
    </row>
    <row r="11" spans="1:9" ht="12.75">
      <c r="A11" s="208" t="s">
        <v>94</v>
      </c>
      <c r="B11" s="211" t="e">
        <f aca="true" t="shared" si="5" ref="B11:H11">B7/B10</f>
        <v>#DIV/0!</v>
      </c>
      <c r="C11" s="211">
        <f t="shared" si="5"/>
        <v>371308.0545646813</v>
      </c>
      <c r="D11" s="211">
        <f>D7/D10</f>
        <v>355968.4586060428</v>
      </c>
      <c r="E11" s="211">
        <f t="shared" si="5"/>
        <v>339488.43461616646</v>
      </c>
      <c r="F11" s="211">
        <f t="shared" si="5"/>
        <v>321780.77250327053</v>
      </c>
      <c r="G11" s="211">
        <f t="shared" si="5"/>
        <v>302751.71932812687</v>
      </c>
      <c r="H11" s="211">
        <f t="shared" si="5"/>
        <v>282300.4943999476</v>
      </c>
      <c r="I11" s="211">
        <f>I7/I10</f>
        <v>272798.95430562855</v>
      </c>
    </row>
    <row r="12" spans="1:9" ht="25.5">
      <c r="A12" s="213" t="s">
        <v>76</v>
      </c>
      <c r="B12" s="214" t="e">
        <f aca="true" t="shared" si="6" ref="B12:H12">(B4-B11)/B4</f>
        <v>#DIV/0!</v>
      </c>
      <c r="C12" s="214">
        <f t="shared" si="6"/>
        <v>0.4968699460606576</v>
      </c>
      <c r="D12" s="214">
        <f>(D4-D11)/D4</f>
        <v>0.7332116669561907</v>
      </c>
      <c r="E12" s="214">
        <f t="shared" si="6"/>
        <v>0.7654408728681309</v>
      </c>
      <c r="F12" s="214">
        <f t="shared" si="6"/>
        <v>0.7907533545315649</v>
      </c>
      <c r="G12" s="214">
        <f t="shared" si="6"/>
        <v>0.8140648712530147</v>
      </c>
      <c r="H12" s="214">
        <f t="shared" si="6"/>
        <v>0.8357500017740086</v>
      </c>
      <c r="I12" s="214">
        <f>(I4-I11)/I4</f>
        <v>0.8492143399777123</v>
      </c>
    </row>
    <row r="13" spans="1:9" ht="12.75">
      <c r="A13" s="208" t="s">
        <v>103</v>
      </c>
      <c r="B13" s="215" t="e">
        <f aca="true" t="shared" si="7" ref="B13:H13">100%-B12</f>
        <v>#DIV/0!</v>
      </c>
      <c r="C13" s="215">
        <f t="shared" si="7"/>
        <v>0.5031300539393424</v>
      </c>
      <c r="D13" s="215">
        <f t="shared" si="7"/>
        <v>0.26678833304380933</v>
      </c>
      <c r="E13" s="215">
        <f t="shared" si="7"/>
        <v>0.2345591271318691</v>
      </c>
      <c r="F13" s="215">
        <f t="shared" si="7"/>
        <v>0.20924664546843508</v>
      </c>
      <c r="G13" s="215">
        <f t="shared" si="7"/>
        <v>0.18593512874698526</v>
      </c>
      <c r="H13" s="215">
        <f t="shared" si="7"/>
        <v>0.1642499982259914</v>
      </c>
      <c r="I13" s="215">
        <f>100%-I12</f>
        <v>0.15078566002228766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0"/>
  <sheetViews>
    <sheetView showGridLines="0" zoomScalePageLayoutView="0" workbookViewId="0" topLeftCell="A1">
      <pane ySplit="4" topLeftCell="A26" activePane="bottomLeft" state="frozen"/>
      <selection pane="topLeft" activeCell="A34" sqref="A34"/>
      <selection pane="bottomLeft" activeCell="A46" sqref="A46"/>
    </sheetView>
  </sheetViews>
  <sheetFormatPr defaultColWidth="9.00390625" defaultRowHeight="12.75"/>
  <cols>
    <col min="1" max="1" width="43.25390625" style="71" customWidth="1"/>
    <col min="2" max="2" width="16.875" style="72" customWidth="1"/>
    <col min="3" max="5" width="9.125" style="70" bestFit="1" customWidth="1"/>
    <col min="6" max="8" width="9.125" style="70" customWidth="1"/>
    <col min="9" max="9" width="4.00390625" style="70" bestFit="1" customWidth="1"/>
    <col min="10" max="10" width="4.25390625" style="70" bestFit="1" customWidth="1"/>
    <col min="11" max="11" width="4.00390625" style="70" bestFit="1" customWidth="1"/>
    <col min="12" max="12" width="4.375" style="70" bestFit="1" customWidth="1"/>
    <col min="13" max="13" width="4.25390625" style="70" bestFit="1" customWidth="1"/>
    <col min="14" max="14" width="8.625" style="70" bestFit="1" customWidth="1"/>
    <col min="15" max="16384" width="9.125" style="70" customWidth="1"/>
  </cols>
  <sheetData>
    <row r="1" ht="13.5" customHeight="1">
      <c r="A1" s="228" t="s">
        <v>318</v>
      </c>
    </row>
    <row r="2" ht="13.5" customHeight="1">
      <c r="A2" s="228" t="s">
        <v>338</v>
      </c>
    </row>
    <row r="3" ht="13.5" customHeight="1"/>
    <row r="4" spans="1:5" ht="13.5" customHeight="1">
      <c r="A4" s="223" t="s">
        <v>203</v>
      </c>
      <c r="B4" s="251" t="s">
        <v>89</v>
      </c>
      <c r="C4" s="251">
        <v>2014</v>
      </c>
      <c r="D4" s="251">
        <v>2015</v>
      </c>
      <c r="E4" s="251" t="s">
        <v>168</v>
      </c>
    </row>
    <row r="5" spans="1:5" ht="13.5" customHeight="1">
      <c r="A5" s="219" t="s">
        <v>305</v>
      </c>
      <c r="B5" s="220">
        <f>'1-Ф3'!B23</f>
        <v>1374319.3752000001</v>
      </c>
      <c r="C5" s="220">
        <f>'1-Ф3'!P23</f>
        <v>1374319.3752000001</v>
      </c>
      <c r="D5" s="220">
        <f>'1-Ф3'!AC23</f>
        <v>0</v>
      </c>
      <c r="E5" s="225">
        <f>B5/$B$7</f>
        <v>0.9443340573676324</v>
      </c>
    </row>
    <row r="6" spans="1:5" ht="13.5" customHeight="1">
      <c r="A6" s="219" t="s">
        <v>167</v>
      </c>
      <c r="B6" s="220">
        <f>'1-Ф3'!B29-'1-Ф3'!B23</f>
        <v>81012.41599999997</v>
      </c>
      <c r="C6" s="220">
        <f>'1-Ф3'!P29-'1-Ф3'!P23</f>
        <v>81012.41599999997</v>
      </c>
      <c r="D6" s="220">
        <f>'1-Ф3'!AC29-'1-Ф3'!AC23</f>
        <v>0</v>
      </c>
      <c r="E6" s="225">
        <f>B6/$B$7</f>
        <v>0.055665942632367585</v>
      </c>
    </row>
    <row r="7" spans="1:5" ht="13.5" customHeight="1">
      <c r="A7" s="221" t="s">
        <v>89</v>
      </c>
      <c r="B7" s="222">
        <f>SUM(B5:B6)</f>
        <v>1455331.7912</v>
      </c>
      <c r="C7" s="222">
        <f>SUM(C5:C6)</f>
        <v>1455331.7912</v>
      </c>
      <c r="D7" s="222">
        <f>SUM(D5:D6)</f>
        <v>0</v>
      </c>
      <c r="E7" s="226">
        <f>SUM(E5:E6)</f>
        <v>1</v>
      </c>
    </row>
    <row r="8" spans="1:2" ht="13.5" customHeight="1">
      <c r="A8" s="73"/>
      <c r="B8" s="74"/>
    </row>
    <row r="9" spans="1:5" ht="13.5" customHeight="1">
      <c r="A9" s="223" t="s">
        <v>204</v>
      </c>
      <c r="B9" s="251" t="s">
        <v>89</v>
      </c>
      <c r="C9" s="251">
        <f>C4</f>
        <v>2014</v>
      </c>
      <c r="D9" s="251">
        <f>D4</f>
        <v>2015</v>
      </c>
      <c r="E9" s="224" t="s">
        <v>168</v>
      </c>
    </row>
    <row r="10" spans="1:16" ht="12.75">
      <c r="A10" s="219" t="s">
        <v>304</v>
      </c>
      <c r="B10" s="220">
        <f>'1-Ф3'!B30</f>
        <v>218299.76868</v>
      </c>
      <c r="C10" s="220">
        <f>'1-Ф3'!P30</f>
        <v>218299.76868</v>
      </c>
      <c r="D10" s="220">
        <f>'1-Ф3'!AC30</f>
        <v>0</v>
      </c>
      <c r="E10" s="225">
        <f>B10/$B$12</f>
        <v>0.15</v>
      </c>
      <c r="O10" s="295">
        <f>B10/Исх!$C$5</f>
        <v>1428.196065947007</v>
      </c>
      <c r="P10" s="296" t="s">
        <v>98</v>
      </c>
    </row>
    <row r="11" spans="1:16" ht="13.5" customHeight="1">
      <c r="A11" s="219" t="s">
        <v>104</v>
      </c>
      <c r="B11" s="220">
        <f>'1-Ф3'!B31</f>
        <v>1237032.02252</v>
      </c>
      <c r="C11" s="220">
        <f>'1-Ф3'!P31</f>
        <v>1237032.02252</v>
      </c>
      <c r="D11" s="220">
        <f>'1-Ф3'!AC31</f>
        <v>0</v>
      </c>
      <c r="E11" s="225">
        <f>B11/$B$12</f>
        <v>0.85</v>
      </c>
      <c r="O11" s="295">
        <f>B11/Исх!$C$5</f>
        <v>8093.111040366373</v>
      </c>
      <c r="P11" s="296" t="s">
        <v>98</v>
      </c>
    </row>
    <row r="12" spans="1:5" ht="12.75">
      <c r="A12" s="221" t="s">
        <v>89</v>
      </c>
      <c r="B12" s="222">
        <f>SUM(B10:B11)</f>
        <v>1455331.7912</v>
      </c>
      <c r="C12" s="222">
        <f>SUM(C10:C11)</f>
        <v>1455331.7912</v>
      </c>
      <c r="D12" s="222">
        <f>SUM(D10:D11)</f>
        <v>0</v>
      </c>
      <c r="E12" s="226">
        <f>SUM(E10:E11)</f>
        <v>1</v>
      </c>
    </row>
    <row r="13" spans="1:2" ht="12.75">
      <c r="A13" s="76"/>
      <c r="B13" s="75"/>
    </row>
    <row r="14" spans="1:2" ht="12.75">
      <c r="A14" s="294" t="s">
        <v>269</v>
      </c>
      <c r="B14" s="75"/>
    </row>
    <row r="15" spans="1:2" ht="12.75">
      <c r="A15" s="269" t="s">
        <v>268</v>
      </c>
      <c r="B15" s="270" t="s">
        <v>8</v>
      </c>
    </row>
    <row r="16" spans="1:2" ht="12.75">
      <c r="A16" s="219" t="s">
        <v>169</v>
      </c>
      <c r="B16" s="220" t="s">
        <v>170</v>
      </c>
    </row>
    <row r="17" spans="1:2" ht="12.75">
      <c r="A17" s="219" t="s">
        <v>171</v>
      </c>
      <c r="B17" s="274">
        <f>Исх!C41</f>
        <v>0.07</v>
      </c>
    </row>
    <row r="18" spans="1:2" ht="12.75">
      <c r="A18" s="219" t="s">
        <v>194</v>
      </c>
      <c r="B18" s="227">
        <f>Исх!C42</f>
        <v>7</v>
      </c>
    </row>
    <row r="19" spans="1:2" ht="12.75">
      <c r="A19" s="219" t="s">
        <v>172</v>
      </c>
      <c r="B19" s="220" t="s">
        <v>173</v>
      </c>
    </row>
    <row r="20" spans="1:2" ht="12.75">
      <c r="A20" s="219" t="s">
        <v>174</v>
      </c>
      <c r="B20" s="220">
        <f>Исх!C43</f>
        <v>12</v>
      </c>
    </row>
    <row r="21" spans="1:2" ht="12.75">
      <c r="A21" s="219" t="s">
        <v>175</v>
      </c>
      <c r="B21" s="220">
        <f>Исх!C44</f>
        <v>9</v>
      </c>
    </row>
    <row r="22" spans="1:2" ht="12.75">
      <c r="A22" s="219" t="s">
        <v>327</v>
      </c>
      <c r="B22" s="220" t="s">
        <v>251</v>
      </c>
    </row>
    <row r="24" spans="1:2" ht="12.75">
      <c r="A24" s="294" t="s">
        <v>252</v>
      </c>
      <c r="B24" s="70"/>
    </row>
    <row r="25" spans="1:8" ht="12.75">
      <c r="A25" s="223" t="s">
        <v>28</v>
      </c>
      <c r="B25" s="285">
        <v>2015</v>
      </c>
      <c r="C25" s="251">
        <f aca="true" t="shared" si="0" ref="C25:H25">B25+1</f>
        <v>2016</v>
      </c>
      <c r="D25" s="285">
        <f t="shared" si="0"/>
        <v>2017</v>
      </c>
      <c r="E25" s="285">
        <f t="shared" si="0"/>
        <v>2018</v>
      </c>
      <c r="F25" s="285">
        <f t="shared" si="0"/>
        <v>2019</v>
      </c>
      <c r="G25" s="285">
        <f t="shared" si="0"/>
        <v>2020</v>
      </c>
      <c r="H25" s="285">
        <f t="shared" si="0"/>
        <v>2021</v>
      </c>
    </row>
    <row r="26" spans="1:8" ht="12.75">
      <c r="A26" s="219" t="s">
        <v>270</v>
      </c>
      <c r="B26" s="220">
        <f>'2-ф2'!AC5</f>
        <v>737996.1734693877</v>
      </c>
      <c r="C26" s="220">
        <f>'2-ф2'!AP5</f>
        <v>1334272.959183673</v>
      </c>
      <c r="D26" s="220">
        <f>'2-ф2'!AQ5</f>
        <v>1447346.93877551</v>
      </c>
      <c r="E26" s="220">
        <f>'2-ф2'!AR5</f>
        <v>1537806.1224489794</v>
      </c>
      <c r="F26" s="220">
        <f>'2-ф2'!AS5</f>
        <v>1628265.3061224488</v>
      </c>
      <c r="G26" s="220">
        <f>'2-ф2'!AT5</f>
        <v>1718724.489795918</v>
      </c>
      <c r="H26" s="220">
        <f>'2-ф2'!AU5</f>
        <v>1809183.6734693875</v>
      </c>
    </row>
    <row r="27" spans="1:8" ht="12.75">
      <c r="A27" s="219" t="s">
        <v>271</v>
      </c>
      <c r="B27" s="220">
        <f>'2-ф2'!AC11</f>
        <v>502937.57418367337</v>
      </c>
      <c r="C27" s="220">
        <f>'2-ф2'!AP11</f>
        <v>909294.6948979585</v>
      </c>
      <c r="D27" s="220">
        <f>'2-ф2'!AQ11</f>
        <v>986353.5673469387</v>
      </c>
      <c r="E27" s="220">
        <f>'2-ф2'!AR11</f>
        <v>1048000.6653061223</v>
      </c>
      <c r="F27" s="220">
        <f>'2-ф2'!AS11</f>
        <v>1109647.763265306</v>
      </c>
      <c r="G27" s="220">
        <f>'2-ф2'!AT11</f>
        <v>1171294.8612244895</v>
      </c>
      <c r="H27" s="220">
        <f>'2-ф2'!AU11</f>
        <v>1232941.9591836731</v>
      </c>
    </row>
    <row r="28" spans="1:8" ht="12.75">
      <c r="A28" s="219" t="s">
        <v>272</v>
      </c>
      <c r="B28" s="220">
        <f>'2-ф2'!AC17</f>
        <v>206652.10831977587</v>
      </c>
      <c r="C28" s="220">
        <f>'2-ф2'!AP17</f>
        <v>533364.3832004428</v>
      </c>
      <c r="D28" s="220">
        <f>'2-ф2'!AQ17</f>
        <v>603996.2684373084</v>
      </c>
      <c r="E28" s="220">
        <f>'2-ф2'!AR17</f>
        <v>662968.0333137024</v>
      </c>
      <c r="F28" s="220">
        <f>'2-ф2'!AS17</f>
        <v>722660.2108310137</v>
      </c>
      <c r="G28" s="220">
        <f>'2-ф2'!AT17</f>
        <v>783127.7458770035</v>
      </c>
      <c r="H28" s="220">
        <f>'2-ф2'!AU17</f>
        <v>837625.5936791922</v>
      </c>
    </row>
    <row r="29" spans="1:8" ht="12.75">
      <c r="A29" s="219" t="s">
        <v>273</v>
      </c>
      <c r="B29" s="225">
        <f>B28/B26</f>
        <v>0.28001785883019603</v>
      </c>
      <c r="C29" s="225">
        <f aca="true" t="shared" si="1" ref="C29:H29">C28/C26</f>
        <v>0.3997415817575758</v>
      </c>
      <c r="D29" s="225">
        <f t="shared" si="1"/>
        <v>0.41731270661912173</v>
      </c>
      <c r="E29" s="225">
        <f t="shared" si="1"/>
        <v>0.4311128845409432</v>
      </c>
      <c r="F29" s="225">
        <f t="shared" si="1"/>
        <v>0.4438221511652526</v>
      </c>
      <c r="G29" s="225">
        <f t="shared" si="1"/>
        <v>0.45564472405347084</v>
      </c>
      <c r="H29" s="225">
        <f t="shared" si="1"/>
        <v>0.4629853817290516</v>
      </c>
    </row>
    <row r="30" spans="1:8" ht="12.75">
      <c r="A30" s="221" t="s">
        <v>306</v>
      </c>
      <c r="B30" s="222">
        <f>'1-Ф3'!AC36</f>
        <v>123560.08391386416</v>
      </c>
      <c r="C30" s="222">
        <f>'1-Ф3'!AP36</f>
        <v>546049.5290757016</v>
      </c>
      <c r="D30" s="222">
        <f>'1-Ф3'!AQ36</f>
        <v>503565.2526995053</v>
      </c>
      <c r="E30" s="222">
        <f>'1-Ф3'!AR36</f>
        <v>547856.5980569408</v>
      </c>
      <c r="F30" s="222">
        <f>'1-Ф3'!AS36</f>
        <v>591807.1073412638</v>
      </c>
      <c r="G30" s="222">
        <f>'1-Ф3'!AT36</f>
        <v>635395.0076848909</v>
      </c>
      <c r="H30" s="222">
        <f>'1-Ф3'!AU36</f>
        <v>940271.1182506212</v>
      </c>
    </row>
    <row r="32" spans="1:2" ht="12.75">
      <c r="A32" s="294" t="s">
        <v>274</v>
      </c>
      <c r="B32" s="70"/>
    </row>
    <row r="33" spans="1:2" ht="12.75">
      <c r="A33" s="223" t="s">
        <v>324</v>
      </c>
      <c r="B33" s="285">
        <f>'1-Ф3'!BA37</f>
        <v>2019</v>
      </c>
    </row>
    <row r="34" spans="1:2" ht="12.75">
      <c r="A34" s="219" t="s">
        <v>176</v>
      </c>
      <c r="B34" s="225">
        <f>'1-Ф3'!BA50</f>
        <v>0.37244671644655214</v>
      </c>
    </row>
    <row r="35" spans="1:2" ht="12.75">
      <c r="A35" s="219" t="s">
        <v>177</v>
      </c>
      <c r="B35" s="220">
        <f>'1-Ф3'!BA48</f>
        <v>1336447.9739697075</v>
      </c>
    </row>
    <row r="36" spans="1:2" ht="12.75">
      <c r="A36" s="219" t="s">
        <v>307</v>
      </c>
      <c r="B36" s="227">
        <f>'1-Ф3'!BA49</f>
        <v>1.989572512232602</v>
      </c>
    </row>
    <row r="37" spans="1:2" ht="12.75">
      <c r="A37" s="219" t="s">
        <v>178</v>
      </c>
      <c r="B37" s="227">
        <f>'1-Ф3'!B51</f>
        <v>2.282600361614167</v>
      </c>
    </row>
    <row r="38" spans="1:2" ht="12.75">
      <c r="A38" s="219" t="s">
        <v>179</v>
      </c>
      <c r="B38" s="227">
        <f>'1-Ф3'!B52</f>
        <v>2.5822898962572607</v>
      </c>
    </row>
    <row r="40" ht="12.75">
      <c r="A40" s="228" t="s">
        <v>275</v>
      </c>
    </row>
    <row r="41" spans="1:8" ht="12.75">
      <c r="A41" s="223" t="s">
        <v>28</v>
      </c>
      <c r="B41" s="285">
        <v>2015</v>
      </c>
      <c r="C41" s="224">
        <f aca="true" t="shared" si="2" ref="C41:H41">B41+1</f>
        <v>2016</v>
      </c>
      <c r="D41" s="285">
        <f t="shared" si="2"/>
        <v>2017</v>
      </c>
      <c r="E41" s="285">
        <f t="shared" si="2"/>
        <v>2018</v>
      </c>
      <c r="F41" s="285">
        <f t="shared" si="2"/>
        <v>2019</v>
      </c>
      <c r="G41" s="285">
        <f t="shared" si="2"/>
        <v>2020</v>
      </c>
      <c r="H41" s="285">
        <f t="shared" si="2"/>
        <v>2021</v>
      </c>
    </row>
    <row r="42" spans="1:8" ht="12.75">
      <c r="A42" s="219" t="s">
        <v>199</v>
      </c>
      <c r="B42" s="225">
        <f>Производство!AC6</f>
        <v>0.5125000000000001</v>
      </c>
      <c r="C42" s="225">
        <f>Производство!AP6</f>
        <v>0.7375000000000002</v>
      </c>
      <c r="D42" s="225">
        <f>Производство!AQ6</f>
        <v>0.8</v>
      </c>
      <c r="E42" s="225">
        <f>Производство!AR6</f>
        <v>0.85</v>
      </c>
      <c r="F42" s="225">
        <f>Производство!AS6</f>
        <v>0.9</v>
      </c>
      <c r="G42" s="225">
        <f>Производство!AT6</f>
        <v>0.95</v>
      </c>
      <c r="H42" s="225">
        <f>Производство!AU6</f>
        <v>1</v>
      </c>
    </row>
    <row r="43" spans="1:8" ht="12.75">
      <c r="A43" s="219" t="s">
        <v>384</v>
      </c>
      <c r="B43" s="220">
        <f>Производство!AC7</f>
        <v>3690</v>
      </c>
      <c r="C43" s="220">
        <f>Производство!AP7</f>
        <v>5310</v>
      </c>
      <c r="D43" s="220">
        <f>Производство!AQ7</f>
        <v>5760</v>
      </c>
      <c r="E43" s="220">
        <f>Производство!AR7</f>
        <v>6120</v>
      </c>
      <c r="F43" s="220">
        <f>Производство!AS7</f>
        <v>6480</v>
      </c>
      <c r="G43" s="220">
        <f>Производство!AT7</f>
        <v>6840</v>
      </c>
      <c r="H43" s="220">
        <f>Производство!AU7</f>
        <v>7200</v>
      </c>
    </row>
    <row r="44" spans="1:8" ht="12.75">
      <c r="A44" s="219" t="s">
        <v>398</v>
      </c>
      <c r="B44" s="220">
        <f>Производство!AC10</f>
        <v>7380</v>
      </c>
      <c r="C44" s="220">
        <f>Производство!AP10</f>
        <v>10620</v>
      </c>
      <c r="D44" s="220">
        <f>Производство!AQ10</f>
        <v>11520</v>
      </c>
      <c r="E44" s="220">
        <f>Производство!AR10</f>
        <v>12240</v>
      </c>
      <c r="F44" s="220">
        <f>Производство!AS10</f>
        <v>12960</v>
      </c>
      <c r="G44" s="220">
        <f>Производство!AT10</f>
        <v>13680</v>
      </c>
      <c r="H44" s="220">
        <f>Производство!AU10</f>
        <v>14400</v>
      </c>
    </row>
    <row r="45" spans="1:8" ht="12.75">
      <c r="A45" s="219" t="s">
        <v>399</v>
      </c>
      <c r="B45" s="220">
        <f>Производство!AC11</f>
        <v>5271.428571428572</v>
      </c>
      <c r="C45" s="220">
        <f>Производство!AP11</f>
        <v>7585.714285714288</v>
      </c>
      <c r="D45" s="220">
        <f>Производство!AQ11</f>
        <v>8228.57142857143</v>
      </c>
      <c r="E45" s="220">
        <f>Производство!AR11</f>
        <v>8742.857142857143</v>
      </c>
      <c r="F45" s="220">
        <f>Производство!AS11</f>
        <v>9257.142857142857</v>
      </c>
      <c r="G45" s="220">
        <f>Производство!AT11</f>
        <v>9771.428571428572</v>
      </c>
      <c r="H45" s="220">
        <f>Производство!AU11</f>
        <v>10285.714285714286</v>
      </c>
    </row>
    <row r="47" ht="12.75">
      <c r="A47" s="228" t="s">
        <v>180</v>
      </c>
    </row>
    <row r="48" spans="1:14" ht="12.75">
      <c r="A48" s="384" t="s">
        <v>181</v>
      </c>
      <c r="B48" s="386" t="s">
        <v>308</v>
      </c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8"/>
      <c r="N48" s="305" t="s">
        <v>389</v>
      </c>
    </row>
    <row r="49" spans="1:14" ht="12.75">
      <c r="A49" s="385"/>
      <c r="B49" s="285" t="s">
        <v>282</v>
      </c>
      <c r="C49" s="285" t="s">
        <v>385</v>
      </c>
      <c r="D49" s="310" t="s">
        <v>386</v>
      </c>
      <c r="E49" s="310" t="s">
        <v>387</v>
      </c>
      <c r="F49" s="310" t="s">
        <v>222</v>
      </c>
      <c r="G49" s="310" t="s">
        <v>388</v>
      </c>
      <c r="H49" s="310" t="s">
        <v>276</v>
      </c>
      <c r="I49" s="310" t="s">
        <v>277</v>
      </c>
      <c r="J49" s="310" t="s">
        <v>278</v>
      </c>
      <c r="K49" s="310" t="s">
        <v>279</v>
      </c>
      <c r="L49" s="310" t="s">
        <v>280</v>
      </c>
      <c r="M49" s="310" t="s">
        <v>281</v>
      </c>
      <c r="N49" s="285" t="s">
        <v>282</v>
      </c>
    </row>
    <row r="50" spans="1:14" ht="25.5">
      <c r="A50" s="229" t="s">
        <v>253</v>
      </c>
      <c r="B50" s="230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</row>
    <row r="51" spans="1:14" ht="12.75">
      <c r="A51" s="219" t="s">
        <v>391</v>
      </c>
      <c r="B51" s="230"/>
      <c r="C51" s="230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</row>
    <row r="52" spans="1:14" ht="12.75">
      <c r="A52" s="219" t="s">
        <v>182</v>
      </c>
      <c r="B52" s="225"/>
      <c r="C52" s="230"/>
      <c r="D52" s="230"/>
      <c r="E52" s="225"/>
      <c r="F52" s="225"/>
      <c r="G52" s="225"/>
      <c r="H52" s="225"/>
      <c r="I52" s="225"/>
      <c r="J52" s="225"/>
      <c r="K52" s="225"/>
      <c r="L52" s="225"/>
      <c r="M52" s="225"/>
      <c r="N52" s="225"/>
    </row>
    <row r="53" spans="1:14" ht="12.75">
      <c r="A53" s="219" t="s">
        <v>183</v>
      </c>
      <c r="B53" s="225"/>
      <c r="C53" s="225"/>
      <c r="D53" s="230"/>
      <c r="E53" s="225"/>
      <c r="F53" s="225"/>
      <c r="G53" s="225"/>
      <c r="H53" s="225"/>
      <c r="I53" s="225"/>
      <c r="J53" s="225"/>
      <c r="K53" s="225"/>
      <c r="L53" s="225"/>
      <c r="M53" s="225"/>
      <c r="N53" s="225"/>
    </row>
    <row r="54" spans="1:14" ht="12.75">
      <c r="A54" s="219" t="s">
        <v>390</v>
      </c>
      <c r="B54" s="225"/>
      <c r="C54" s="225"/>
      <c r="D54" s="230"/>
      <c r="E54" s="230"/>
      <c r="F54" s="230"/>
      <c r="G54" s="225"/>
      <c r="H54" s="225"/>
      <c r="I54" s="225"/>
      <c r="J54" s="225"/>
      <c r="K54" s="225"/>
      <c r="L54" s="225"/>
      <c r="M54" s="225"/>
      <c r="N54" s="225"/>
    </row>
    <row r="55" spans="1:14" ht="12.75">
      <c r="A55" s="219" t="s">
        <v>392</v>
      </c>
      <c r="B55" s="225"/>
      <c r="C55" s="225"/>
      <c r="D55" s="225"/>
      <c r="E55" s="225"/>
      <c r="F55" s="230"/>
      <c r="G55" s="230"/>
      <c r="H55" s="230"/>
      <c r="I55" s="230"/>
      <c r="J55" s="225"/>
      <c r="K55" s="225"/>
      <c r="L55" s="225"/>
      <c r="M55" s="225"/>
      <c r="N55" s="225"/>
    </row>
    <row r="56" spans="1:14" ht="12.75">
      <c r="A56" s="219" t="s">
        <v>309</v>
      </c>
      <c r="B56" s="225"/>
      <c r="C56" s="225"/>
      <c r="D56" s="225"/>
      <c r="E56" s="225"/>
      <c r="F56" s="225"/>
      <c r="G56" s="230"/>
      <c r="H56" s="225"/>
      <c r="I56" s="230"/>
      <c r="J56" s="225"/>
      <c r="K56" s="230"/>
      <c r="L56" s="225"/>
      <c r="M56" s="225"/>
      <c r="N56" s="225"/>
    </row>
    <row r="57" spans="1:14" ht="12.75">
      <c r="A57" s="219" t="s">
        <v>393</v>
      </c>
      <c r="B57" s="225"/>
      <c r="C57" s="225"/>
      <c r="D57" s="225"/>
      <c r="E57" s="225"/>
      <c r="F57" s="225"/>
      <c r="G57" s="225"/>
      <c r="H57" s="225"/>
      <c r="I57" s="225"/>
      <c r="J57" s="230"/>
      <c r="K57" s="230"/>
      <c r="L57" s="230"/>
      <c r="M57" s="225"/>
      <c r="N57" s="225"/>
    </row>
    <row r="58" spans="1:14" ht="12.75">
      <c r="A58" s="219" t="s">
        <v>316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30"/>
      <c r="M58" s="230"/>
      <c r="N58" s="225"/>
    </row>
    <row r="59" spans="1:14" ht="12.75">
      <c r="A59" s="219" t="s">
        <v>317</v>
      </c>
      <c r="B59" s="220"/>
      <c r="C59" s="225"/>
      <c r="D59" s="225"/>
      <c r="E59" s="225"/>
      <c r="F59" s="225"/>
      <c r="G59" s="225"/>
      <c r="H59" s="225"/>
      <c r="I59" s="225"/>
      <c r="J59" s="225"/>
      <c r="K59" s="225"/>
      <c r="L59" s="230"/>
      <c r="M59" s="230"/>
      <c r="N59" s="225"/>
    </row>
    <row r="60" spans="1:14" ht="12.75">
      <c r="A60" s="219" t="s">
        <v>310</v>
      </c>
      <c r="B60" s="220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30"/>
    </row>
    <row r="61" spans="1:14" ht="12.75">
      <c r="A61" s="219" t="s">
        <v>311</v>
      </c>
      <c r="B61" s="220"/>
      <c r="C61" s="220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30"/>
    </row>
    <row r="63" ht="12.75">
      <c r="A63" s="228" t="s">
        <v>186</v>
      </c>
    </row>
    <row r="65" spans="1:2" ht="12.75">
      <c r="A65" s="269" t="s">
        <v>188</v>
      </c>
      <c r="B65" s="270" t="s">
        <v>189</v>
      </c>
    </row>
    <row r="66" spans="1:2" ht="12.75">
      <c r="A66" s="219" t="s">
        <v>41</v>
      </c>
      <c r="B66" s="220">
        <f>'1-Ф3'!B19</f>
        <v>661374.1298409794</v>
      </c>
    </row>
    <row r="67" spans="1:2" ht="12.75">
      <c r="A67" s="219" t="str">
        <f>'2-ф2'!A16</f>
        <v>Корпоративный подоходный налог</v>
      </c>
      <c r="B67" s="220">
        <f>'1-Ф3'!B18</f>
        <v>1079178.0158714098</v>
      </c>
    </row>
    <row r="68" spans="1:2" ht="12.75">
      <c r="A68" s="219" t="s">
        <v>187</v>
      </c>
      <c r="B68" s="220">
        <f>(ФОТ!K34-ФОТ!J34)*12*7</f>
        <v>73648.00800000002</v>
      </c>
    </row>
    <row r="69" spans="1:2" ht="12.75">
      <c r="A69" s="219" t="s">
        <v>315</v>
      </c>
      <c r="B69" s="220">
        <f>SUM(Пост!C21:I21)*12</f>
        <v>48367.915103499996</v>
      </c>
    </row>
    <row r="70" spans="1:2" ht="12.75">
      <c r="A70" s="221" t="s">
        <v>0</v>
      </c>
      <c r="B70" s="222">
        <f>SUM(B66:B69)</f>
        <v>1862568.068815889</v>
      </c>
    </row>
  </sheetData>
  <sheetProtection/>
  <mergeCells count="2">
    <mergeCell ref="A48:A49"/>
    <mergeCell ref="B48:M48"/>
  </mergeCells>
  <printOptions/>
  <pageMargins left="0.2" right="0.2" top="0.51" bottom="0.86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H32"/>
  <sheetViews>
    <sheetView showGridLines="0" showZeros="0" zoomScalePageLayoutView="0" workbookViewId="0" topLeftCell="A1">
      <pane xSplit="3" ySplit="4" topLeftCell="AA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D25" sqref="AD25:AO25"/>
    </sheetView>
  </sheetViews>
  <sheetFormatPr defaultColWidth="10.125" defaultRowHeight="12.75" outlineLevelCol="1"/>
  <cols>
    <col min="1" max="1" width="38.125" style="87" customWidth="1"/>
    <col min="2" max="2" width="11.375" style="87" customWidth="1"/>
    <col min="3" max="3" width="3.875" style="87" customWidth="1"/>
    <col min="4" max="4" width="7.125" style="87" hidden="1" customWidth="1" outlineLevel="1"/>
    <col min="5" max="5" width="8.25390625" style="87" hidden="1" customWidth="1" outlineLevel="1"/>
    <col min="6" max="11" width="7.00390625" style="87" hidden="1" customWidth="1" outlineLevel="1"/>
    <col min="12" max="12" width="8.75390625" style="87" hidden="1" customWidth="1" outlineLevel="1"/>
    <col min="13" max="13" width="7.875" style="87" hidden="1" customWidth="1" outlineLevel="1"/>
    <col min="14" max="15" width="8.625" style="87" hidden="1" customWidth="1" outlineLevel="1"/>
    <col min="16" max="16" width="9.125" style="87" customWidth="1" collapsed="1"/>
    <col min="17" max="28" width="8.375" style="87" hidden="1" customWidth="1" outlineLevel="1"/>
    <col min="29" max="29" width="9.125" style="87" customWidth="1" collapsed="1"/>
    <col min="30" max="41" width="8.375" style="87" hidden="1" customWidth="1" outlineLevel="1"/>
    <col min="42" max="42" width="9.125" style="87" customWidth="1" collapsed="1"/>
    <col min="43" max="47" width="9.75390625" style="87" bestFit="1" customWidth="1"/>
    <col min="48" max="16384" width="10.125" style="87" customWidth="1"/>
  </cols>
  <sheetData>
    <row r="1" spans="1:3" ht="21" customHeight="1">
      <c r="A1" s="61" t="s">
        <v>110</v>
      </c>
      <c r="B1" s="86"/>
      <c r="C1" s="86"/>
    </row>
    <row r="2" spans="1:3" ht="17.25" customHeight="1">
      <c r="A2" s="61"/>
      <c r="B2" s="12" t="str">
        <f>Исх!$C$10</f>
        <v>тыс.тг.</v>
      </c>
      <c r="C2" s="88"/>
    </row>
    <row r="3" spans="1:47" ht="12.75" customHeight="1">
      <c r="A3" s="344" t="s">
        <v>3</v>
      </c>
      <c r="B3" s="348" t="s">
        <v>89</v>
      </c>
      <c r="C3" s="90"/>
      <c r="D3" s="343">
        <v>2014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>
        <v>2015</v>
      </c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35">
        <v>2016</v>
      </c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7"/>
      <c r="AQ3" s="91">
        <f>AD3+1</f>
        <v>2017</v>
      </c>
      <c r="AR3" s="91">
        <f>AQ3+1</f>
        <v>2018</v>
      </c>
      <c r="AS3" s="91">
        <f>AR3+1</f>
        <v>2019</v>
      </c>
      <c r="AT3" s="91">
        <f>AS3+1</f>
        <v>2020</v>
      </c>
      <c r="AU3" s="91">
        <f>AT3+1</f>
        <v>2021</v>
      </c>
    </row>
    <row r="4" spans="1:47" ht="12.75">
      <c r="A4" s="345"/>
      <c r="B4" s="348"/>
      <c r="C4" s="92"/>
      <c r="D4" s="93">
        <v>1</v>
      </c>
      <c r="E4" s="93">
        <f aca="true" t="shared" si="0" ref="E4:O4">D4+1</f>
        <v>2</v>
      </c>
      <c r="F4" s="93">
        <f t="shared" si="0"/>
        <v>3</v>
      </c>
      <c r="G4" s="93">
        <f t="shared" si="0"/>
        <v>4</v>
      </c>
      <c r="H4" s="93">
        <f t="shared" si="0"/>
        <v>5</v>
      </c>
      <c r="I4" s="93">
        <f t="shared" si="0"/>
        <v>6</v>
      </c>
      <c r="J4" s="93">
        <f t="shared" si="0"/>
        <v>7</v>
      </c>
      <c r="K4" s="93">
        <f t="shared" si="0"/>
        <v>8</v>
      </c>
      <c r="L4" s="93">
        <f t="shared" si="0"/>
        <v>9</v>
      </c>
      <c r="M4" s="93">
        <f t="shared" si="0"/>
        <v>10</v>
      </c>
      <c r="N4" s="93">
        <f t="shared" si="0"/>
        <v>11</v>
      </c>
      <c r="O4" s="93">
        <f t="shared" si="0"/>
        <v>12</v>
      </c>
      <c r="P4" s="89" t="s">
        <v>0</v>
      </c>
      <c r="Q4" s="93">
        <v>1</v>
      </c>
      <c r="R4" s="93">
        <f aca="true" t="shared" si="1" ref="R4:AB4">Q4+1</f>
        <v>2</v>
      </c>
      <c r="S4" s="93">
        <f t="shared" si="1"/>
        <v>3</v>
      </c>
      <c r="T4" s="93">
        <f t="shared" si="1"/>
        <v>4</v>
      </c>
      <c r="U4" s="93">
        <f t="shared" si="1"/>
        <v>5</v>
      </c>
      <c r="V4" s="93">
        <f t="shared" si="1"/>
        <v>6</v>
      </c>
      <c r="W4" s="93">
        <f t="shared" si="1"/>
        <v>7</v>
      </c>
      <c r="X4" s="93">
        <f t="shared" si="1"/>
        <v>8</v>
      </c>
      <c r="Y4" s="93">
        <f t="shared" si="1"/>
        <v>9</v>
      </c>
      <c r="Z4" s="93">
        <f t="shared" si="1"/>
        <v>10</v>
      </c>
      <c r="AA4" s="93">
        <f t="shared" si="1"/>
        <v>11</v>
      </c>
      <c r="AB4" s="93">
        <f t="shared" si="1"/>
        <v>12</v>
      </c>
      <c r="AC4" s="89" t="s">
        <v>0</v>
      </c>
      <c r="AD4" s="93">
        <v>1</v>
      </c>
      <c r="AE4" s="93">
        <f aca="true" t="shared" si="2" ref="AE4:AO4">AD4+1</f>
        <v>2</v>
      </c>
      <c r="AF4" s="93">
        <f t="shared" si="2"/>
        <v>3</v>
      </c>
      <c r="AG4" s="93">
        <f t="shared" si="2"/>
        <v>4</v>
      </c>
      <c r="AH4" s="93">
        <f t="shared" si="2"/>
        <v>5</v>
      </c>
      <c r="AI4" s="93">
        <f t="shared" si="2"/>
        <v>6</v>
      </c>
      <c r="AJ4" s="93">
        <f t="shared" si="2"/>
        <v>7</v>
      </c>
      <c r="AK4" s="93">
        <f t="shared" si="2"/>
        <v>8</v>
      </c>
      <c r="AL4" s="93">
        <f t="shared" si="2"/>
        <v>9</v>
      </c>
      <c r="AM4" s="93">
        <f t="shared" si="2"/>
        <v>10</v>
      </c>
      <c r="AN4" s="93">
        <f t="shared" si="2"/>
        <v>11</v>
      </c>
      <c r="AO4" s="93">
        <f t="shared" si="2"/>
        <v>12</v>
      </c>
      <c r="AP4" s="89" t="s">
        <v>0</v>
      </c>
      <c r="AQ4" s="89" t="s">
        <v>111</v>
      </c>
      <c r="AR4" s="89" t="s">
        <v>111</v>
      </c>
      <c r="AS4" s="89" t="s">
        <v>111</v>
      </c>
      <c r="AT4" s="89" t="s">
        <v>111</v>
      </c>
      <c r="AU4" s="89" t="s">
        <v>111</v>
      </c>
    </row>
    <row r="5" spans="1:48" s="88" customFormat="1" ht="15" customHeight="1">
      <c r="A5" s="94" t="s">
        <v>328</v>
      </c>
      <c r="B5" s="95">
        <f>SUM(B6:B7)</f>
        <v>10213595.663265305</v>
      </c>
      <c r="C5" s="96"/>
      <c r="D5" s="95">
        <f aca="true" t="shared" si="3" ref="D5:AU5">SUM(D6:D7)</f>
        <v>0</v>
      </c>
      <c r="E5" s="95">
        <f t="shared" si="3"/>
        <v>0</v>
      </c>
      <c r="F5" s="95">
        <f t="shared" si="3"/>
        <v>0</v>
      </c>
      <c r="G5" s="95">
        <f t="shared" si="3"/>
        <v>0</v>
      </c>
      <c r="H5" s="95">
        <f t="shared" si="3"/>
        <v>0</v>
      </c>
      <c r="I5" s="95">
        <f t="shared" si="3"/>
        <v>0</v>
      </c>
      <c r="J5" s="95">
        <f t="shared" si="3"/>
        <v>0</v>
      </c>
      <c r="K5" s="95">
        <f t="shared" si="3"/>
        <v>0</v>
      </c>
      <c r="L5" s="95">
        <f t="shared" si="3"/>
        <v>0</v>
      </c>
      <c r="M5" s="95">
        <f t="shared" si="3"/>
        <v>0</v>
      </c>
      <c r="N5" s="95">
        <f t="shared" si="3"/>
        <v>0</v>
      </c>
      <c r="O5" s="95">
        <f t="shared" si="3"/>
        <v>0</v>
      </c>
      <c r="P5" s="95">
        <f t="shared" si="3"/>
        <v>0</v>
      </c>
      <c r="Q5" s="95">
        <f t="shared" si="3"/>
        <v>24122.448979591834</v>
      </c>
      <c r="R5" s="95">
        <f t="shared" si="3"/>
        <v>30153.061224489793</v>
      </c>
      <c r="S5" s="95">
        <f t="shared" si="3"/>
        <v>36183.67346938775</v>
      </c>
      <c r="T5" s="95">
        <f t="shared" si="3"/>
        <v>47491.07142857142</v>
      </c>
      <c r="U5" s="95">
        <f t="shared" si="3"/>
        <v>54275.51020408163</v>
      </c>
      <c r="V5" s="95">
        <f t="shared" si="3"/>
        <v>54275.51020408163</v>
      </c>
      <c r="W5" s="95">
        <f t="shared" si="3"/>
        <v>66336.73469387754</v>
      </c>
      <c r="X5" s="95">
        <f t="shared" si="3"/>
        <v>66336.73469387754</v>
      </c>
      <c r="Y5" s="95">
        <f t="shared" si="3"/>
        <v>74628.82653061223</v>
      </c>
      <c r="Z5" s="95">
        <f t="shared" si="3"/>
        <v>88197.70408163265</v>
      </c>
      <c r="AA5" s="95">
        <f t="shared" si="3"/>
        <v>97997.44897959183</v>
      </c>
      <c r="AB5" s="95">
        <f t="shared" si="3"/>
        <v>97997.44897959183</v>
      </c>
      <c r="AC5" s="95">
        <f t="shared" si="3"/>
        <v>737996.1734693877</v>
      </c>
      <c r="AD5" s="95">
        <f t="shared" si="3"/>
        <v>105535.71428571428</v>
      </c>
      <c r="AE5" s="95">
        <f t="shared" si="3"/>
        <v>105535.71428571428</v>
      </c>
      <c r="AF5" s="95">
        <f t="shared" si="3"/>
        <v>105535.71428571428</v>
      </c>
      <c r="AG5" s="95">
        <f t="shared" si="3"/>
        <v>105535.71428571428</v>
      </c>
      <c r="AH5" s="95">
        <f t="shared" si="3"/>
        <v>105535.71428571428</v>
      </c>
      <c r="AI5" s="95">
        <f t="shared" si="3"/>
        <v>105535.71428571428</v>
      </c>
      <c r="AJ5" s="95">
        <f t="shared" si="3"/>
        <v>113073.97959183672</v>
      </c>
      <c r="AK5" s="95">
        <f t="shared" si="3"/>
        <v>113073.97959183672</v>
      </c>
      <c r="AL5" s="95">
        <f t="shared" si="3"/>
        <v>113073.97959183672</v>
      </c>
      <c r="AM5" s="95">
        <f t="shared" si="3"/>
        <v>120612.24489795917</v>
      </c>
      <c r="AN5" s="95">
        <f t="shared" si="3"/>
        <v>120612.24489795917</v>
      </c>
      <c r="AO5" s="95">
        <f t="shared" si="3"/>
        <v>120612.24489795917</v>
      </c>
      <c r="AP5" s="95">
        <f t="shared" si="3"/>
        <v>1334272.959183673</v>
      </c>
      <c r="AQ5" s="95">
        <f t="shared" si="3"/>
        <v>1447346.93877551</v>
      </c>
      <c r="AR5" s="95">
        <f t="shared" si="3"/>
        <v>1537806.1224489794</v>
      </c>
      <c r="AS5" s="95">
        <f t="shared" si="3"/>
        <v>1628265.3061224488</v>
      </c>
      <c r="AT5" s="95">
        <f t="shared" si="3"/>
        <v>1718724.489795918</v>
      </c>
      <c r="AU5" s="95">
        <f t="shared" si="3"/>
        <v>1809183.6734693875</v>
      </c>
      <c r="AV5" s="97"/>
    </row>
    <row r="6" spans="1:48" s="88" customFormat="1" ht="12.75">
      <c r="A6" s="287" t="str">
        <f>Дох!A6</f>
        <v>Стакан</v>
      </c>
      <c r="B6" s="95">
        <f>P6+AC6+AP6+AQ6+AR6+AS6+AT6+AU6</f>
        <v>5806714.2857142845</v>
      </c>
      <c r="C6" s="96"/>
      <c r="D6" s="98">
        <f>Производство!D14*Дох!$C6/1000</f>
        <v>0</v>
      </c>
      <c r="E6" s="98">
        <f>Производство!E14*Дох!$C6/1000</f>
        <v>0</v>
      </c>
      <c r="F6" s="98">
        <f>Производство!F14*Дох!$C6/1000</f>
        <v>0</v>
      </c>
      <c r="G6" s="98">
        <f>Производство!G14*Дох!$C6/1000</f>
        <v>0</v>
      </c>
      <c r="H6" s="98">
        <f>Производство!H14*Дох!$C6/1000</f>
        <v>0</v>
      </c>
      <c r="I6" s="98">
        <f>Производство!I14*Дох!$C6/1000</f>
        <v>0</v>
      </c>
      <c r="J6" s="98">
        <f>Производство!J14*Дох!$C6/1000</f>
        <v>0</v>
      </c>
      <c r="K6" s="98">
        <f>Производство!K14*Дох!$C6/1000</f>
        <v>0</v>
      </c>
      <c r="L6" s="98">
        <f>Производство!L14*Дох!$C6/1000</f>
        <v>0</v>
      </c>
      <c r="M6" s="98">
        <f>Производство!M14*Дох!$C6/1000</f>
        <v>0</v>
      </c>
      <c r="N6" s="98">
        <f>Производство!N14*Дох!$C6/1000</f>
        <v>0</v>
      </c>
      <c r="O6" s="98">
        <f>Производство!O14*Дох!$C6/1000</f>
        <v>0</v>
      </c>
      <c r="P6" s="96">
        <f>SUM(D6:O6)</f>
        <v>0</v>
      </c>
      <c r="Q6" s="98">
        <f>Производство!Q14*Дох!$C6</f>
        <v>13714.285714285712</v>
      </c>
      <c r="R6" s="98">
        <f>Производство!R14*Дох!$C6</f>
        <v>17142.85714285714</v>
      </c>
      <c r="S6" s="98">
        <f>Производство!S14*Дох!$C6</f>
        <v>20571.42857142857</v>
      </c>
      <c r="T6" s="98">
        <f>Производство!T14*Дох!$C6</f>
        <v>26999.999999999996</v>
      </c>
      <c r="U6" s="98">
        <f>Производство!U14*Дох!$C6</f>
        <v>30857.14285714285</v>
      </c>
      <c r="V6" s="98">
        <f>Производство!V14*Дох!$C6</f>
        <v>30857.14285714285</v>
      </c>
      <c r="W6" s="98">
        <f>Производство!W14*Дох!$C6</f>
        <v>37714.28571428571</v>
      </c>
      <c r="X6" s="98">
        <f>Производство!X14*Дох!$C6</f>
        <v>37714.28571428571</v>
      </c>
      <c r="Y6" s="98">
        <f>Производство!Y14*Дох!$C6</f>
        <v>42428.57142857142</v>
      </c>
      <c r="Z6" s="98">
        <f>Производство!Z14*Дох!$C6</f>
        <v>50142.85714285714</v>
      </c>
      <c r="AA6" s="98">
        <f>Производство!AA14*Дох!$C6</f>
        <v>55714.2857142857</v>
      </c>
      <c r="AB6" s="98">
        <f>Производство!AB14*Дох!$C6</f>
        <v>55714.2857142857</v>
      </c>
      <c r="AC6" s="96">
        <f>SUM(Q6:AB6)</f>
        <v>419571.42857142846</v>
      </c>
      <c r="AD6" s="98">
        <f>Производство!AD14*Дох!$C6</f>
        <v>59999.99999999999</v>
      </c>
      <c r="AE6" s="98">
        <f>Производство!AE14*Дох!$C6</f>
        <v>59999.99999999999</v>
      </c>
      <c r="AF6" s="98">
        <f>Производство!AF14*Дох!$C6</f>
        <v>59999.99999999999</v>
      </c>
      <c r="AG6" s="98">
        <f>Производство!AG14*Дох!$C6</f>
        <v>59999.99999999999</v>
      </c>
      <c r="AH6" s="98">
        <f>Производство!AH14*Дох!$C6</f>
        <v>59999.99999999999</v>
      </c>
      <c r="AI6" s="98">
        <f>Производство!AI14*Дох!$C6</f>
        <v>59999.99999999999</v>
      </c>
      <c r="AJ6" s="98">
        <f>Производство!AJ14*Дох!$C6</f>
        <v>64285.714285714275</v>
      </c>
      <c r="AK6" s="98">
        <f>Производство!AK14*Дох!$C6</f>
        <v>64285.714285714275</v>
      </c>
      <c r="AL6" s="98">
        <f>Производство!AL14*Дох!$C6</f>
        <v>64285.714285714275</v>
      </c>
      <c r="AM6" s="98">
        <f>Производство!AM14*Дох!$C6</f>
        <v>68571.42857142857</v>
      </c>
      <c r="AN6" s="98">
        <f>Производство!AN14*Дох!$C6</f>
        <v>68571.42857142857</v>
      </c>
      <c r="AO6" s="98">
        <f>Производство!AO14*Дох!$C6</f>
        <v>68571.42857142857</v>
      </c>
      <c r="AP6" s="96">
        <f>SUM(AD6:AO6)</f>
        <v>758571.4285714283</v>
      </c>
      <c r="AQ6" s="98">
        <f>Производство!AQ14*Дох!$C6</f>
        <v>822857.1428571427</v>
      </c>
      <c r="AR6" s="98">
        <f>Производство!AR14*Дох!$C6</f>
        <v>874285.7142857141</v>
      </c>
      <c r="AS6" s="98">
        <f>Производство!AS14*Дох!$C6</f>
        <v>925714.2857142856</v>
      </c>
      <c r="AT6" s="98">
        <f>Производство!AT14*Дох!$C6</f>
        <v>977142.8571428569</v>
      </c>
      <c r="AU6" s="98">
        <f>Производство!AU14*Дох!$C6</f>
        <v>1028571.4285714284</v>
      </c>
      <c r="AV6" s="97"/>
    </row>
    <row r="7" spans="1:48" s="88" customFormat="1" ht="12.75">
      <c r="A7" s="287" t="str">
        <f>Дох!A7</f>
        <v>Фужер</v>
      </c>
      <c r="B7" s="95">
        <f>P7+AC7+AP7+AQ7+AR7+AS7+AT7+AU7</f>
        <v>4406881.37755102</v>
      </c>
      <c r="C7" s="96"/>
      <c r="D7" s="98">
        <f>Производство!D15*Дох!$C7/1000</f>
        <v>0</v>
      </c>
      <c r="E7" s="98">
        <f>Производство!E15*Дох!$C7/1000</f>
        <v>0</v>
      </c>
      <c r="F7" s="98">
        <f>Производство!F15*Дох!$C7/1000</f>
        <v>0</v>
      </c>
      <c r="G7" s="98">
        <f>Производство!G15*Дох!$C7/1000</f>
        <v>0</v>
      </c>
      <c r="H7" s="98">
        <f>Производство!H15*Дох!$C7/1000</f>
        <v>0</v>
      </c>
      <c r="I7" s="98">
        <f>Производство!I15*Дох!$C7/1000</f>
        <v>0</v>
      </c>
      <c r="J7" s="98">
        <f>Производство!J15*Дох!$C7/1000</f>
        <v>0</v>
      </c>
      <c r="K7" s="98">
        <f>Производство!K15*Дох!$C7/1000</f>
        <v>0</v>
      </c>
      <c r="L7" s="98">
        <f>Производство!L15*Дох!$C7/1000</f>
        <v>0</v>
      </c>
      <c r="M7" s="98">
        <f>Производство!M15*Дох!$C7/1000</f>
        <v>0</v>
      </c>
      <c r="N7" s="98">
        <f>Производство!N15*Дох!$C7/1000</f>
        <v>0</v>
      </c>
      <c r="O7" s="98">
        <f>Производство!O15*Дох!$C7/1000</f>
        <v>0</v>
      </c>
      <c r="P7" s="96">
        <f>SUM(D7:O7)</f>
        <v>0</v>
      </c>
      <c r="Q7" s="98">
        <f>Производство!Q15*Дох!$C7</f>
        <v>10408.163265306124</v>
      </c>
      <c r="R7" s="98">
        <f>Производство!R15*Дох!$C7</f>
        <v>13010.204081632653</v>
      </c>
      <c r="S7" s="98">
        <f>Производство!S15*Дох!$C7</f>
        <v>15612.244897959183</v>
      </c>
      <c r="T7" s="98">
        <f>Производство!T15*Дох!$C7</f>
        <v>20491.071428571428</v>
      </c>
      <c r="U7" s="98">
        <f>Производство!U15*Дох!$C7</f>
        <v>23418.367346938776</v>
      </c>
      <c r="V7" s="98">
        <f>Производство!V15*Дох!$C7</f>
        <v>23418.367346938776</v>
      </c>
      <c r="W7" s="98">
        <f>Производство!W15*Дох!$C7</f>
        <v>28622.448979591838</v>
      </c>
      <c r="X7" s="98">
        <f>Производство!X15*Дох!$C7</f>
        <v>28622.448979591838</v>
      </c>
      <c r="Y7" s="98">
        <f>Производство!Y15*Дох!$C7</f>
        <v>32200.255102040817</v>
      </c>
      <c r="Z7" s="98">
        <f>Производство!Z15*Дох!$C7</f>
        <v>38054.84693877551</v>
      </c>
      <c r="AA7" s="98">
        <f>Производство!AA15*Дох!$C7</f>
        <v>42283.163265306124</v>
      </c>
      <c r="AB7" s="98">
        <f>Производство!AB15*Дох!$C7</f>
        <v>42283.163265306124</v>
      </c>
      <c r="AC7" s="96">
        <f>SUM(Q7:AB7)</f>
        <v>318424.7448979592</v>
      </c>
      <c r="AD7" s="98">
        <f>Производство!AD15*Дох!$C7</f>
        <v>45535.71428571428</v>
      </c>
      <c r="AE7" s="98">
        <f>Производство!AE15*Дох!$C7</f>
        <v>45535.71428571428</v>
      </c>
      <c r="AF7" s="98">
        <f>Производство!AF15*Дох!$C7</f>
        <v>45535.71428571428</v>
      </c>
      <c r="AG7" s="98">
        <f>Производство!AG15*Дох!$C7</f>
        <v>45535.71428571428</v>
      </c>
      <c r="AH7" s="98">
        <f>Производство!AH15*Дох!$C7</f>
        <v>45535.71428571428</v>
      </c>
      <c r="AI7" s="98">
        <f>Производство!AI15*Дох!$C7</f>
        <v>45535.71428571428</v>
      </c>
      <c r="AJ7" s="98">
        <f>Производство!AJ15*Дох!$C7</f>
        <v>48788.26530612245</v>
      </c>
      <c r="AK7" s="98">
        <f>Производство!AK15*Дох!$C7</f>
        <v>48788.26530612245</v>
      </c>
      <c r="AL7" s="98">
        <f>Производство!AL15*Дох!$C7</f>
        <v>48788.26530612245</v>
      </c>
      <c r="AM7" s="98">
        <f>Производство!AM15*Дох!$C7</f>
        <v>52040.816326530614</v>
      </c>
      <c r="AN7" s="98">
        <f>Производство!AN15*Дох!$C7</f>
        <v>52040.816326530614</v>
      </c>
      <c r="AO7" s="98">
        <f>Производство!AO15*Дох!$C7</f>
        <v>52040.816326530614</v>
      </c>
      <c r="AP7" s="96">
        <f>SUM(AD7:AO7)</f>
        <v>575701.5306122447</v>
      </c>
      <c r="AQ7" s="98">
        <f>Производство!AQ15*Дох!$C7</f>
        <v>624489.7959183673</v>
      </c>
      <c r="AR7" s="98">
        <f>Производство!AR15*Дох!$C7</f>
        <v>663520.4081632653</v>
      </c>
      <c r="AS7" s="98">
        <f>Производство!AS15*Дох!$C7</f>
        <v>702551.0204081632</v>
      </c>
      <c r="AT7" s="98">
        <f>Производство!AT15*Дох!$C7</f>
        <v>741581.6326530613</v>
      </c>
      <c r="AU7" s="98">
        <f>Производство!AU15*Дох!$C7</f>
        <v>780612.2448979592</v>
      </c>
      <c r="AV7" s="97"/>
    </row>
    <row r="8" spans="1:47" ht="15" customHeight="1">
      <c r="A8" s="94" t="s">
        <v>329</v>
      </c>
      <c r="B8" s="95">
        <f>SUM(B9:B10)</f>
        <v>3253124.5778571432</v>
      </c>
      <c r="C8" s="96"/>
      <c r="D8" s="95">
        <f aca="true" t="shared" si="4" ref="D8:AU8">SUM(D9:D10)</f>
        <v>0</v>
      </c>
      <c r="E8" s="95">
        <f t="shared" si="4"/>
        <v>0</v>
      </c>
      <c r="F8" s="95">
        <f t="shared" si="4"/>
        <v>0</v>
      </c>
      <c r="G8" s="95">
        <f t="shared" si="4"/>
        <v>0</v>
      </c>
      <c r="H8" s="95">
        <f t="shared" si="4"/>
        <v>0</v>
      </c>
      <c r="I8" s="95">
        <f t="shared" si="4"/>
        <v>0</v>
      </c>
      <c r="J8" s="95">
        <f t="shared" si="4"/>
        <v>0</v>
      </c>
      <c r="K8" s="95">
        <f t="shared" si="4"/>
        <v>0</v>
      </c>
      <c r="L8" s="95">
        <f t="shared" si="4"/>
        <v>0</v>
      </c>
      <c r="M8" s="95">
        <f t="shared" si="4"/>
        <v>0</v>
      </c>
      <c r="N8" s="95">
        <f t="shared" si="4"/>
        <v>0</v>
      </c>
      <c r="O8" s="95">
        <f t="shared" si="4"/>
        <v>0</v>
      </c>
      <c r="P8" s="95">
        <f t="shared" si="4"/>
        <v>0</v>
      </c>
      <c r="Q8" s="95">
        <f t="shared" si="4"/>
        <v>7683.222857142857</v>
      </c>
      <c r="R8" s="95">
        <f t="shared" si="4"/>
        <v>9604.028571428571</v>
      </c>
      <c r="S8" s="95">
        <f t="shared" si="4"/>
        <v>11524.834285714285</v>
      </c>
      <c r="T8" s="95">
        <f t="shared" si="4"/>
        <v>15126.344999999998</v>
      </c>
      <c r="U8" s="95">
        <f t="shared" si="4"/>
        <v>17287.251428571428</v>
      </c>
      <c r="V8" s="95">
        <f t="shared" si="4"/>
        <v>17287.251428571428</v>
      </c>
      <c r="W8" s="95">
        <f t="shared" si="4"/>
        <v>21128.862857142856</v>
      </c>
      <c r="X8" s="95">
        <f t="shared" si="4"/>
        <v>21128.862857142856</v>
      </c>
      <c r="Y8" s="95">
        <f t="shared" si="4"/>
        <v>23769.970714285715</v>
      </c>
      <c r="Z8" s="95">
        <f t="shared" si="4"/>
        <v>28091.783571428572</v>
      </c>
      <c r="AA8" s="95">
        <f t="shared" si="4"/>
        <v>31213.09285714286</v>
      </c>
      <c r="AB8" s="95">
        <f t="shared" si="4"/>
        <v>31213.09285714286</v>
      </c>
      <c r="AC8" s="95">
        <f t="shared" si="4"/>
        <v>235058.5992857143</v>
      </c>
      <c r="AD8" s="95">
        <f t="shared" si="4"/>
        <v>33614.1</v>
      </c>
      <c r="AE8" s="95">
        <f t="shared" si="4"/>
        <v>33614.1</v>
      </c>
      <c r="AF8" s="95">
        <f t="shared" si="4"/>
        <v>33614.1</v>
      </c>
      <c r="AG8" s="95">
        <f t="shared" si="4"/>
        <v>33614.1</v>
      </c>
      <c r="AH8" s="95">
        <f t="shared" si="4"/>
        <v>33614.1</v>
      </c>
      <c r="AI8" s="95">
        <f t="shared" si="4"/>
        <v>33614.1</v>
      </c>
      <c r="AJ8" s="95">
        <f t="shared" si="4"/>
        <v>36015.107142857145</v>
      </c>
      <c r="AK8" s="95">
        <f t="shared" si="4"/>
        <v>36015.107142857145</v>
      </c>
      <c r="AL8" s="95">
        <f t="shared" si="4"/>
        <v>36015.107142857145</v>
      </c>
      <c r="AM8" s="95">
        <f t="shared" si="4"/>
        <v>38416.114285714284</v>
      </c>
      <c r="AN8" s="95">
        <f t="shared" si="4"/>
        <v>38416.114285714284</v>
      </c>
      <c r="AO8" s="95">
        <f t="shared" si="4"/>
        <v>38416.114285714284</v>
      </c>
      <c r="AP8" s="95">
        <f t="shared" si="4"/>
        <v>424978.2642857143</v>
      </c>
      <c r="AQ8" s="95">
        <f t="shared" si="4"/>
        <v>460993.3714285714</v>
      </c>
      <c r="AR8" s="95">
        <f t="shared" si="4"/>
        <v>489805.4571428571</v>
      </c>
      <c r="AS8" s="95">
        <f t="shared" si="4"/>
        <v>518617.54285714286</v>
      </c>
      <c r="AT8" s="95">
        <f t="shared" si="4"/>
        <v>547429.6285714286</v>
      </c>
      <c r="AU8" s="95">
        <f t="shared" si="4"/>
        <v>576241.7142857143</v>
      </c>
    </row>
    <row r="9" spans="1:47" ht="12.75">
      <c r="A9" s="287" t="str">
        <f>A6</f>
        <v>Стакан</v>
      </c>
      <c r="B9" s="95">
        <f>P9+AC9+AP9+AQ9+AR9+AS9+AT9+AU9</f>
        <v>1742696.5746428573</v>
      </c>
      <c r="C9" s="96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6">
        <f>SUM(D9:O9)</f>
        <v>0</v>
      </c>
      <c r="Q9" s="98">
        <f>Производство!Q14*'Расх перем'!$E$10</f>
        <v>4115.897142857143</v>
      </c>
      <c r="R9" s="98">
        <f>Производство!R14*'Расх перем'!$E$10</f>
        <v>5144.871428571429</v>
      </c>
      <c r="S9" s="98">
        <f>Производство!S14*'Расх перем'!$E$10</f>
        <v>6173.845714285714</v>
      </c>
      <c r="T9" s="98">
        <f>Производство!T14*'Расх перем'!$E$10</f>
        <v>8103.1725</v>
      </c>
      <c r="U9" s="98">
        <f>Производство!U14*'Расх перем'!$E$10</f>
        <v>9260.76857142857</v>
      </c>
      <c r="V9" s="98">
        <f>Производство!V14*'Расх перем'!$E$10</f>
        <v>9260.76857142857</v>
      </c>
      <c r="W9" s="98">
        <f>Производство!W14*'Расх перем'!$E$10</f>
        <v>11318.717142857144</v>
      </c>
      <c r="X9" s="98">
        <f>Производство!X14*'Расх перем'!$E$10</f>
        <v>11318.717142857144</v>
      </c>
      <c r="Y9" s="98">
        <f>Производство!Y14*'Расх перем'!$E$10</f>
        <v>12733.556785714285</v>
      </c>
      <c r="Z9" s="98">
        <f>Производство!Z14*'Расх перем'!$E$10</f>
        <v>15048.74892857143</v>
      </c>
      <c r="AA9" s="98">
        <f>Производство!AA14*'Расх перем'!$E$10</f>
        <v>16720.832142857143</v>
      </c>
      <c r="AB9" s="98">
        <f>Производство!AB14*'Расх перем'!$E$10</f>
        <v>16720.832142857143</v>
      </c>
      <c r="AC9" s="96">
        <f>SUM(Q9:AB9)</f>
        <v>125920.72821428571</v>
      </c>
      <c r="AD9" s="98">
        <f>Производство!AD14*'Расх перем'!$E$10</f>
        <v>18007.05</v>
      </c>
      <c r="AE9" s="98">
        <f>Производство!AE14*'Расх перем'!$E$10</f>
        <v>18007.05</v>
      </c>
      <c r="AF9" s="98">
        <f>Производство!AF14*'Расх перем'!$E$10</f>
        <v>18007.05</v>
      </c>
      <c r="AG9" s="98">
        <f>Производство!AG14*'Расх перем'!$E$10</f>
        <v>18007.05</v>
      </c>
      <c r="AH9" s="98">
        <f>Производство!AH14*'Расх перем'!$E$10</f>
        <v>18007.05</v>
      </c>
      <c r="AI9" s="98">
        <f>Производство!AI14*'Расх перем'!$E$10</f>
        <v>18007.05</v>
      </c>
      <c r="AJ9" s="98">
        <f>Производство!AJ14*'Расх перем'!$E$10</f>
        <v>19293.26785714286</v>
      </c>
      <c r="AK9" s="98">
        <f>Производство!AK14*'Расх перем'!$E$10</f>
        <v>19293.26785714286</v>
      </c>
      <c r="AL9" s="98">
        <f>Производство!AL14*'Расх перем'!$E$10</f>
        <v>19293.26785714286</v>
      </c>
      <c r="AM9" s="98">
        <f>Производство!AM14*'Расх перем'!$E$10</f>
        <v>20579.485714285714</v>
      </c>
      <c r="AN9" s="98">
        <f>Производство!AN14*'Расх перем'!$E$10</f>
        <v>20579.485714285714</v>
      </c>
      <c r="AO9" s="98">
        <f>Производство!AO14*'Расх перем'!$E$10</f>
        <v>20579.485714285714</v>
      </c>
      <c r="AP9" s="96">
        <f>SUM(AD9:AO9)</f>
        <v>227660.56071428576</v>
      </c>
      <c r="AQ9" s="98">
        <f>Производство!AQ14*'Расх перем'!$E$10</f>
        <v>246953.82857142857</v>
      </c>
      <c r="AR9" s="98">
        <f>Производство!AR14*'Расх перем'!$E$10</f>
        <v>262388.4428571428</v>
      </c>
      <c r="AS9" s="98">
        <f>Производство!AS14*'Расх перем'!$E$10</f>
        <v>277823.0571428572</v>
      </c>
      <c r="AT9" s="98">
        <f>Производство!AT14*'Расх перем'!$E$10</f>
        <v>293257.67142857146</v>
      </c>
      <c r="AU9" s="98">
        <f>Производство!AU14*'Расх перем'!$E$10</f>
        <v>308692.28571428574</v>
      </c>
    </row>
    <row r="10" spans="1:47" ht="12.75">
      <c r="A10" s="287" t="str">
        <f>A7</f>
        <v>Фужер</v>
      </c>
      <c r="B10" s="95">
        <f>P10+AC10+AP10+AQ10+AR10+AS10+AT10+AU10</f>
        <v>1510428.0032142857</v>
      </c>
      <c r="C10" s="96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6">
        <f>SUM(D10:O10)</f>
        <v>0</v>
      </c>
      <c r="Q10" s="98">
        <f>Производство!Q15*'Расх перем'!$G$10</f>
        <v>3567.325714285714</v>
      </c>
      <c r="R10" s="98">
        <f>Производство!R15*'Расх перем'!$G$10</f>
        <v>4459.157142857142</v>
      </c>
      <c r="S10" s="98">
        <f>Производство!S15*'Расх перем'!$G$10</f>
        <v>5350.988571428571</v>
      </c>
      <c r="T10" s="98">
        <f>Производство!T15*'Расх перем'!$G$10</f>
        <v>7023.172499999999</v>
      </c>
      <c r="U10" s="98">
        <f>Производство!U15*'Расх перем'!$G$10</f>
        <v>8026.482857142857</v>
      </c>
      <c r="V10" s="98">
        <f>Производство!V15*'Расх перем'!$G$10</f>
        <v>8026.482857142857</v>
      </c>
      <c r="W10" s="98">
        <f>Производство!W15*'Расх перем'!$G$10</f>
        <v>9810.145714285713</v>
      </c>
      <c r="X10" s="98">
        <f>Производство!X15*'Расх перем'!$G$10</f>
        <v>9810.145714285713</v>
      </c>
      <c r="Y10" s="98">
        <f>Производство!Y15*'Расх перем'!$G$10</f>
        <v>11036.413928571428</v>
      </c>
      <c r="Z10" s="98">
        <f>Производство!Z15*'Расх перем'!$G$10</f>
        <v>13043.034642857143</v>
      </c>
      <c r="AA10" s="98">
        <f>Производство!AA15*'Расх перем'!$G$10</f>
        <v>14492.260714285714</v>
      </c>
      <c r="AB10" s="98">
        <f>Производство!AB15*'Расх перем'!$G$10</f>
        <v>14492.260714285714</v>
      </c>
      <c r="AC10" s="96">
        <f>SUM(Q10:AB10)</f>
        <v>109137.87107142858</v>
      </c>
      <c r="AD10" s="98">
        <f>Производство!AD15*'Расх перем'!$G$10</f>
        <v>15607.049999999997</v>
      </c>
      <c r="AE10" s="98">
        <f>Производство!AE15*'Расх перем'!$G$10</f>
        <v>15607.049999999997</v>
      </c>
      <c r="AF10" s="98">
        <f>Производство!AF15*'Расх перем'!$G$10</f>
        <v>15607.049999999997</v>
      </c>
      <c r="AG10" s="98">
        <f>Производство!AG15*'Расх перем'!$G$10</f>
        <v>15607.049999999997</v>
      </c>
      <c r="AH10" s="98">
        <f>Производство!AH15*'Расх перем'!$G$10</f>
        <v>15607.049999999997</v>
      </c>
      <c r="AI10" s="98">
        <f>Производство!AI15*'Расх перем'!$G$10</f>
        <v>15607.049999999997</v>
      </c>
      <c r="AJ10" s="98">
        <f>Производство!AJ15*'Расх перем'!$G$10</f>
        <v>16721.839285714283</v>
      </c>
      <c r="AK10" s="98">
        <f>Производство!AK15*'Расх перем'!$G$10</f>
        <v>16721.839285714283</v>
      </c>
      <c r="AL10" s="98">
        <f>Производство!AL15*'Расх перем'!$G$10</f>
        <v>16721.839285714283</v>
      </c>
      <c r="AM10" s="98">
        <f>Производство!AM15*'Расх перем'!$G$10</f>
        <v>17836.62857142857</v>
      </c>
      <c r="AN10" s="98">
        <f>Производство!AN15*'Расх перем'!$G$10</f>
        <v>17836.62857142857</v>
      </c>
      <c r="AO10" s="98">
        <f>Производство!AO15*'Расх перем'!$G$10</f>
        <v>17836.62857142857</v>
      </c>
      <c r="AP10" s="96">
        <f>SUM(AD10:AO10)</f>
        <v>197317.70357142854</v>
      </c>
      <c r="AQ10" s="98">
        <f>Производство!AQ15*'Расх перем'!$G$10</f>
        <v>214039.54285714283</v>
      </c>
      <c r="AR10" s="98">
        <f>Производство!AR15*'Расх перем'!$G$10</f>
        <v>227417.01428571425</v>
      </c>
      <c r="AS10" s="98">
        <f>Производство!AS15*'Расх перем'!$G$10</f>
        <v>240794.48571428566</v>
      </c>
      <c r="AT10" s="98">
        <f>Производство!AT15*'Расх перем'!$G$10</f>
        <v>254171.95714285714</v>
      </c>
      <c r="AU10" s="98">
        <f>Производство!AU15*'Расх перем'!$G$10</f>
        <v>267549.4285714285</v>
      </c>
    </row>
    <row r="11" spans="1:47" s="88" customFormat="1" ht="15" customHeight="1">
      <c r="A11" s="94" t="s">
        <v>17</v>
      </c>
      <c r="B11" s="95">
        <f>B5-B8</f>
        <v>6960471.085408161</v>
      </c>
      <c r="C11" s="99"/>
      <c r="D11" s="96">
        <f aca="true" t="shared" si="5" ref="D11:AU11">D5-D8</f>
        <v>0</v>
      </c>
      <c r="E11" s="96">
        <f t="shared" si="5"/>
        <v>0</v>
      </c>
      <c r="F11" s="96">
        <f t="shared" si="5"/>
        <v>0</v>
      </c>
      <c r="G11" s="96">
        <f t="shared" si="5"/>
        <v>0</v>
      </c>
      <c r="H11" s="96">
        <f t="shared" si="5"/>
        <v>0</v>
      </c>
      <c r="I11" s="96">
        <f t="shared" si="5"/>
        <v>0</v>
      </c>
      <c r="J11" s="96">
        <f t="shared" si="5"/>
        <v>0</v>
      </c>
      <c r="K11" s="96">
        <f t="shared" si="5"/>
        <v>0</v>
      </c>
      <c r="L11" s="96">
        <f t="shared" si="5"/>
        <v>0</v>
      </c>
      <c r="M11" s="96">
        <f t="shared" si="5"/>
        <v>0</v>
      </c>
      <c r="N11" s="96">
        <f t="shared" si="5"/>
        <v>0</v>
      </c>
      <c r="O11" s="96">
        <f t="shared" si="5"/>
        <v>0</v>
      </c>
      <c r="P11" s="96">
        <f t="shared" si="5"/>
        <v>0</v>
      </c>
      <c r="Q11" s="96">
        <f t="shared" si="5"/>
        <v>16439.226122448978</v>
      </c>
      <c r="R11" s="96">
        <f t="shared" si="5"/>
        <v>20549.032653061222</v>
      </c>
      <c r="S11" s="96">
        <f t="shared" si="5"/>
        <v>24658.839183673466</v>
      </c>
      <c r="T11" s="96">
        <f t="shared" si="5"/>
        <v>32364.726428571423</v>
      </c>
      <c r="U11" s="96">
        <f t="shared" si="5"/>
        <v>36988.2587755102</v>
      </c>
      <c r="V11" s="96">
        <f t="shared" si="5"/>
        <v>36988.2587755102</v>
      </c>
      <c r="W11" s="96">
        <f t="shared" si="5"/>
        <v>45207.87183673469</v>
      </c>
      <c r="X11" s="96">
        <f t="shared" si="5"/>
        <v>45207.87183673469</v>
      </c>
      <c r="Y11" s="96">
        <f t="shared" si="5"/>
        <v>50858.85581632652</v>
      </c>
      <c r="Z11" s="96">
        <f t="shared" si="5"/>
        <v>60105.92051020407</v>
      </c>
      <c r="AA11" s="96">
        <f t="shared" si="5"/>
        <v>66784.35612244898</v>
      </c>
      <c r="AB11" s="96">
        <f t="shared" si="5"/>
        <v>66784.35612244898</v>
      </c>
      <c r="AC11" s="96">
        <f t="shared" si="5"/>
        <v>502937.57418367337</v>
      </c>
      <c r="AD11" s="96">
        <f t="shared" si="5"/>
        <v>71921.61428571428</v>
      </c>
      <c r="AE11" s="96">
        <f t="shared" si="5"/>
        <v>71921.61428571428</v>
      </c>
      <c r="AF11" s="96">
        <f t="shared" si="5"/>
        <v>71921.61428571428</v>
      </c>
      <c r="AG11" s="96">
        <f t="shared" si="5"/>
        <v>71921.61428571428</v>
      </c>
      <c r="AH11" s="96">
        <f t="shared" si="5"/>
        <v>71921.61428571428</v>
      </c>
      <c r="AI11" s="96">
        <f t="shared" si="5"/>
        <v>71921.61428571428</v>
      </c>
      <c r="AJ11" s="96">
        <f t="shared" si="5"/>
        <v>77058.87244897957</v>
      </c>
      <c r="AK11" s="96">
        <f t="shared" si="5"/>
        <v>77058.87244897957</v>
      </c>
      <c r="AL11" s="96">
        <f t="shared" si="5"/>
        <v>77058.87244897957</v>
      </c>
      <c r="AM11" s="96">
        <f t="shared" si="5"/>
        <v>82196.13061224489</v>
      </c>
      <c r="AN11" s="96">
        <f t="shared" si="5"/>
        <v>82196.13061224489</v>
      </c>
      <c r="AO11" s="96">
        <f t="shared" si="5"/>
        <v>82196.13061224489</v>
      </c>
      <c r="AP11" s="96">
        <f t="shared" si="5"/>
        <v>909294.6948979585</v>
      </c>
      <c r="AQ11" s="96">
        <f t="shared" si="5"/>
        <v>986353.5673469387</v>
      </c>
      <c r="AR11" s="96">
        <f t="shared" si="5"/>
        <v>1048000.6653061223</v>
      </c>
      <c r="AS11" s="96">
        <f t="shared" si="5"/>
        <v>1109647.763265306</v>
      </c>
      <c r="AT11" s="96">
        <f t="shared" si="5"/>
        <v>1171294.8612244895</v>
      </c>
      <c r="AU11" s="96">
        <f t="shared" si="5"/>
        <v>1232941.9591836731</v>
      </c>
    </row>
    <row r="12" spans="1:47" ht="15" customHeight="1">
      <c r="A12" s="100" t="s">
        <v>144</v>
      </c>
      <c r="B12" s="95">
        <f>P12+AC12+AP12+AQ12+AR12+AS12+AT12+AU12</f>
        <v>523256.3778854707</v>
      </c>
      <c r="C12" s="96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6">
        <f aca="true" t="shared" si="6" ref="P12:P17">SUM(D12:O12)</f>
        <v>0</v>
      </c>
      <c r="Q12" s="98">
        <f>Пост!$D$16+Пост!$D$18+Пост!$D$21</f>
        <v>5586.881312053572</v>
      </c>
      <c r="R12" s="98">
        <f>Пост!$D$16+Пост!$D$18+Пост!$D$21</f>
        <v>5586.881312053572</v>
      </c>
      <c r="S12" s="98">
        <f>Пост!$D$16+Пост!$D$18+Пост!$D$21</f>
        <v>5586.881312053572</v>
      </c>
      <c r="T12" s="98">
        <f>Пост!$D$16+Пост!$D$18+Пост!$D$21</f>
        <v>5586.881312053572</v>
      </c>
      <c r="U12" s="98">
        <f>Пост!$D$16+Пост!$D$18+Пост!$D$21</f>
        <v>5586.881312053572</v>
      </c>
      <c r="V12" s="98">
        <f>Пост!$D$16+Пост!$D$18+Пост!$D$21</f>
        <v>5586.881312053572</v>
      </c>
      <c r="W12" s="98">
        <f>Пост!$D$16+Пост!$D$18+Пост!$D$21</f>
        <v>5586.881312053572</v>
      </c>
      <c r="X12" s="98">
        <f>Пост!$D$16+Пост!$D$18+Пост!$D$21</f>
        <v>5586.881312053572</v>
      </c>
      <c r="Y12" s="98">
        <f>Пост!$D$16+Пост!$D$18+Пост!$D$21</f>
        <v>5586.881312053572</v>
      </c>
      <c r="Z12" s="98">
        <f>Пост!$D$16+Пост!$D$18+Пост!$D$21</f>
        <v>5586.881312053572</v>
      </c>
      <c r="AA12" s="98">
        <f>Пост!$D$16+Пост!$D$18+Пост!$D$21</f>
        <v>5586.881312053572</v>
      </c>
      <c r="AB12" s="98">
        <f>Пост!$D$16+Пост!$D$18+Пост!$D$21</f>
        <v>5586.881312053572</v>
      </c>
      <c r="AC12" s="96">
        <f aca="true" t="shared" si="7" ref="AC12:AC17">SUM(Q12:AB12)</f>
        <v>67042.57574464286</v>
      </c>
      <c r="AD12" s="98">
        <f>Пост!$E$16+Пост!$E$18+Пост!$E$21</f>
        <v>5779.709889375</v>
      </c>
      <c r="AE12" s="98">
        <f>Пост!$E$16+Пост!$E$18+Пост!$E$21</f>
        <v>5779.709889375</v>
      </c>
      <c r="AF12" s="98">
        <f>Пост!$E$16+Пост!$E$18+Пост!$E$21</f>
        <v>5779.709889375</v>
      </c>
      <c r="AG12" s="98">
        <f>Пост!$E$16+Пост!$E$18+Пост!$E$21</f>
        <v>5779.709889375</v>
      </c>
      <c r="AH12" s="98">
        <f>Пост!$E$16+Пост!$E$18+Пост!$E$21</f>
        <v>5779.709889375</v>
      </c>
      <c r="AI12" s="98">
        <f>Пост!$E$16+Пост!$E$18+Пост!$E$21</f>
        <v>5779.709889375</v>
      </c>
      <c r="AJ12" s="98">
        <f>Пост!$E$16+Пост!$E$18+Пост!$E$21</f>
        <v>5779.709889375</v>
      </c>
      <c r="AK12" s="98">
        <f>Пост!$E$16+Пост!$E$18+Пост!$E$21</f>
        <v>5779.709889375</v>
      </c>
      <c r="AL12" s="98">
        <f>Пост!$E$16+Пост!$E$18+Пост!$E$21</f>
        <v>5779.709889375</v>
      </c>
      <c r="AM12" s="98">
        <f>Пост!$E$16+Пост!$E$18+Пост!$E$21</f>
        <v>5779.709889375</v>
      </c>
      <c r="AN12" s="98">
        <f>Пост!$E$16+Пост!$E$18+Пост!$E$21</f>
        <v>5779.709889375</v>
      </c>
      <c r="AO12" s="98">
        <f>Пост!$E$16+Пост!$E$18+Пост!$E$21</f>
        <v>5779.709889375</v>
      </c>
      <c r="AP12" s="96">
        <f aca="true" t="shared" si="8" ref="AP12:AP17">SUM(AD12:AO12)</f>
        <v>69356.5186725</v>
      </c>
      <c r="AQ12" s="98">
        <f>(Пост!F16+Пост!F18+Пост!F21)*12</f>
        <v>71816.2510905</v>
      </c>
      <c r="AR12" s="98">
        <f>(Пост!G16+Пост!G18+Пост!G21)*12</f>
        <v>74429.06247315001</v>
      </c>
      <c r="AS12" s="98">
        <f>(Пост!H16+Пост!H18+Пост!H21)*12</f>
        <v>77202.6067686825</v>
      </c>
      <c r="AT12" s="98">
        <f>(Пост!I16+Пост!I18+Пост!I21)*12</f>
        <v>80144.92062274164</v>
      </c>
      <c r="AU12" s="98">
        <f>(Пост!J16+Пост!J18+Пост!J21)*12</f>
        <v>83264.4425132537</v>
      </c>
    </row>
    <row r="13" spans="1:47" ht="15" customHeight="1">
      <c r="A13" s="100" t="s">
        <v>77</v>
      </c>
      <c r="B13" s="95">
        <f>P13+AC13+AP13+AQ13+AR13+AS13+AT13+AU13</f>
        <v>718518.6719999999</v>
      </c>
      <c r="C13" s="96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>
        <f>Пост!$C$31/12</f>
        <v>0</v>
      </c>
      <c r="O13" s="98">
        <f>Пост!$C$31/12</f>
        <v>0</v>
      </c>
      <c r="P13" s="96">
        <f t="shared" si="6"/>
        <v>0</v>
      </c>
      <c r="Q13" s="98">
        <f>Пост!$D$31/12</f>
        <v>8553.793714285714</v>
      </c>
      <c r="R13" s="98">
        <f>Пост!$D$31/12</f>
        <v>8553.793714285714</v>
      </c>
      <c r="S13" s="98">
        <f>Пост!$D$31/12</f>
        <v>8553.793714285714</v>
      </c>
      <c r="T13" s="98">
        <f>Пост!$D$31/12</f>
        <v>8553.793714285714</v>
      </c>
      <c r="U13" s="98">
        <f>Пост!$D$31/12</f>
        <v>8553.793714285714</v>
      </c>
      <c r="V13" s="98">
        <f>Пост!$D$31/12</f>
        <v>8553.793714285714</v>
      </c>
      <c r="W13" s="98">
        <f>Пост!$D$31/12</f>
        <v>8553.793714285714</v>
      </c>
      <c r="X13" s="98">
        <f>Пост!$D$31/12</f>
        <v>8553.793714285714</v>
      </c>
      <c r="Y13" s="98">
        <f>Пост!$D$31/12</f>
        <v>8553.793714285714</v>
      </c>
      <c r="Z13" s="98">
        <f>Пост!$D$31/12</f>
        <v>8553.793714285714</v>
      </c>
      <c r="AA13" s="98">
        <f>Пост!$D$31/12</f>
        <v>8553.793714285714</v>
      </c>
      <c r="AB13" s="98">
        <f>Пост!$D$31/12</f>
        <v>8553.793714285714</v>
      </c>
      <c r="AC13" s="96">
        <f t="shared" si="7"/>
        <v>102645.52457142856</v>
      </c>
      <c r="AD13" s="98">
        <f>Пост!$E$31/12</f>
        <v>8553.793714285714</v>
      </c>
      <c r="AE13" s="98">
        <f>Пост!$E$31/12</f>
        <v>8553.793714285714</v>
      </c>
      <c r="AF13" s="98">
        <f>Пост!$E$31/12</f>
        <v>8553.793714285714</v>
      </c>
      <c r="AG13" s="98">
        <f>Пост!$E$31/12</f>
        <v>8553.793714285714</v>
      </c>
      <c r="AH13" s="98">
        <f>Пост!$E$31/12</f>
        <v>8553.793714285714</v>
      </c>
      <c r="AI13" s="98">
        <f>Пост!$E$31/12</f>
        <v>8553.793714285714</v>
      </c>
      <c r="AJ13" s="98">
        <f>Пост!$E$31/12</f>
        <v>8553.793714285714</v>
      </c>
      <c r="AK13" s="98">
        <f>Пост!$E$31/12</f>
        <v>8553.793714285714</v>
      </c>
      <c r="AL13" s="98">
        <f>Пост!$E$31/12</f>
        <v>8553.793714285714</v>
      </c>
      <c r="AM13" s="98">
        <f>Пост!$E$31/12</f>
        <v>8553.793714285714</v>
      </c>
      <c r="AN13" s="98">
        <f>Пост!$E$31/12</f>
        <v>8553.793714285714</v>
      </c>
      <c r="AO13" s="98">
        <f>Пост!$E$31/12</f>
        <v>8553.793714285714</v>
      </c>
      <c r="AP13" s="96">
        <f t="shared" si="8"/>
        <v>102645.52457142856</v>
      </c>
      <c r="AQ13" s="98">
        <f>Пост!F31</f>
        <v>102645.52457142857</v>
      </c>
      <c r="AR13" s="98">
        <f>Пост!G31</f>
        <v>102645.52457142857</v>
      </c>
      <c r="AS13" s="98">
        <f>Пост!H31</f>
        <v>102645.52457142857</v>
      </c>
      <c r="AT13" s="98">
        <f>Пост!I31</f>
        <v>102645.52457142857</v>
      </c>
      <c r="AU13" s="98">
        <f>Пост!J31</f>
        <v>102645.52457142857</v>
      </c>
    </row>
    <row r="14" spans="1:47" ht="15" customHeight="1">
      <c r="A14" s="100" t="s">
        <v>27</v>
      </c>
      <c r="B14" s="95">
        <f>P14+AC14+AP14+AQ14+AR14+AS14+AT14+AU14</f>
        <v>322805.95616564277</v>
      </c>
      <c r="C14" s="96"/>
      <c r="D14" s="98">
        <f>кр!C24</f>
        <v>0</v>
      </c>
      <c r="E14" s="98">
        <f>кр!D24</f>
        <v>0</v>
      </c>
      <c r="F14" s="98">
        <f>кр!E24</f>
        <v>0</v>
      </c>
      <c r="G14" s="98">
        <f>кр!F24</f>
        <v>0</v>
      </c>
      <c r="H14" s="98">
        <f>кр!G24</f>
        <v>668.4512625000001</v>
      </c>
      <c r="I14" s="98">
        <f>кр!H24</f>
        <v>1336.9025250000002</v>
      </c>
      <c r="J14" s="98">
        <f>кр!I24</f>
        <v>3133.872125455556</v>
      </c>
      <c r="K14" s="98">
        <f>кр!J24</f>
        <v>3802.323387955557</v>
      </c>
      <c r="L14" s="98">
        <f>кр!K24</f>
        <v>5599.292988411112</v>
      </c>
      <c r="M14" s="98">
        <f>кр!L24</f>
        <v>5599.292988411112</v>
      </c>
      <c r="N14" s="98">
        <f>кр!M24</f>
        <v>6727.811326366667</v>
      </c>
      <c r="O14" s="98">
        <f>кр!N24</f>
        <v>6814.333568700001</v>
      </c>
      <c r="P14" s="96">
        <f t="shared" si="6"/>
        <v>33682.280172800005</v>
      </c>
      <c r="Q14" s="98">
        <f>кр!P24</f>
        <v>7412.500099041335</v>
      </c>
      <c r="R14" s="98">
        <f>кр!Q24</f>
        <v>7329.363920790379</v>
      </c>
      <c r="S14" s="98">
        <f>кр!R24</f>
        <v>7245.742781499625</v>
      </c>
      <c r="T14" s="98">
        <f>кр!S24</f>
        <v>7161.6338522296755</v>
      </c>
      <c r="U14" s="98">
        <f>кр!T24</f>
        <v>7077.034287538986</v>
      </c>
      <c r="V14" s="98">
        <f>кр!U24</f>
        <v>6991.941225387599</v>
      </c>
      <c r="W14" s="98">
        <f>кр!V24</f>
        <v>6906.3517870403275</v>
      </c>
      <c r="X14" s="98">
        <f>кр!W24</f>
        <v>6820.263076969365</v>
      </c>
      <c r="Y14" s="98">
        <f>кр!X24</f>
        <v>6733.672182756322</v>
      </c>
      <c r="Z14" s="98">
        <f>кр!Y24</f>
        <v>6646.576174993704</v>
      </c>
      <c r="AA14" s="98">
        <f>кр!Z24</f>
        <v>6558.972107185803</v>
      </c>
      <c r="AB14" s="98">
        <f>кр!AA24</f>
        <v>6470.857015649023</v>
      </c>
      <c r="AC14" s="96">
        <f t="shared" si="7"/>
        <v>83354.90851108215</v>
      </c>
      <c r="AD14" s="98">
        <f>кр!AC24</f>
        <v>6382.22791941161</v>
      </c>
      <c r="AE14" s="98">
        <f>кр!AD24</f>
        <v>6293.081820112814</v>
      </c>
      <c r="AF14" s="98">
        <f>кр!AE24</f>
        <v>6203.415701901442</v>
      </c>
      <c r="AG14" s="98">
        <f>кр!AF24</f>
        <v>6113.226531333836</v>
      </c>
      <c r="AH14" s="98">
        <f>кр!AG24</f>
        <v>6022.511257271252</v>
      </c>
      <c r="AI14" s="98">
        <f>кр!AH24</f>
        <v>5931.266810776637</v>
      </c>
      <c r="AJ14" s="98">
        <f>кр!AI24</f>
        <v>5839.490105010803</v>
      </c>
      <c r="AK14" s="98">
        <f>кр!AJ24</f>
        <v>5747.178035128002</v>
      </c>
      <c r="AL14" s="98">
        <f>кр!AK24</f>
        <v>5654.327478170885</v>
      </c>
      <c r="AM14" s="98">
        <f>кр!AL24</f>
        <v>5560.935292964851</v>
      </c>
      <c r="AN14" s="98">
        <f>кр!AM24</f>
        <v>5466.998320011782</v>
      </c>
      <c r="AO14" s="98">
        <f>кр!AN24</f>
        <v>5372.513381383153</v>
      </c>
      <c r="AP14" s="96">
        <f t="shared" si="8"/>
        <v>70587.17265347706</v>
      </c>
      <c r="AQ14" s="98">
        <f>кр!BB24</f>
        <v>56896.45613837467</v>
      </c>
      <c r="AR14" s="98">
        <f>кр!BO24</f>
        <v>42216.036619415725</v>
      </c>
      <c r="AS14" s="98">
        <f>кр!CB24</f>
        <v>26474.368386427763</v>
      </c>
      <c r="AT14" s="98">
        <f>кр!CO24</f>
        <v>9594.733684065068</v>
      </c>
      <c r="AU14" s="98">
        <f>кр!DB24</f>
        <v>3.5524863051250584E-10</v>
      </c>
    </row>
    <row r="15" spans="1:47" ht="15" customHeight="1">
      <c r="A15" s="100" t="s">
        <v>201</v>
      </c>
      <c r="B15" s="95">
        <f>P15+AC15+AP15+AQ15+AR15+AS15+AT15+AU15</f>
        <v>5395890.0793570485</v>
      </c>
      <c r="C15" s="99"/>
      <c r="D15" s="98">
        <f>D11-D12-D14-D13</f>
        <v>0</v>
      </c>
      <c r="E15" s="98">
        <f aca="true" t="shared" si="9" ref="E15:O15">E11-E12-E14-E13</f>
        <v>0</v>
      </c>
      <c r="F15" s="98">
        <f t="shared" si="9"/>
        <v>0</v>
      </c>
      <c r="G15" s="98">
        <f t="shared" si="9"/>
        <v>0</v>
      </c>
      <c r="H15" s="98">
        <f t="shared" si="9"/>
        <v>-668.4512625000001</v>
      </c>
      <c r="I15" s="98">
        <f t="shared" si="9"/>
        <v>-1336.9025250000002</v>
      </c>
      <c r="J15" s="98">
        <f t="shared" si="9"/>
        <v>-3133.872125455556</v>
      </c>
      <c r="K15" s="98">
        <f t="shared" si="9"/>
        <v>-3802.323387955557</v>
      </c>
      <c r="L15" s="98">
        <f t="shared" si="9"/>
        <v>-5599.292988411112</v>
      </c>
      <c r="M15" s="98">
        <f t="shared" si="9"/>
        <v>-5599.292988411112</v>
      </c>
      <c r="N15" s="98">
        <f t="shared" si="9"/>
        <v>-6727.811326366667</v>
      </c>
      <c r="O15" s="98">
        <f t="shared" si="9"/>
        <v>-6814.333568700001</v>
      </c>
      <c r="P15" s="96">
        <f t="shared" si="6"/>
        <v>-33682.280172800005</v>
      </c>
      <c r="Q15" s="98">
        <f aca="true" t="shared" si="10" ref="Q15:AB15">Q11-Q12-Q14-Q13</f>
        <v>-5113.949002931643</v>
      </c>
      <c r="R15" s="98">
        <f t="shared" si="10"/>
        <v>-921.0062940684429</v>
      </c>
      <c r="S15" s="98">
        <f t="shared" si="10"/>
        <v>3272.421375834556</v>
      </c>
      <c r="T15" s="98">
        <f t="shared" si="10"/>
        <v>11062.41755000246</v>
      </c>
      <c r="U15" s="98">
        <f t="shared" si="10"/>
        <v>15770.549461631928</v>
      </c>
      <c r="V15" s="98">
        <f t="shared" si="10"/>
        <v>15855.642523783315</v>
      </c>
      <c r="W15" s="98">
        <f t="shared" si="10"/>
        <v>24160.845023355076</v>
      </c>
      <c r="X15" s="98">
        <f t="shared" si="10"/>
        <v>24246.93373342604</v>
      </c>
      <c r="Y15" s="98">
        <f t="shared" si="10"/>
        <v>29984.508607230913</v>
      </c>
      <c r="Z15" s="98">
        <f t="shared" si="10"/>
        <v>39318.66930887109</v>
      </c>
      <c r="AA15" s="98">
        <f t="shared" si="10"/>
        <v>46084.7089889239</v>
      </c>
      <c r="AB15" s="98">
        <f t="shared" si="10"/>
        <v>46172.824080460676</v>
      </c>
      <c r="AC15" s="96">
        <f t="shared" si="7"/>
        <v>249894.56535651986</v>
      </c>
      <c r="AD15" s="98">
        <f aca="true" t="shared" si="11" ref="AD15:AO15">AD11-AD12-AD14-AD13</f>
        <v>51205.882762641966</v>
      </c>
      <c r="AE15" s="98">
        <f t="shared" si="11"/>
        <v>51295.028861940766</v>
      </c>
      <c r="AF15" s="98">
        <f t="shared" si="11"/>
        <v>51384.69498015214</v>
      </c>
      <c r="AG15" s="98">
        <f t="shared" si="11"/>
        <v>51474.88415071974</v>
      </c>
      <c r="AH15" s="98">
        <f t="shared" si="11"/>
        <v>51565.599424782326</v>
      </c>
      <c r="AI15" s="98">
        <f t="shared" si="11"/>
        <v>51656.84387127694</v>
      </c>
      <c r="AJ15" s="98">
        <f t="shared" si="11"/>
        <v>56885.878740308064</v>
      </c>
      <c r="AK15" s="98">
        <f t="shared" si="11"/>
        <v>56978.19081019086</v>
      </c>
      <c r="AL15" s="98">
        <f t="shared" si="11"/>
        <v>57071.04136714798</v>
      </c>
      <c r="AM15" s="98">
        <f t="shared" si="11"/>
        <v>62301.69171561934</v>
      </c>
      <c r="AN15" s="98">
        <f t="shared" si="11"/>
        <v>62395.6286885724</v>
      </c>
      <c r="AO15" s="98">
        <f t="shared" si="11"/>
        <v>62490.11362720103</v>
      </c>
      <c r="AP15" s="96">
        <f t="shared" si="8"/>
        <v>666705.4790005536</v>
      </c>
      <c r="AQ15" s="98">
        <f>AQ11-AQ12-AQ14-AQ13</f>
        <v>754995.3355466354</v>
      </c>
      <c r="AR15" s="98">
        <f>AR11-AR12-AR14-AR13</f>
        <v>828710.041642128</v>
      </c>
      <c r="AS15" s="98">
        <f>AS11-AS12-AS14-AS13</f>
        <v>903325.2635387671</v>
      </c>
      <c r="AT15" s="98">
        <f>AT11-AT12-AT14-AT13</f>
        <v>978909.6823462544</v>
      </c>
      <c r="AU15" s="98">
        <f>AU11-AU12-AU14-AU13</f>
        <v>1047031.9920989904</v>
      </c>
    </row>
    <row r="16" spans="1:47" ht="15" customHeight="1">
      <c r="A16" s="100" t="s">
        <v>212</v>
      </c>
      <c r="B16" s="95">
        <f>P16+AC16+AP16+AQ16+AR16+AS16+AT16+AU16</f>
        <v>1079178.0158714098</v>
      </c>
      <c r="C16" s="96"/>
      <c r="D16" s="131">
        <f>IF(D15+C18&lt;0,0,IF(C18&lt;0,(C18+D15)*Исх!$C$20,D15*Исх!$C$20))</f>
        <v>0</v>
      </c>
      <c r="E16" s="131">
        <f>IF(E15+D18&lt;0,0,IF(D18&lt;0,(D18+E15)*Исх!$C$20,E15*Исх!$C$20))</f>
        <v>0</v>
      </c>
      <c r="F16" s="131">
        <f>IF(F15+E18&lt;0,0,IF(E18&lt;0,(E18+F15)*Исх!$C$20,F15*Исх!$C$20))</f>
        <v>0</v>
      </c>
      <c r="G16" s="131">
        <f>IF(G15+F18&lt;0,0,IF(F18&lt;0,(F18+G15)*Исх!$C$20,G15*Исх!$C$20))</f>
        <v>0</v>
      </c>
      <c r="H16" s="131">
        <f>IF(H15+G18&lt;0,0,IF(G18&lt;0,(G18+H15)*Исх!$C$20,H15*Исх!$C$20))</f>
        <v>0</v>
      </c>
      <c r="I16" s="131">
        <f>IF(I15+H18&lt;0,0,IF(H18&lt;0,(H18+I15)*Исх!$C$20,I15*Исх!$C$20))</f>
        <v>0</v>
      </c>
      <c r="J16" s="131">
        <f>IF(J15+I18&lt;0,0,IF(I18&lt;0,(I18+J15)*Исх!$C$20,J15*Исх!$C$20))</f>
        <v>0</v>
      </c>
      <c r="K16" s="131">
        <f>IF(K15+J18&lt;0,0,IF(J18&lt;0,(J18+K15)*Исх!$C$20,K15*Исх!$C$20))</f>
        <v>0</v>
      </c>
      <c r="L16" s="131">
        <f>IF(L15+K18&lt;0,0,IF(K18&lt;0,(K18+L15)*Исх!$C$20,L15*Исх!$C$20))</f>
        <v>0</v>
      </c>
      <c r="M16" s="131">
        <f>IF(M15+L18&lt;0,0,IF(L18&lt;0,(L18+M15)*Исх!$C$20,M15*Исх!$C$20))</f>
        <v>0</v>
      </c>
      <c r="N16" s="131">
        <f>IF(N15+M18&lt;0,0,IF(M18&lt;0,(M18+N15)*Исх!$C$20,N15*Исх!$C$20))</f>
        <v>0</v>
      </c>
      <c r="O16" s="131">
        <f>IF(O15+N18&lt;0,0,IF(N18&lt;0,(N18+O15)*Исх!$C$20,O15*Исх!$C$20))</f>
        <v>0</v>
      </c>
      <c r="P16" s="96">
        <f t="shared" si="6"/>
        <v>0</v>
      </c>
      <c r="Q16" s="131">
        <f>IF(Q15+P18&lt;0,0,IF(P18&lt;0,(P18+Q15)*Исх!$C$20,Q15*Исх!$C$20))</f>
        <v>0</v>
      </c>
      <c r="R16" s="131">
        <f>IF(R15+Q18&lt;0,0,IF(Q18&lt;0,(Q18+R15)*Исх!$C$20,R15*Исх!$C$20))</f>
        <v>0</v>
      </c>
      <c r="S16" s="131">
        <f>IF(S15+R18&lt;0,0,IF(R18&lt;0,(R18+S15)*Исх!$C$20,S15*Исх!$C$20))</f>
        <v>0</v>
      </c>
      <c r="T16" s="131">
        <f>IF(T15+S18&lt;0,0,IF(S18&lt;0,(S18+T15)*Исх!$C$20,T15*Исх!$C$20))</f>
        <v>0</v>
      </c>
      <c r="U16" s="131">
        <f>IF(U15+T18&lt;0,0,IF(T18&lt;0,(T18+U15)*Исх!$C$20,U15*Исх!$C$20))</f>
        <v>0</v>
      </c>
      <c r="V16" s="131">
        <f>IF(V15+U18&lt;0,0,IF(U18&lt;0,(U18+V15)*Исх!$C$20,V15*Исх!$C$20))</f>
        <v>1248.7590882904333</v>
      </c>
      <c r="W16" s="131">
        <f>IF(W15+V18&lt;0,0,IF(V18&lt;0,(V18+W15)*Исх!$C$20,W15*Исх!$C$20))</f>
        <v>4832.1690046710155</v>
      </c>
      <c r="X16" s="131">
        <f>IF(X15+W18&lt;0,0,IF(W18&lt;0,(W18+X15)*Исх!$C$20,X15*Исх!$C$20))</f>
        <v>4849.386746685209</v>
      </c>
      <c r="Y16" s="131">
        <f>IF(Y15+X18&lt;0,0,IF(X18&lt;0,(X18+Y15)*Исх!$C$20,Y15*Исх!$C$20))</f>
        <v>5996.901721446183</v>
      </c>
      <c r="Z16" s="131">
        <f>IF(Z15+Y18&lt;0,0,IF(Y18&lt;0,(Y18+Z15)*Исх!$C$20,Z15*Исх!$C$20))</f>
        <v>7863.733861774218</v>
      </c>
      <c r="AA16" s="131">
        <f>IF(AA15+Z18&lt;0,0,IF(Z18&lt;0,(Z18+AA15)*Исх!$C$20,AA15*Исх!$C$20))</f>
        <v>9216.94179778478</v>
      </c>
      <c r="AB16" s="131">
        <f>IF(AB15+AA18&lt;0,0,IF(AA18&lt;0,(AA18+AB15)*Исх!$C$20,AB15*Исх!$C$20))</f>
        <v>9234.564816092136</v>
      </c>
      <c r="AC16" s="96">
        <f t="shared" si="7"/>
        <v>43242.45703674397</v>
      </c>
      <c r="AD16" s="131">
        <f>IF(AD15+AC18&lt;0,0,IF(AC18&lt;0,(AC18+AD15)*Исх!$C$20,AD15*Исх!$C$20))</f>
        <v>10241.176552528394</v>
      </c>
      <c r="AE16" s="131">
        <f>IF(AE15+AD18&lt;0,0,IF(AD18&lt;0,(AD18+AE15)*Исх!$C$20,AE15*Исх!$C$20))</f>
        <v>10259.005772388155</v>
      </c>
      <c r="AF16" s="131">
        <f>IF(AF15+AE18&lt;0,0,IF(AE18&lt;0,(AE18+AF15)*Исх!$C$20,AF15*Исх!$C$20))</f>
        <v>10276.938996030429</v>
      </c>
      <c r="AG16" s="131">
        <f>IF(AG15+AF18&lt;0,0,IF(AF18&lt;0,(AF18+AG15)*Исх!$C$20,AG15*Исх!$C$20))</f>
        <v>10294.976830143949</v>
      </c>
      <c r="AH16" s="131">
        <f>IF(AH15+AG18&lt;0,0,IF(AG18&lt;0,(AG18+AH15)*Исх!$C$20,AH15*Исх!$C$20))</f>
        <v>10313.119884956466</v>
      </c>
      <c r="AI16" s="131">
        <f>IF(AI15+AH18&lt;0,0,IF(AH18&lt;0,(AH18+AI15)*Исх!$C$20,AI15*Исх!$C$20))</f>
        <v>10331.368774255388</v>
      </c>
      <c r="AJ16" s="131">
        <f>IF(AJ15+AI18&lt;0,0,IF(AI18&lt;0,(AI18+AJ15)*Исх!$C$20,AJ15*Исх!$C$20))</f>
        <v>11377.175748061614</v>
      </c>
      <c r="AK16" s="131">
        <f>IF(AK15+AJ18&lt;0,0,IF(AJ18&lt;0,(AJ18+AK15)*Исх!$C$20,AK15*Исх!$C$20))</f>
        <v>11395.638162038173</v>
      </c>
      <c r="AL16" s="131">
        <f>IF(AL15+AK18&lt;0,0,IF(AK18&lt;0,(AK18+AL15)*Исх!$C$20,AL15*Исх!$C$20))</f>
        <v>11414.208273429596</v>
      </c>
      <c r="AM16" s="131">
        <f>IF(AM15+AL18&lt;0,0,IF(AL18&lt;0,(AL18+AM15)*Исх!$C$20,AM15*Исх!$C$20))</f>
        <v>12460.338343123869</v>
      </c>
      <c r="AN16" s="131">
        <f>IF(AN15+AM18&lt;0,0,IF(AM18&lt;0,(AM18+AN15)*Исх!$C$20,AN15*Исх!$C$20))</f>
        <v>12479.12573771448</v>
      </c>
      <c r="AO16" s="131">
        <f>IF(AO15+AN18&lt;0,0,IF(AN18&lt;0,(AN18+AO15)*Исх!$C$20,AO15*Исх!$C$20))</f>
        <v>12498.022725440207</v>
      </c>
      <c r="AP16" s="96">
        <f t="shared" si="8"/>
        <v>133341.09580011072</v>
      </c>
      <c r="AQ16" s="131">
        <f>IF(AQ15+AP18&lt;0,0,IF(AP18&lt;0,(AP18+AQ15)*Исх!$C$20,AQ15*Исх!$C$20))</f>
        <v>150999.0671093271</v>
      </c>
      <c r="AR16" s="131">
        <f>IF(AR15+AQ18&lt;0,0,IF(AQ18&lt;0,(AQ18+AR15)*Исх!$C$20,AR15*Исх!$C$20))</f>
        <v>165742.0083284256</v>
      </c>
      <c r="AS16" s="131">
        <f>IF(AS15+AR18&lt;0,0,IF(AR18&lt;0,(AR18+AS15)*Исх!$C$20,AS15*Исх!$C$20))</f>
        <v>180665.05270775344</v>
      </c>
      <c r="AT16" s="131">
        <f>IF(AT15+AS18&lt;0,0,IF(AS18&lt;0,(AS18+AT15)*Исх!$C$20,AT15*Исх!$C$20))</f>
        <v>195781.93646925088</v>
      </c>
      <c r="AU16" s="131">
        <f>IF(AU15+AT18&lt;0,0,IF(AT18&lt;0,(AT18+AU15)*Исх!$C$20,AU15*Исх!$C$20))</f>
        <v>209406.3984197981</v>
      </c>
    </row>
    <row r="17" spans="1:47" ht="15" customHeight="1">
      <c r="A17" s="100" t="s">
        <v>4</v>
      </c>
      <c r="B17" s="95">
        <f>B15-B16</f>
        <v>4316712.063485639</v>
      </c>
      <c r="C17" s="99"/>
      <c r="D17" s="98">
        <f aca="true" t="shared" si="12" ref="D17:Q17">D15-D16</f>
        <v>0</v>
      </c>
      <c r="E17" s="98">
        <f>E15-E16</f>
        <v>0</v>
      </c>
      <c r="F17" s="98">
        <f t="shared" si="12"/>
        <v>0</v>
      </c>
      <c r="G17" s="98">
        <f t="shared" si="12"/>
        <v>0</v>
      </c>
      <c r="H17" s="98">
        <f t="shared" si="12"/>
        <v>-668.4512625000001</v>
      </c>
      <c r="I17" s="98">
        <f t="shared" si="12"/>
        <v>-1336.9025250000002</v>
      </c>
      <c r="J17" s="98">
        <f t="shared" si="12"/>
        <v>-3133.872125455556</v>
      </c>
      <c r="K17" s="98">
        <f t="shared" si="12"/>
        <v>-3802.323387955557</v>
      </c>
      <c r="L17" s="98">
        <f t="shared" si="12"/>
        <v>-5599.292988411112</v>
      </c>
      <c r="M17" s="98">
        <f t="shared" si="12"/>
        <v>-5599.292988411112</v>
      </c>
      <c r="N17" s="98">
        <f t="shared" si="12"/>
        <v>-6727.811326366667</v>
      </c>
      <c r="O17" s="98">
        <f t="shared" si="12"/>
        <v>-6814.333568700001</v>
      </c>
      <c r="P17" s="96">
        <f t="shared" si="6"/>
        <v>-33682.280172800005</v>
      </c>
      <c r="Q17" s="98">
        <f t="shared" si="12"/>
        <v>-5113.949002931643</v>
      </c>
      <c r="R17" s="98">
        <f aca="true" t="shared" si="13" ref="R17:AR17">R15-R16</f>
        <v>-921.0062940684429</v>
      </c>
      <c r="S17" s="98">
        <f t="shared" si="13"/>
        <v>3272.421375834556</v>
      </c>
      <c r="T17" s="98">
        <f t="shared" si="13"/>
        <v>11062.41755000246</v>
      </c>
      <c r="U17" s="98">
        <f t="shared" si="13"/>
        <v>15770.549461631928</v>
      </c>
      <c r="V17" s="98">
        <f t="shared" si="13"/>
        <v>14606.883435492882</v>
      </c>
      <c r="W17" s="98">
        <f t="shared" si="13"/>
        <v>19328.676018684062</v>
      </c>
      <c r="X17" s="98">
        <f t="shared" si="13"/>
        <v>19397.546986740832</v>
      </c>
      <c r="Y17" s="98">
        <f t="shared" si="13"/>
        <v>23987.60688578473</v>
      </c>
      <c r="Z17" s="98">
        <f t="shared" si="13"/>
        <v>31454.935447096872</v>
      </c>
      <c r="AA17" s="98">
        <f t="shared" si="13"/>
        <v>36867.76719113912</v>
      </c>
      <c r="AB17" s="98">
        <f t="shared" si="13"/>
        <v>36938.25926436854</v>
      </c>
      <c r="AC17" s="96">
        <f t="shared" si="7"/>
        <v>206652.10831977587</v>
      </c>
      <c r="AD17" s="98">
        <f aca="true" t="shared" si="14" ref="AD17:AO17">AD15-AD16</f>
        <v>40964.706210113574</v>
      </c>
      <c r="AE17" s="98">
        <f t="shared" si="14"/>
        <v>41036.02308955261</v>
      </c>
      <c r="AF17" s="98">
        <f t="shared" si="14"/>
        <v>41107.755984121715</v>
      </c>
      <c r="AG17" s="98">
        <f t="shared" si="14"/>
        <v>41179.907320575796</v>
      </c>
      <c r="AH17" s="98">
        <f t="shared" si="14"/>
        <v>41252.47953982586</v>
      </c>
      <c r="AI17" s="98">
        <f t="shared" si="14"/>
        <v>41325.475097021554</v>
      </c>
      <c r="AJ17" s="98">
        <f t="shared" si="14"/>
        <v>45508.70299224645</v>
      </c>
      <c r="AK17" s="98">
        <f t="shared" si="14"/>
        <v>45582.55264815269</v>
      </c>
      <c r="AL17" s="98">
        <f t="shared" si="14"/>
        <v>45656.83309371838</v>
      </c>
      <c r="AM17" s="98">
        <f t="shared" si="14"/>
        <v>49841.35337249547</v>
      </c>
      <c r="AN17" s="98">
        <f t="shared" si="14"/>
        <v>49916.50295085792</v>
      </c>
      <c r="AO17" s="98">
        <f t="shared" si="14"/>
        <v>49992.09090176083</v>
      </c>
      <c r="AP17" s="96">
        <f t="shared" si="8"/>
        <v>533364.3832004428</v>
      </c>
      <c r="AQ17" s="98">
        <f t="shared" si="13"/>
        <v>603996.2684373084</v>
      </c>
      <c r="AR17" s="98">
        <f t="shared" si="13"/>
        <v>662968.0333137024</v>
      </c>
      <c r="AS17" s="98">
        <f>AS15-AS16</f>
        <v>722660.2108310137</v>
      </c>
      <c r="AT17" s="98">
        <f>AT15-AT16</f>
        <v>783127.7458770035</v>
      </c>
      <c r="AU17" s="98">
        <f>AU15-AU16</f>
        <v>837625.5936791922</v>
      </c>
    </row>
    <row r="18" spans="1:47" ht="15" customHeight="1">
      <c r="A18" s="100" t="s">
        <v>32</v>
      </c>
      <c r="B18" s="101">
        <f>AU18</f>
        <v>4316712.063485639</v>
      </c>
      <c r="C18" s="102"/>
      <c r="D18" s="98">
        <f>C18+D17</f>
        <v>0</v>
      </c>
      <c r="E18" s="98">
        <f>D18+E17</f>
        <v>0</v>
      </c>
      <c r="F18" s="98">
        <f aca="true" t="shared" si="15" ref="F18:O18">E18+F17</f>
        <v>0</v>
      </c>
      <c r="G18" s="98">
        <f t="shared" si="15"/>
        <v>0</v>
      </c>
      <c r="H18" s="98">
        <f t="shared" si="15"/>
        <v>-668.4512625000001</v>
      </c>
      <c r="I18" s="98">
        <f t="shared" si="15"/>
        <v>-2005.3537875000002</v>
      </c>
      <c r="J18" s="98">
        <f t="shared" si="15"/>
        <v>-5139.225912955557</v>
      </c>
      <c r="K18" s="98">
        <f t="shared" si="15"/>
        <v>-8941.549300911114</v>
      </c>
      <c r="L18" s="98">
        <f t="shared" si="15"/>
        <v>-14540.842289322227</v>
      </c>
      <c r="M18" s="98">
        <f t="shared" si="15"/>
        <v>-20140.135277733338</v>
      </c>
      <c r="N18" s="98">
        <f t="shared" si="15"/>
        <v>-26867.946604100005</v>
      </c>
      <c r="O18" s="98">
        <f t="shared" si="15"/>
        <v>-33682.280172800005</v>
      </c>
      <c r="P18" s="96">
        <f>O18</f>
        <v>-33682.280172800005</v>
      </c>
      <c r="Q18" s="98">
        <f>P18+Q17</f>
        <v>-38796.22917573165</v>
      </c>
      <c r="R18" s="98">
        <f aca="true" t="shared" si="16" ref="R18:AA18">Q18+R17</f>
        <v>-39717.23546980009</v>
      </c>
      <c r="S18" s="98">
        <f t="shared" si="16"/>
        <v>-36444.814093965535</v>
      </c>
      <c r="T18" s="98">
        <f t="shared" si="16"/>
        <v>-25382.396543963077</v>
      </c>
      <c r="U18" s="98">
        <f t="shared" si="16"/>
        <v>-9611.847082331149</v>
      </c>
      <c r="V18" s="98">
        <f t="shared" si="16"/>
        <v>4995.036353161733</v>
      </c>
      <c r="W18" s="98">
        <f t="shared" si="16"/>
        <v>24323.712371845795</v>
      </c>
      <c r="X18" s="98">
        <f t="shared" si="16"/>
        <v>43721.25935858663</v>
      </c>
      <c r="Y18" s="98">
        <f t="shared" si="16"/>
        <v>67708.86624437135</v>
      </c>
      <c r="Z18" s="98">
        <f t="shared" si="16"/>
        <v>99163.80169146822</v>
      </c>
      <c r="AA18" s="98">
        <f t="shared" si="16"/>
        <v>136031.56888260733</v>
      </c>
      <c r="AB18" s="98">
        <f>AA18+AB17</f>
        <v>172969.82814697587</v>
      </c>
      <c r="AC18" s="96">
        <f>AB18</f>
        <v>172969.82814697587</v>
      </c>
      <c r="AD18" s="98">
        <f aca="true" t="shared" si="17" ref="AD18:AO18">AC18+AD17</f>
        <v>213934.53435708943</v>
      </c>
      <c r="AE18" s="98">
        <f t="shared" si="17"/>
        <v>254970.55744664205</v>
      </c>
      <c r="AF18" s="98">
        <f t="shared" si="17"/>
        <v>296078.3134307638</v>
      </c>
      <c r="AG18" s="98">
        <f t="shared" si="17"/>
        <v>337258.22075133957</v>
      </c>
      <c r="AH18" s="98">
        <f t="shared" si="17"/>
        <v>378510.70029116544</v>
      </c>
      <c r="AI18" s="98">
        <f t="shared" si="17"/>
        <v>419836.175388187</v>
      </c>
      <c r="AJ18" s="98">
        <f t="shared" si="17"/>
        <v>465344.8783804334</v>
      </c>
      <c r="AK18" s="98">
        <f t="shared" si="17"/>
        <v>510927.4310285861</v>
      </c>
      <c r="AL18" s="98">
        <f t="shared" si="17"/>
        <v>556584.2641223045</v>
      </c>
      <c r="AM18" s="98">
        <f t="shared" si="17"/>
        <v>606425.6174948</v>
      </c>
      <c r="AN18" s="98">
        <f t="shared" si="17"/>
        <v>656342.120445658</v>
      </c>
      <c r="AO18" s="98">
        <f t="shared" si="17"/>
        <v>706334.2113474188</v>
      </c>
      <c r="AP18" s="96">
        <f>AO18</f>
        <v>706334.2113474188</v>
      </c>
      <c r="AQ18" s="98">
        <f>AP18+AQ17</f>
        <v>1310330.479784727</v>
      </c>
      <c r="AR18" s="98">
        <f>AQ18+AR17</f>
        <v>1973298.5130984294</v>
      </c>
      <c r="AS18" s="98">
        <f>AR18+AS17</f>
        <v>2695958.7239294434</v>
      </c>
      <c r="AT18" s="98">
        <f>AS18+AT17</f>
        <v>3479086.4698064467</v>
      </c>
      <c r="AU18" s="98">
        <f>AT18+AU17</f>
        <v>4316712.063485639</v>
      </c>
    </row>
    <row r="19" spans="1:190" ht="1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</row>
    <row r="20" spans="1:47" ht="12.75">
      <c r="A20" s="105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60" s="109" customFormat="1" ht="12.75">
      <c r="A21" s="346" t="s">
        <v>3</v>
      </c>
      <c r="B21" s="349" t="s">
        <v>89</v>
      </c>
      <c r="C21" s="106"/>
      <c r="D21" s="339">
        <f>D3</f>
        <v>2014</v>
      </c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2"/>
      <c r="Q21" s="339">
        <f>Q3</f>
        <v>2015</v>
      </c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2"/>
      <c r="AD21" s="338">
        <f>AD3</f>
        <v>2016</v>
      </c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40"/>
      <c r="AQ21" s="107">
        <f>AQ3</f>
        <v>2017</v>
      </c>
      <c r="AR21" s="107">
        <f>AR3</f>
        <v>2018</v>
      </c>
      <c r="AS21" s="107">
        <f>AS3</f>
        <v>2019</v>
      </c>
      <c r="AT21" s="107">
        <f>AT3</f>
        <v>2020</v>
      </c>
      <c r="AU21" s="107">
        <f>AU3</f>
        <v>2021</v>
      </c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</row>
    <row r="22" spans="1:60" s="109" customFormat="1" ht="12.75">
      <c r="A22" s="347"/>
      <c r="B22" s="350"/>
      <c r="C22" s="110"/>
      <c r="D22" s="111">
        <f>D4</f>
        <v>1</v>
      </c>
      <c r="E22" s="111">
        <f aca="true" t="shared" si="18" ref="E22:O22">E4</f>
        <v>2</v>
      </c>
      <c r="F22" s="111">
        <f t="shared" si="18"/>
        <v>3</v>
      </c>
      <c r="G22" s="111">
        <f t="shared" si="18"/>
        <v>4</v>
      </c>
      <c r="H22" s="111">
        <f t="shared" si="18"/>
        <v>5</v>
      </c>
      <c r="I22" s="111">
        <f t="shared" si="18"/>
        <v>6</v>
      </c>
      <c r="J22" s="111">
        <f t="shared" si="18"/>
        <v>7</v>
      </c>
      <c r="K22" s="111">
        <f t="shared" si="18"/>
        <v>8</v>
      </c>
      <c r="L22" s="111">
        <f t="shared" si="18"/>
        <v>9</v>
      </c>
      <c r="M22" s="111">
        <f t="shared" si="18"/>
        <v>10</v>
      </c>
      <c r="N22" s="111">
        <f t="shared" si="18"/>
        <v>11</v>
      </c>
      <c r="O22" s="111">
        <f t="shared" si="18"/>
        <v>12</v>
      </c>
      <c r="P22" s="112" t="s">
        <v>0</v>
      </c>
      <c r="Q22" s="111">
        <f>Q4</f>
        <v>1</v>
      </c>
      <c r="R22" s="111">
        <f aca="true" t="shared" si="19" ref="R22:AB22">R4</f>
        <v>2</v>
      </c>
      <c r="S22" s="111">
        <f t="shared" si="19"/>
        <v>3</v>
      </c>
      <c r="T22" s="111">
        <f t="shared" si="19"/>
        <v>4</v>
      </c>
      <c r="U22" s="111">
        <f t="shared" si="19"/>
        <v>5</v>
      </c>
      <c r="V22" s="111">
        <f t="shared" si="19"/>
        <v>6</v>
      </c>
      <c r="W22" s="111">
        <f t="shared" si="19"/>
        <v>7</v>
      </c>
      <c r="X22" s="111">
        <f t="shared" si="19"/>
        <v>8</v>
      </c>
      <c r="Y22" s="111">
        <f t="shared" si="19"/>
        <v>9</v>
      </c>
      <c r="Z22" s="111">
        <f t="shared" si="19"/>
        <v>10</v>
      </c>
      <c r="AA22" s="111">
        <f t="shared" si="19"/>
        <v>11</v>
      </c>
      <c r="AB22" s="111">
        <f t="shared" si="19"/>
        <v>12</v>
      </c>
      <c r="AC22" s="112" t="s">
        <v>0</v>
      </c>
      <c r="AD22" s="111">
        <f>AD4</f>
        <v>1</v>
      </c>
      <c r="AE22" s="111">
        <f aca="true" t="shared" si="20" ref="AE22:AO22">AE4</f>
        <v>2</v>
      </c>
      <c r="AF22" s="111">
        <f t="shared" si="20"/>
        <v>3</v>
      </c>
      <c r="AG22" s="111">
        <f t="shared" si="20"/>
        <v>4</v>
      </c>
      <c r="AH22" s="111">
        <f t="shared" si="20"/>
        <v>5</v>
      </c>
      <c r="AI22" s="111">
        <f t="shared" si="20"/>
        <v>6</v>
      </c>
      <c r="AJ22" s="111">
        <f t="shared" si="20"/>
        <v>7</v>
      </c>
      <c r="AK22" s="111">
        <f t="shared" si="20"/>
        <v>8</v>
      </c>
      <c r="AL22" s="111">
        <f t="shared" si="20"/>
        <v>9</v>
      </c>
      <c r="AM22" s="111">
        <f t="shared" si="20"/>
        <v>10</v>
      </c>
      <c r="AN22" s="111">
        <f t="shared" si="20"/>
        <v>11</v>
      </c>
      <c r="AO22" s="111">
        <f t="shared" si="20"/>
        <v>12</v>
      </c>
      <c r="AP22" s="112" t="s">
        <v>0</v>
      </c>
      <c r="AQ22" s="112" t="s">
        <v>111</v>
      </c>
      <c r="AR22" s="112" t="s">
        <v>111</v>
      </c>
      <c r="AS22" s="112" t="s">
        <v>111</v>
      </c>
      <c r="AT22" s="112" t="s">
        <v>111</v>
      </c>
      <c r="AU22" s="112" t="s">
        <v>111</v>
      </c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</row>
    <row r="23" spans="1:60" s="109" customFormat="1" ht="12.7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</row>
    <row r="24" spans="1:60" s="109" customFormat="1" ht="12.75">
      <c r="A24" s="113" t="s">
        <v>162</v>
      </c>
      <c r="B24" s="95">
        <f>P24+AC24+AP24+AQ24+AR24+AS24+AT24+AU24</f>
        <v>1225631.4795918365</v>
      </c>
      <c r="C24" s="115"/>
      <c r="D24" s="115">
        <f aca="true" t="shared" si="21" ref="D24:O24">D5*ндс</f>
        <v>0</v>
      </c>
      <c r="E24" s="115">
        <f t="shared" si="21"/>
        <v>0</v>
      </c>
      <c r="F24" s="115">
        <f t="shared" si="21"/>
        <v>0</v>
      </c>
      <c r="G24" s="115">
        <f t="shared" si="21"/>
        <v>0</v>
      </c>
      <c r="H24" s="115">
        <f t="shared" si="21"/>
        <v>0</v>
      </c>
      <c r="I24" s="115">
        <f t="shared" si="21"/>
        <v>0</v>
      </c>
      <c r="J24" s="115">
        <f t="shared" si="21"/>
        <v>0</v>
      </c>
      <c r="K24" s="115">
        <f t="shared" si="21"/>
        <v>0</v>
      </c>
      <c r="L24" s="115">
        <f t="shared" si="21"/>
        <v>0</v>
      </c>
      <c r="M24" s="115">
        <f t="shared" si="21"/>
        <v>0</v>
      </c>
      <c r="N24" s="115">
        <f t="shared" si="21"/>
        <v>0</v>
      </c>
      <c r="O24" s="115">
        <f t="shared" si="21"/>
        <v>0</v>
      </c>
      <c r="P24" s="116">
        <f>SUM(D24:O24)</f>
        <v>0</v>
      </c>
      <c r="Q24" s="115">
        <f aca="true" t="shared" si="22" ref="Q24:AB24">Q5*ндс</f>
        <v>2894.69387755102</v>
      </c>
      <c r="R24" s="115">
        <f t="shared" si="22"/>
        <v>3618.367346938775</v>
      </c>
      <c r="S24" s="115">
        <f t="shared" si="22"/>
        <v>4342.04081632653</v>
      </c>
      <c r="T24" s="115">
        <f t="shared" si="22"/>
        <v>5698.928571428571</v>
      </c>
      <c r="U24" s="115">
        <f t="shared" si="22"/>
        <v>6513.061224489795</v>
      </c>
      <c r="V24" s="115">
        <f t="shared" si="22"/>
        <v>6513.061224489795</v>
      </c>
      <c r="W24" s="115">
        <f t="shared" si="22"/>
        <v>7960.408163265305</v>
      </c>
      <c r="X24" s="115">
        <f t="shared" si="22"/>
        <v>7960.408163265305</v>
      </c>
      <c r="Y24" s="115">
        <f t="shared" si="22"/>
        <v>8955.459183673467</v>
      </c>
      <c r="Z24" s="115">
        <f t="shared" si="22"/>
        <v>10583.724489795917</v>
      </c>
      <c r="AA24" s="115">
        <f t="shared" si="22"/>
        <v>11759.693877551019</v>
      </c>
      <c r="AB24" s="115">
        <f t="shared" si="22"/>
        <v>11759.693877551019</v>
      </c>
      <c r="AC24" s="116">
        <f>SUM(Q24:AB24)</f>
        <v>88559.54081632651</v>
      </c>
      <c r="AD24" s="115">
        <f aca="true" t="shared" si="23" ref="AD24:AO24">AD5*ндс</f>
        <v>12664.285714285712</v>
      </c>
      <c r="AE24" s="115">
        <f t="shared" si="23"/>
        <v>12664.285714285712</v>
      </c>
      <c r="AF24" s="115">
        <f t="shared" si="23"/>
        <v>12664.285714285712</v>
      </c>
      <c r="AG24" s="115">
        <f t="shared" si="23"/>
        <v>12664.285714285712</v>
      </c>
      <c r="AH24" s="115">
        <f t="shared" si="23"/>
        <v>12664.285714285712</v>
      </c>
      <c r="AI24" s="115">
        <f t="shared" si="23"/>
        <v>12664.285714285712</v>
      </c>
      <c r="AJ24" s="115">
        <f t="shared" si="23"/>
        <v>13568.877551020405</v>
      </c>
      <c r="AK24" s="115">
        <f t="shared" si="23"/>
        <v>13568.877551020405</v>
      </c>
      <c r="AL24" s="115">
        <f t="shared" si="23"/>
        <v>13568.877551020405</v>
      </c>
      <c r="AM24" s="115">
        <f t="shared" si="23"/>
        <v>14473.4693877551</v>
      </c>
      <c r="AN24" s="115">
        <f t="shared" si="23"/>
        <v>14473.4693877551</v>
      </c>
      <c r="AO24" s="115">
        <f t="shared" si="23"/>
        <v>14473.4693877551</v>
      </c>
      <c r="AP24" s="116">
        <f>SUM(AD24:AO24)</f>
        <v>160112.75510204074</v>
      </c>
      <c r="AQ24" s="115">
        <f>AQ5*ндс</f>
        <v>173681.6326530612</v>
      </c>
      <c r="AR24" s="115">
        <f>AR5*ндс</f>
        <v>184536.73469387752</v>
      </c>
      <c r="AS24" s="115">
        <f>AS5*ндс</f>
        <v>195391.83673469385</v>
      </c>
      <c r="AT24" s="115">
        <f>AT5*ндс</f>
        <v>206246.93877551018</v>
      </c>
      <c r="AU24" s="115">
        <f>AU5*ндс</f>
        <v>217102.04081632648</v>
      </c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</row>
    <row r="25" spans="1:60" s="109" customFormat="1" ht="12.75">
      <c r="A25" s="113" t="s">
        <v>163</v>
      </c>
      <c r="B25" s="95">
        <f>P25+AC25+AP25+AQ25+AR25+AS25+AT25+AU25</f>
        <v>417008.84526514285</v>
      </c>
      <c r="C25" s="115"/>
      <c r="D25" s="115"/>
      <c r="E25" s="115"/>
      <c r="F25" s="115"/>
      <c r="G25" s="115"/>
      <c r="H25" s="115"/>
      <c r="I25" s="279">
        <f>('1-Ф3'!I13/Исх!$C$19-'2-ф2'!I9)*ндс</f>
        <v>0</v>
      </c>
      <c r="J25" s="115"/>
      <c r="K25" s="115"/>
      <c r="L25" s="115"/>
      <c r="M25" s="115"/>
      <c r="N25" s="115"/>
      <c r="O25" s="115">
        <f>(('1-Ф3'!O13+'1-Ф3'!O14)/Исх!$C$19)*ндс</f>
        <v>3322.758857142857</v>
      </c>
      <c r="P25" s="116">
        <f>SUM(D25:O25)</f>
        <v>3322.758857142857</v>
      </c>
      <c r="Q25" s="115">
        <f>(('1-Ф3'!Q13+'1-Ф3'!Q14+'1-Ф3'!Q15)/Исх!$C$19+Q12-Пост!$D$5-Пост!$D$18-Пост!$D$21)*ндс</f>
        <v>2469.5382857142863</v>
      </c>
      <c r="R25" s="115">
        <f>(('1-Ф3'!R13+'1-Ф3'!R14+'1-Ф3'!R15)/Исх!$C$19+R12-Пост!$D$5-Пост!$D$18-Пост!$D$21)*ндс</f>
        <v>2469.5382857142863</v>
      </c>
      <c r="S25" s="115">
        <f>(('1-Ф3'!S13+'1-Ф3'!S14+'1-Ф3'!S15)/Исх!$C$19+S12-Пост!$D$5-Пост!$D$18-Пост!$D$21)*ндс</f>
        <v>2469.5382857142863</v>
      </c>
      <c r="T25" s="115">
        <f>(('1-Ф3'!T13+'1-Ф3'!T14+'1-Ф3'!T15)/Исх!$C$19+T12-Пост!$D$5-Пост!$D$18-Пост!$D$21)*ндс</f>
        <v>2757.659142857142</v>
      </c>
      <c r="U25" s="115">
        <f>(('1-Ф3'!U13+'1-Ф3'!U14+'1-Ф3'!U15)/Исх!$C$19+U12-Пост!$D$5-Пост!$D$18-Пост!$D$21)*ндс</f>
        <v>2757.659142857142</v>
      </c>
      <c r="V25" s="115">
        <f>(('1-Ф3'!V13+'1-Ф3'!V14+'1-Ф3'!V15)/Исх!$C$19+V12-Пост!$D$5-Пост!$D$18-Пост!$D$21)*ндс</f>
        <v>2757.659142857142</v>
      </c>
      <c r="W25" s="115">
        <f>(('1-Ф3'!W13+'1-Ф3'!W14+'1-Ф3'!W15)/Исх!$C$19+W12-Пост!$D$5-Пост!$D$18-Пост!$D$21)*ндс</f>
        <v>3333.9008571428562</v>
      </c>
      <c r="X25" s="115">
        <f>(('1-Ф3'!X13+'1-Ф3'!X14+'1-Ф3'!X15)/Исх!$C$19+X12-Пост!$D$5-Пост!$D$18-Пост!$D$21)*ндс</f>
        <v>3333.9008571428562</v>
      </c>
      <c r="Y25" s="115">
        <f>(('1-Ф3'!Y13+'1-Ф3'!Y14+'1-Ф3'!Y15)/Исх!$C$19+Y12-Пост!$D$5-Пост!$D$18-Пост!$D$21)*ндс</f>
        <v>3333.9008571428562</v>
      </c>
      <c r="Z25" s="115">
        <f>(('1-Ф3'!Z13+'1-Ф3'!Z14+'1-Ф3'!Z15)/Исх!$C$19+Z12-Пост!$D$5-Пост!$D$18-Пост!$D$21)*ндс</f>
        <v>3910.1425714285706</v>
      </c>
      <c r="AA25" s="115">
        <f>(('1-Ф3'!AA13+'1-Ф3'!AA14+'1-Ф3'!AA15)/Исх!$C$19+AA12-Пост!$D$5-Пост!$D$18-Пост!$D$21)*ндс</f>
        <v>3910.1425714285706</v>
      </c>
      <c r="AB25" s="115">
        <f>(('1-Ф3'!AB13+'1-Ф3'!AB14+'1-Ф3'!AB15)/Исх!$C$19+AB12-Пост!$D$5-Пост!$D$18-Пост!$D$21)*ндс</f>
        <v>3910.1425714285706</v>
      </c>
      <c r="AC25" s="116">
        <f>SUM(Q25:AB25)</f>
        <v>37413.72257142857</v>
      </c>
      <c r="AD25" s="115">
        <f>(('1-Ф3'!AD13+'1-Ф3'!AD14+'1-Ф3'!AD15)/Исх!$C$19+AD12-Пост!$E$5-Пост!$E$18-Пост!$E$21)*ндс</f>
        <v>4206.492</v>
      </c>
      <c r="AE25" s="115">
        <f>(('1-Ф3'!AE13+'1-Ф3'!AE14+'1-Ф3'!AE15)/Исх!$C$19+AE12-Пост!$E$5-Пост!$E$18-Пост!$E$21)*ндс</f>
        <v>4206.492</v>
      </c>
      <c r="AF25" s="115">
        <f>(('1-Ф3'!AF13+'1-Ф3'!AF14+'1-Ф3'!AF15)/Исх!$C$19+AF12-Пост!$E$5-Пост!$E$18-Пост!$E$21)*ндс</f>
        <v>4206.492</v>
      </c>
      <c r="AG25" s="115">
        <f>(('1-Ф3'!AG13+'1-Ф3'!AG14+'1-Ф3'!AG15)/Исх!$C$19+AG12-Пост!$E$5-Пост!$E$18-Пост!$E$21)*ндс</f>
        <v>4206.492</v>
      </c>
      <c r="AH25" s="115">
        <f>(('1-Ф3'!AH13+'1-Ф3'!AH14+'1-Ф3'!AH15)/Исх!$C$19+AH12-Пост!$E$5-Пост!$E$18-Пост!$E$21)*ндс</f>
        <v>4206.492</v>
      </c>
      <c r="AI25" s="115">
        <f>(('1-Ф3'!AI13+'1-Ф3'!AI14+'1-Ф3'!AI15)/Исх!$C$19+AI12-Пост!$E$5-Пост!$E$18-Пост!$E$21)*ндс</f>
        <v>4206.492</v>
      </c>
      <c r="AJ25" s="115">
        <f>(('1-Ф3'!AJ13+'1-Ф3'!AJ14+'1-Ф3'!AJ15)/Исх!$C$19+AJ12-Пост!$E$5-Пост!$E$18-Пост!$E$21)*ндс</f>
        <v>4494.612857142858</v>
      </c>
      <c r="AK25" s="115">
        <f>(('1-Ф3'!AK13+'1-Ф3'!AK14+'1-Ф3'!AK15)/Исх!$C$19+AK12-Пост!$E$5-Пост!$E$18-Пост!$E$21)*ндс</f>
        <v>4494.612857142858</v>
      </c>
      <c r="AL25" s="115">
        <f>(('1-Ф3'!AL13+'1-Ф3'!AL14+'1-Ф3'!AL15)/Исх!$C$19+AL12-Пост!$E$5-Пост!$E$18-Пост!$E$21)*ндс</f>
        <v>4494.612857142858</v>
      </c>
      <c r="AM25" s="115">
        <f>(('1-Ф3'!AM13+'1-Ф3'!AM14+'1-Ф3'!AM15)/Исх!$C$19+AM12-Пост!$E$5-Пост!$E$18-Пост!$E$21)*ндс</f>
        <v>4782.733714285716</v>
      </c>
      <c r="AN25" s="115">
        <f>(('1-Ф3'!AN13+'1-Ф3'!AN14+'1-Ф3'!AN15)/Исх!$C$19+AN12-Пост!$E$5-Пост!$E$18-Пост!$E$21)*ндс</f>
        <v>4782.733714285716</v>
      </c>
      <c r="AO25" s="115">
        <f>(('1-Ф3'!AO13+'1-Ф3'!AO14+'1-Ф3'!AO15)/Исх!$C$19+AO12-Пост!$E$5-Пост!$E$18-Пост!$E$21)*ндс</f>
        <v>4782.733714285716</v>
      </c>
      <c r="AP25" s="116">
        <f>SUM(AD25:AO25)</f>
        <v>53070.99171428571</v>
      </c>
      <c r="AQ25" s="115">
        <f>(AQ8+AQ12-(Пост!F5+Пост!F18+Пост!F21)*12)*ндс</f>
        <v>57496.48457142858</v>
      </c>
      <c r="AR25" s="115">
        <f>(AR8+AR12-(Пост!G5+Пост!G18+Пост!G21)*12)*ндс</f>
        <v>61062.79885714285</v>
      </c>
      <c r="AS25" s="115">
        <f>(AS8+AS12-(Пост!H5+Пост!H18+Пост!H21)*12)*ндс</f>
        <v>64634.55634285714</v>
      </c>
      <c r="AT25" s="115">
        <f>(AT8+AT12-(Пост!I5+Пост!I18+Пост!I21)*12)*ндс</f>
        <v>68212.02918857144</v>
      </c>
      <c r="AU25" s="115">
        <f>(AU8+AU12-(Пост!J5+Пост!J18+Пост!J21)*12)*ндс</f>
        <v>71795.5031622857</v>
      </c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</row>
    <row r="26" spans="1:60" s="109" customFormat="1" ht="12.75">
      <c r="A26" s="113" t="s">
        <v>164</v>
      </c>
      <c r="B26" s="95">
        <f>P26+AC26+AP26+AQ26+AR26+AS26+AT26+AU26</f>
        <v>147248.50448571428</v>
      </c>
      <c r="C26" s="115"/>
      <c r="D26" s="115">
        <f>Инв!E14/Исх!$C$19*ндс</f>
        <v>0</v>
      </c>
      <c r="E26" s="115">
        <f>Инв!F14/Исх!$C$19*ндс</f>
        <v>0</v>
      </c>
      <c r="F26" s="115">
        <f>Инв!G14/Исх!$C$19*ндс</f>
        <v>0</v>
      </c>
      <c r="G26" s="115">
        <f>Инв!H14/Исх!$C$19*ндс</f>
        <v>14444.324999999999</v>
      </c>
      <c r="H26" s="115">
        <f>Инв!I14/Исх!$C$19*ндс</f>
        <v>14444.324999999999</v>
      </c>
      <c r="I26" s="115">
        <f>Инв!J14/Исх!$C$19*ндс</f>
        <v>38830.0754</v>
      </c>
      <c r="J26" s="115">
        <f>Инв!K14/Исх!$C$19*ндс</f>
        <v>14444.324999999999</v>
      </c>
      <c r="K26" s="115">
        <f>Инв!L14/Исх!$C$19*ндс</f>
        <v>38830.0754</v>
      </c>
      <c r="L26" s="115">
        <f>Инв!M14/Исх!$C$19*ндс</f>
        <v>0</v>
      </c>
      <c r="M26" s="115">
        <f>Инв!N14/Исх!$C$19*ндс</f>
        <v>24385.7504</v>
      </c>
      <c r="N26" s="115">
        <f>Инв!O14/Исх!$C$19*ндс</f>
        <v>1869.6282857142858</v>
      </c>
      <c r="O26" s="115">
        <f>Инв!P14/Исх!$C$19*ндс</f>
        <v>0</v>
      </c>
      <c r="P26" s="116">
        <f>SUM(D26:O26)</f>
        <v>147248.50448571428</v>
      </c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>
        <f>SUM(Q26:AB26)</f>
        <v>0</v>
      </c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6">
        <f>SUM(AD26:AO26)</f>
        <v>0</v>
      </c>
      <c r="AQ26" s="116"/>
      <c r="AR26" s="116"/>
      <c r="AS26" s="116"/>
      <c r="AT26" s="116"/>
      <c r="AU26" s="116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</row>
    <row r="27" spans="1:60" s="109" customFormat="1" ht="12.75">
      <c r="A27" s="113" t="s">
        <v>30</v>
      </c>
      <c r="B27" s="95">
        <f>P27+AC27+AP27+AQ27+AR27+AS27+AT27+AU27</f>
        <v>661374.1298409794</v>
      </c>
      <c r="C27" s="115"/>
      <c r="D27" s="115">
        <f>D24-D25-D26</f>
        <v>0</v>
      </c>
      <c r="E27" s="115">
        <f aca="true" t="shared" si="24" ref="E27:O27">E24-E25-E26</f>
        <v>0</v>
      </c>
      <c r="F27" s="115">
        <f t="shared" si="24"/>
        <v>0</v>
      </c>
      <c r="G27" s="115">
        <f t="shared" si="24"/>
        <v>-14444.324999999999</v>
      </c>
      <c r="H27" s="115">
        <f t="shared" si="24"/>
        <v>-14444.324999999999</v>
      </c>
      <c r="I27" s="115">
        <f t="shared" si="24"/>
        <v>-38830.0754</v>
      </c>
      <c r="J27" s="115">
        <f t="shared" si="24"/>
        <v>-14444.324999999999</v>
      </c>
      <c r="K27" s="115">
        <f t="shared" si="24"/>
        <v>-38830.0754</v>
      </c>
      <c r="L27" s="115">
        <f t="shared" si="24"/>
        <v>0</v>
      </c>
      <c r="M27" s="115">
        <f t="shared" si="24"/>
        <v>-24385.7504</v>
      </c>
      <c r="N27" s="115">
        <f t="shared" si="24"/>
        <v>-1869.6282857142858</v>
      </c>
      <c r="O27" s="115">
        <f t="shared" si="24"/>
        <v>-3322.758857142857</v>
      </c>
      <c r="P27" s="116">
        <f>SUM(D27:O27)</f>
        <v>-150571.26334285713</v>
      </c>
      <c r="Q27" s="115">
        <f aca="true" t="shared" si="25" ref="Q27:AA27">Q24-Q25-Q26</f>
        <v>425.1555918367335</v>
      </c>
      <c r="R27" s="115">
        <f t="shared" si="25"/>
        <v>1148.8290612244887</v>
      </c>
      <c r="S27" s="115">
        <f t="shared" si="25"/>
        <v>1872.5025306122438</v>
      </c>
      <c r="T27" s="115">
        <f t="shared" si="25"/>
        <v>2941.2694285714288</v>
      </c>
      <c r="U27" s="115">
        <f t="shared" si="25"/>
        <v>3755.402081632653</v>
      </c>
      <c r="V27" s="115">
        <f t="shared" si="25"/>
        <v>3755.402081632653</v>
      </c>
      <c r="W27" s="115">
        <f t="shared" si="25"/>
        <v>4626.507306122448</v>
      </c>
      <c r="X27" s="115">
        <f t="shared" si="25"/>
        <v>4626.507306122448</v>
      </c>
      <c r="Y27" s="115">
        <f t="shared" si="25"/>
        <v>5621.55832653061</v>
      </c>
      <c r="Z27" s="115">
        <f t="shared" si="25"/>
        <v>6673.581918367347</v>
      </c>
      <c r="AA27" s="115">
        <f t="shared" si="25"/>
        <v>7849.551306122448</v>
      </c>
      <c r="AB27" s="115">
        <f>AB24-AB25-AB26</f>
        <v>7849.551306122448</v>
      </c>
      <c r="AC27" s="116">
        <f>SUM(Q27:AB27)</f>
        <v>51145.81824489795</v>
      </c>
      <c r="AD27" s="115">
        <f>AD24-AD25-AD26</f>
        <v>8457.793714285712</v>
      </c>
      <c r="AE27" s="115">
        <f aca="true" t="shared" si="26" ref="AE27:AO27">AE24-AE25-AE26</f>
        <v>8457.793714285712</v>
      </c>
      <c r="AF27" s="115">
        <f t="shared" si="26"/>
        <v>8457.793714285712</v>
      </c>
      <c r="AG27" s="115">
        <f t="shared" si="26"/>
        <v>8457.793714285712</v>
      </c>
      <c r="AH27" s="115">
        <f t="shared" si="26"/>
        <v>8457.793714285712</v>
      </c>
      <c r="AI27" s="115">
        <f t="shared" si="26"/>
        <v>8457.793714285712</v>
      </c>
      <c r="AJ27" s="115">
        <f t="shared" si="26"/>
        <v>9074.264693877547</v>
      </c>
      <c r="AK27" s="115">
        <f t="shared" si="26"/>
        <v>9074.264693877547</v>
      </c>
      <c r="AL27" s="115">
        <f t="shared" si="26"/>
        <v>9074.264693877547</v>
      </c>
      <c r="AM27" s="115">
        <f t="shared" si="26"/>
        <v>9690.735673469384</v>
      </c>
      <c r="AN27" s="115">
        <f t="shared" si="26"/>
        <v>9690.735673469384</v>
      </c>
      <c r="AO27" s="115">
        <f t="shared" si="26"/>
        <v>9690.735673469384</v>
      </c>
      <c r="AP27" s="116">
        <f>SUM(AD27:AO27)</f>
        <v>107041.76338775507</v>
      </c>
      <c r="AQ27" s="115">
        <f>AQ24-AQ25-AQ26</f>
        <v>116185.14808163264</v>
      </c>
      <c r="AR27" s="115">
        <f>AR24-AR25-AR26</f>
        <v>123473.93583673466</v>
      </c>
      <c r="AS27" s="115">
        <f>AS24-AS25-AS26</f>
        <v>130757.28039183671</v>
      </c>
      <c r="AT27" s="115">
        <f>AT24-AT25-AT26</f>
        <v>138034.90958693874</v>
      </c>
      <c r="AU27" s="115">
        <f>AU24-AU25-AU26</f>
        <v>145306.5376540408</v>
      </c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</row>
    <row r="28" spans="1:60" s="109" customFormat="1" ht="12.75">
      <c r="A28" s="113" t="s">
        <v>165</v>
      </c>
      <c r="B28" s="101">
        <f>AU28</f>
        <v>661374.1298409794</v>
      </c>
      <c r="C28" s="115"/>
      <c r="D28" s="115">
        <f>D27</f>
        <v>0</v>
      </c>
      <c r="E28" s="115">
        <f>D28+E27</f>
        <v>0</v>
      </c>
      <c r="F28" s="115">
        <f aca="true" t="shared" si="27" ref="F28:O28">E28+F27</f>
        <v>0</v>
      </c>
      <c r="G28" s="115">
        <f t="shared" si="27"/>
        <v>-14444.324999999999</v>
      </c>
      <c r="H28" s="115">
        <f t="shared" si="27"/>
        <v>-28888.649999999998</v>
      </c>
      <c r="I28" s="115">
        <f t="shared" si="27"/>
        <v>-67718.7254</v>
      </c>
      <c r="J28" s="115">
        <f t="shared" si="27"/>
        <v>-82163.0504</v>
      </c>
      <c r="K28" s="115">
        <f t="shared" si="27"/>
        <v>-120993.1258</v>
      </c>
      <c r="L28" s="115">
        <f t="shared" si="27"/>
        <v>-120993.1258</v>
      </c>
      <c r="M28" s="115">
        <f t="shared" si="27"/>
        <v>-145378.8762</v>
      </c>
      <c r="N28" s="115">
        <f t="shared" si="27"/>
        <v>-147248.50448571428</v>
      </c>
      <c r="O28" s="115">
        <f t="shared" si="27"/>
        <v>-150571.26334285713</v>
      </c>
      <c r="P28" s="116">
        <f>O28</f>
        <v>-150571.26334285713</v>
      </c>
      <c r="Q28" s="115">
        <f aca="true" t="shared" si="28" ref="Q28:AB28">P28+Q27</f>
        <v>-150146.1077510204</v>
      </c>
      <c r="R28" s="115">
        <f t="shared" si="28"/>
        <v>-148997.27868979593</v>
      </c>
      <c r="S28" s="115">
        <f t="shared" si="28"/>
        <v>-147124.77615918368</v>
      </c>
      <c r="T28" s="115">
        <f t="shared" si="28"/>
        <v>-144183.50673061225</v>
      </c>
      <c r="U28" s="115">
        <f t="shared" si="28"/>
        <v>-140428.10464897958</v>
      </c>
      <c r="V28" s="115">
        <f t="shared" si="28"/>
        <v>-136672.70256734692</v>
      </c>
      <c r="W28" s="115">
        <f t="shared" si="28"/>
        <v>-132046.19526122446</v>
      </c>
      <c r="X28" s="115">
        <f t="shared" si="28"/>
        <v>-127419.68795510201</v>
      </c>
      <c r="Y28" s="115">
        <f t="shared" si="28"/>
        <v>-121798.1296285714</v>
      </c>
      <c r="Z28" s="115">
        <f t="shared" si="28"/>
        <v>-115124.54771020406</v>
      </c>
      <c r="AA28" s="115">
        <f t="shared" si="28"/>
        <v>-107274.99640408161</v>
      </c>
      <c r="AB28" s="115">
        <f t="shared" si="28"/>
        <v>-99425.44509795916</v>
      </c>
      <c r="AC28" s="116">
        <f>AB28</f>
        <v>-99425.44509795916</v>
      </c>
      <c r="AD28" s="115">
        <f aca="true" t="shared" si="29" ref="AD28:AO28">AC28+AD27</f>
        <v>-90967.65138367345</v>
      </c>
      <c r="AE28" s="115">
        <f t="shared" si="29"/>
        <v>-82509.85766938774</v>
      </c>
      <c r="AF28" s="115">
        <f t="shared" si="29"/>
        <v>-74052.06395510203</v>
      </c>
      <c r="AG28" s="115">
        <f t="shared" si="29"/>
        <v>-65594.27024081632</v>
      </c>
      <c r="AH28" s="115">
        <f t="shared" si="29"/>
        <v>-57136.476526530605</v>
      </c>
      <c r="AI28" s="115">
        <f t="shared" si="29"/>
        <v>-48678.68281224489</v>
      </c>
      <c r="AJ28" s="115">
        <f t="shared" si="29"/>
        <v>-39604.41811836735</v>
      </c>
      <c r="AK28" s="115">
        <f t="shared" si="29"/>
        <v>-30530.153424489803</v>
      </c>
      <c r="AL28" s="115">
        <f t="shared" si="29"/>
        <v>-21455.888730612256</v>
      </c>
      <c r="AM28" s="115">
        <f t="shared" si="29"/>
        <v>-11765.153057142872</v>
      </c>
      <c r="AN28" s="115">
        <f t="shared" si="29"/>
        <v>-2074.417383673488</v>
      </c>
      <c r="AO28" s="115">
        <f t="shared" si="29"/>
        <v>7616.318289795896</v>
      </c>
      <c r="AP28" s="116">
        <f>AO28</f>
        <v>7616.318289795896</v>
      </c>
      <c r="AQ28" s="115">
        <f>AP28+AQ27</f>
        <v>123801.46637142853</v>
      </c>
      <c r="AR28" s="115">
        <f>AQ28+AR27</f>
        <v>247275.40220816317</v>
      </c>
      <c r="AS28" s="115">
        <f>AR28+AS27</f>
        <v>378032.6825999999</v>
      </c>
      <c r="AT28" s="115">
        <f>AS28+AT27</f>
        <v>516067.5921869386</v>
      </c>
      <c r="AU28" s="115">
        <f>AT28+AU27</f>
        <v>661374.1298409794</v>
      </c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</row>
    <row r="29" spans="1:60" s="109" customFormat="1" ht="12.75">
      <c r="A29" s="113" t="s">
        <v>166</v>
      </c>
      <c r="B29" s="95">
        <f>P29+AC29+AP29+AQ29+AR29+AS29+AT29+AU29</f>
        <v>661374.1298409794</v>
      </c>
      <c r="C29" s="115"/>
      <c r="D29" s="115">
        <f>IF(C28+D27&gt;=0,IF(C28&lt;0,C28+D27,D27),0)</f>
        <v>0</v>
      </c>
      <c r="E29" s="115">
        <f aca="true" t="shared" si="30" ref="E29:AU29">IF(D28+E27&gt;=0,IF(D28&lt;0,D28+E27,E27),0)</f>
        <v>0</v>
      </c>
      <c r="F29" s="115">
        <f t="shared" si="30"/>
        <v>0</v>
      </c>
      <c r="G29" s="115">
        <f t="shared" si="30"/>
        <v>0</v>
      </c>
      <c r="H29" s="115">
        <f t="shared" si="30"/>
        <v>0</v>
      </c>
      <c r="I29" s="115">
        <f t="shared" si="30"/>
        <v>0</v>
      </c>
      <c r="J29" s="115">
        <f t="shared" si="30"/>
        <v>0</v>
      </c>
      <c r="K29" s="115">
        <f t="shared" si="30"/>
        <v>0</v>
      </c>
      <c r="L29" s="115">
        <f t="shared" si="30"/>
        <v>0</v>
      </c>
      <c r="M29" s="115">
        <f t="shared" si="30"/>
        <v>0</v>
      </c>
      <c r="N29" s="115">
        <f t="shared" si="30"/>
        <v>0</v>
      </c>
      <c r="O29" s="115">
        <f t="shared" si="30"/>
        <v>0</v>
      </c>
      <c r="P29" s="116">
        <f>SUM(D29:O29)</f>
        <v>0</v>
      </c>
      <c r="Q29" s="115">
        <f t="shared" si="30"/>
        <v>0</v>
      </c>
      <c r="R29" s="115">
        <f t="shared" si="30"/>
        <v>0</v>
      </c>
      <c r="S29" s="115">
        <f t="shared" si="30"/>
        <v>0</v>
      </c>
      <c r="T29" s="115">
        <f t="shared" si="30"/>
        <v>0</v>
      </c>
      <c r="U29" s="115">
        <f t="shared" si="30"/>
        <v>0</v>
      </c>
      <c r="V29" s="115">
        <f t="shared" si="30"/>
        <v>0</v>
      </c>
      <c r="W29" s="115">
        <f t="shared" si="30"/>
        <v>0</v>
      </c>
      <c r="X29" s="115">
        <f t="shared" si="30"/>
        <v>0</v>
      </c>
      <c r="Y29" s="115">
        <f t="shared" si="30"/>
        <v>0</v>
      </c>
      <c r="Z29" s="115">
        <f t="shared" si="30"/>
        <v>0</v>
      </c>
      <c r="AA29" s="115">
        <f t="shared" si="30"/>
        <v>0</v>
      </c>
      <c r="AB29" s="115">
        <f t="shared" si="30"/>
        <v>0</v>
      </c>
      <c r="AC29" s="116">
        <f>SUM(Q29:AB29)</f>
        <v>0</v>
      </c>
      <c r="AD29" s="115">
        <f aca="true" t="shared" si="31" ref="AD29:AO29">IF(AC28+AD27&gt;=0,IF(AC28&lt;0,AC28+AD27,AD27),0)</f>
        <v>0</v>
      </c>
      <c r="AE29" s="115">
        <f t="shared" si="31"/>
        <v>0</v>
      </c>
      <c r="AF29" s="115">
        <f t="shared" si="31"/>
        <v>0</v>
      </c>
      <c r="AG29" s="115">
        <f t="shared" si="31"/>
        <v>0</v>
      </c>
      <c r="AH29" s="115">
        <f t="shared" si="31"/>
        <v>0</v>
      </c>
      <c r="AI29" s="115">
        <f t="shared" si="31"/>
        <v>0</v>
      </c>
      <c r="AJ29" s="115">
        <f t="shared" si="31"/>
        <v>0</v>
      </c>
      <c r="AK29" s="115">
        <f t="shared" si="31"/>
        <v>0</v>
      </c>
      <c r="AL29" s="115">
        <f t="shared" si="31"/>
        <v>0</v>
      </c>
      <c r="AM29" s="115">
        <f t="shared" si="31"/>
        <v>0</v>
      </c>
      <c r="AN29" s="115">
        <f t="shared" si="31"/>
        <v>0</v>
      </c>
      <c r="AO29" s="115">
        <f t="shared" si="31"/>
        <v>7616.318289795896</v>
      </c>
      <c r="AP29" s="116">
        <f>SUM(AD29:AO29)</f>
        <v>7616.318289795896</v>
      </c>
      <c r="AQ29" s="115">
        <f t="shared" si="30"/>
        <v>116185.14808163264</v>
      </c>
      <c r="AR29" s="115">
        <f t="shared" si="30"/>
        <v>123473.93583673466</v>
      </c>
      <c r="AS29" s="115">
        <f t="shared" si="30"/>
        <v>130757.28039183671</v>
      </c>
      <c r="AT29" s="115">
        <f t="shared" si="30"/>
        <v>138034.90958693874</v>
      </c>
      <c r="AU29" s="115">
        <f t="shared" si="30"/>
        <v>145306.5376540408</v>
      </c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</row>
    <row r="31" ht="12.75">
      <c r="B31" s="271">
        <f>B24-B25-B26</f>
        <v>661374.1298409794</v>
      </c>
    </row>
    <row r="32" ht="12.75">
      <c r="B32" s="307"/>
    </row>
  </sheetData>
  <sheetProtection/>
  <mergeCells count="10">
    <mergeCell ref="AD3:AP3"/>
    <mergeCell ref="AD21:AP21"/>
    <mergeCell ref="Q21:AC21"/>
    <mergeCell ref="Q3:AC3"/>
    <mergeCell ref="A3:A4"/>
    <mergeCell ref="A21:A22"/>
    <mergeCell ref="B3:B4"/>
    <mergeCell ref="D21:P21"/>
    <mergeCell ref="B21:B22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N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X19" sqref="AX19"/>
    </sheetView>
  </sheetViews>
  <sheetFormatPr defaultColWidth="10.125" defaultRowHeight="12.75" outlineLevelCol="1"/>
  <cols>
    <col min="1" max="1" width="38.125" style="118" customWidth="1"/>
    <col min="2" max="2" width="2.375" style="118" customWidth="1"/>
    <col min="3" max="3" width="7.125" style="118" customWidth="1"/>
    <col min="4" max="4" width="11.375" style="118" hidden="1" customWidth="1" outlineLevel="1"/>
    <col min="5" max="10" width="7.375" style="118" hidden="1" customWidth="1" outlineLevel="1"/>
    <col min="11" max="11" width="9.125" style="118" hidden="1" customWidth="1" outlineLevel="1"/>
    <col min="12" max="15" width="10.25390625" style="118" hidden="1" customWidth="1" outlineLevel="1"/>
    <col min="16" max="16" width="9.875" style="118" customWidth="1" collapsed="1"/>
    <col min="17" max="26" width="9.125" style="118" hidden="1" customWidth="1" outlineLevel="1"/>
    <col min="27" max="27" width="9.00390625" style="118" hidden="1" customWidth="1" outlineLevel="1"/>
    <col min="28" max="28" width="9.125" style="118" hidden="1" customWidth="1" outlineLevel="1"/>
    <col min="29" max="29" width="10.125" style="118" customWidth="1" collapsed="1"/>
    <col min="30" max="39" width="10.25390625" style="118" hidden="1" customWidth="1" outlineLevel="1"/>
    <col min="40" max="40" width="9.00390625" style="118" hidden="1" customWidth="1" outlineLevel="1"/>
    <col min="41" max="41" width="9.125" style="118" hidden="1" customWidth="1" outlineLevel="1"/>
    <col min="42" max="42" width="9.875" style="118" customWidth="1" collapsed="1"/>
    <col min="43" max="43" width="9.75390625" style="118" customWidth="1"/>
    <col min="44" max="44" width="9.625" style="118" customWidth="1"/>
    <col min="45" max="47" width="9.75390625" style="118" customWidth="1"/>
    <col min="48" max="16384" width="10.125" style="118" customWidth="1"/>
  </cols>
  <sheetData>
    <row r="1" spans="1:3" ht="12.75">
      <c r="A1" s="61" t="s">
        <v>113</v>
      </c>
      <c r="B1" s="117"/>
      <c r="C1" s="117"/>
    </row>
    <row r="2" spans="1:47" ht="17.25" customHeight="1">
      <c r="A2" s="61"/>
      <c r="C2" s="12" t="str">
        <f>Исх!$C$10</f>
        <v>тыс.тг.</v>
      </c>
      <c r="L2" s="119"/>
      <c r="P2" s="119"/>
      <c r="AC2" s="119"/>
      <c r="AP2" s="119"/>
      <c r="AQ2" s="119"/>
      <c r="AR2" s="119"/>
      <c r="AS2" s="119"/>
      <c r="AT2" s="119"/>
      <c r="AU2" s="119"/>
    </row>
    <row r="3" spans="1:47" ht="12.75" customHeight="1">
      <c r="A3" s="351" t="s">
        <v>3</v>
      </c>
      <c r="B3" s="353"/>
      <c r="C3" s="121"/>
      <c r="D3" s="354">
        <v>2014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>
        <v>2015</v>
      </c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5">
        <f>Q3+1</f>
        <v>2016</v>
      </c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7"/>
      <c r="AQ3" s="122">
        <f>AD3+1</f>
        <v>2017</v>
      </c>
      <c r="AR3" s="122">
        <f>AQ3+1</f>
        <v>2018</v>
      </c>
      <c r="AS3" s="122">
        <f>AR3+1</f>
        <v>2019</v>
      </c>
      <c r="AT3" s="122">
        <f>AS3+1</f>
        <v>2020</v>
      </c>
      <c r="AU3" s="122">
        <f>AT3+1</f>
        <v>2021</v>
      </c>
    </row>
    <row r="4" spans="1:47" ht="12.75">
      <c r="A4" s="352"/>
      <c r="B4" s="353"/>
      <c r="C4" s="123"/>
      <c r="D4" s="124">
        <v>1</v>
      </c>
      <c r="E4" s="124">
        <f>D4+1</f>
        <v>2</v>
      </c>
      <c r="F4" s="124">
        <f aca="true" t="shared" si="0" ref="F4:O4">E4+1</f>
        <v>3</v>
      </c>
      <c r="G4" s="124">
        <f t="shared" si="0"/>
        <v>4</v>
      </c>
      <c r="H4" s="124">
        <f t="shared" si="0"/>
        <v>5</v>
      </c>
      <c r="I4" s="124">
        <f t="shared" si="0"/>
        <v>6</v>
      </c>
      <c r="J4" s="124">
        <f t="shared" si="0"/>
        <v>7</v>
      </c>
      <c r="K4" s="124">
        <f t="shared" si="0"/>
        <v>8</v>
      </c>
      <c r="L4" s="124">
        <f t="shared" si="0"/>
        <v>9</v>
      </c>
      <c r="M4" s="124">
        <f t="shared" si="0"/>
        <v>10</v>
      </c>
      <c r="N4" s="124">
        <f t="shared" si="0"/>
        <v>11</v>
      </c>
      <c r="O4" s="124">
        <f t="shared" si="0"/>
        <v>12</v>
      </c>
      <c r="P4" s="120" t="s">
        <v>0</v>
      </c>
      <c r="Q4" s="124">
        <v>1</v>
      </c>
      <c r="R4" s="124">
        <f aca="true" t="shared" si="1" ref="R4:AB4">Q4+1</f>
        <v>2</v>
      </c>
      <c r="S4" s="124">
        <f t="shared" si="1"/>
        <v>3</v>
      </c>
      <c r="T4" s="124">
        <f t="shared" si="1"/>
        <v>4</v>
      </c>
      <c r="U4" s="124">
        <f t="shared" si="1"/>
        <v>5</v>
      </c>
      <c r="V4" s="124">
        <f t="shared" si="1"/>
        <v>6</v>
      </c>
      <c r="W4" s="124">
        <f t="shared" si="1"/>
        <v>7</v>
      </c>
      <c r="X4" s="124">
        <f t="shared" si="1"/>
        <v>8</v>
      </c>
      <c r="Y4" s="124">
        <f t="shared" si="1"/>
        <v>9</v>
      </c>
      <c r="Z4" s="124">
        <f t="shared" si="1"/>
        <v>10</v>
      </c>
      <c r="AA4" s="124">
        <f t="shared" si="1"/>
        <v>11</v>
      </c>
      <c r="AB4" s="124">
        <f t="shared" si="1"/>
        <v>12</v>
      </c>
      <c r="AC4" s="120" t="s">
        <v>0</v>
      </c>
      <c r="AD4" s="124">
        <v>1</v>
      </c>
      <c r="AE4" s="124">
        <f aca="true" t="shared" si="2" ref="AE4:AO4">AD4+1</f>
        <v>2</v>
      </c>
      <c r="AF4" s="124">
        <f t="shared" si="2"/>
        <v>3</v>
      </c>
      <c r="AG4" s="124">
        <f t="shared" si="2"/>
        <v>4</v>
      </c>
      <c r="AH4" s="124">
        <f t="shared" si="2"/>
        <v>5</v>
      </c>
      <c r="AI4" s="124">
        <f t="shared" si="2"/>
        <v>6</v>
      </c>
      <c r="AJ4" s="124">
        <f t="shared" si="2"/>
        <v>7</v>
      </c>
      <c r="AK4" s="124">
        <f t="shared" si="2"/>
        <v>8</v>
      </c>
      <c r="AL4" s="124">
        <f t="shared" si="2"/>
        <v>9</v>
      </c>
      <c r="AM4" s="124">
        <f t="shared" si="2"/>
        <v>10</v>
      </c>
      <c r="AN4" s="124">
        <f t="shared" si="2"/>
        <v>11</v>
      </c>
      <c r="AO4" s="124">
        <f t="shared" si="2"/>
        <v>12</v>
      </c>
      <c r="AP4" s="120" t="s">
        <v>0</v>
      </c>
      <c r="AQ4" s="120" t="s">
        <v>111</v>
      </c>
      <c r="AR4" s="120" t="s">
        <v>111</v>
      </c>
      <c r="AS4" s="120" t="s">
        <v>111</v>
      </c>
      <c r="AT4" s="120" t="s">
        <v>111</v>
      </c>
      <c r="AU4" s="120" t="s">
        <v>111</v>
      </c>
    </row>
    <row r="5" spans="1:54" s="129" customFormat="1" ht="15" customHeight="1">
      <c r="A5" s="125" t="s">
        <v>114</v>
      </c>
      <c r="B5" s="126"/>
      <c r="C5" s="127">
        <f>C11+C6</f>
        <v>0</v>
      </c>
      <c r="D5" s="127">
        <f>D11+D6</f>
        <v>0</v>
      </c>
      <c r="E5" s="127">
        <f aca="true" t="shared" si="3" ref="E5:AT5">E11+E6</f>
        <v>0</v>
      </c>
      <c r="F5" s="127">
        <f t="shared" si="3"/>
        <v>0</v>
      </c>
      <c r="G5" s="127">
        <f t="shared" si="3"/>
        <v>134813.7</v>
      </c>
      <c r="H5" s="127">
        <f t="shared" si="3"/>
        <v>269627.4</v>
      </c>
      <c r="I5" s="127">
        <f t="shared" si="3"/>
        <v>632041.4370666667</v>
      </c>
      <c r="J5" s="127">
        <f t="shared" si="3"/>
        <v>766855.1370666666</v>
      </c>
      <c r="K5" s="127">
        <f t="shared" si="3"/>
        <v>1129269.1741333334</v>
      </c>
      <c r="L5" s="127">
        <f t="shared" si="3"/>
        <v>1129269.1741333334</v>
      </c>
      <c r="M5" s="127">
        <f t="shared" si="3"/>
        <v>1356869.5112</v>
      </c>
      <c r="N5" s="127">
        <f t="shared" si="3"/>
        <v>1374319.3752000001</v>
      </c>
      <c r="O5" s="127">
        <f t="shared" si="3"/>
        <v>1455331.7911999999</v>
      </c>
      <c r="P5" s="127">
        <f t="shared" si="3"/>
        <v>1455331.7911999999</v>
      </c>
      <c r="Q5" s="127">
        <f t="shared" si="3"/>
        <v>1435965.9259254758</v>
      </c>
      <c r="R5" s="127">
        <f t="shared" si="3"/>
        <v>1420709.8671815635</v>
      </c>
      <c r="S5" s="127">
        <f t="shared" si="3"/>
        <v>1409563.6149682638</v>
      </c>
      <c r="T5" s="127">
        <f t="shared" si="3"/>
        <v>1406123.249999862</v>
      </c>
      <c r="U5" s="127">
        <f t="shared" si="3"/>
        <v>1407306.417378399</v>
      </c>
      <c r="V5" s="127">
        <f t="shared" si="3"/>
        <v>1407240.8256686453</v>
      </c>
      <c r="W5" s="127">
        <f t="shared" si="3"/>
        <v>1411811.4371037357</v>
      </c>
      <c r="X5" s="127">
        <f t="shared" si="3"/>
        <v>1416364.8307968122</v>
      </c>
      <c r="Y5" s="127">
        <f t="shared" si="3"/>
        <v>1425421.6934947192</v>
      </c>
      <c r="Z5" s="127">
        <f t="shared" si="3"/>
        <v>1441858.7887461758</v>
      </c>
      <c r="AA5" s="127">
        <f t="shared" si="3"/>
        <v>1463621.1116738666</v>
      </c>
      <c r="AB5" s="127">
        <f t="shared" si="3"/>
        <v>1485365.8115832503</v>
      </c>
      <c r="AC5" s="127">
        <f t="shared" si="3"/>
        <v>1485365.8115832503</v>
      </c>
      <c r="AD5" s="127">
        <f aca="true" t="shared" si="4" ref="AD5:AP5">AD11+AD6</f>
        <v>1511048.3293421417</v>
      </c>
      <c r="AE5" s="127">
        <f t="shared" si="4"/>
        <v>1536713.017881173</v>
      </c>
      <c r="AF5" s="127">
        <f t="shared" si="4"/>
        <v>1562359.7731965622</v>
      </c>
      <c r="AG5" s="127">
        <f t="shared" si="4"/>
        <v>1587988.4906778377</v>
      </c>
      <c r="AH5" s="127">
        <f t="shared" si="4"/>
        <v>1613599.065104301</v>
      </c>
      <c r="AI5" s="127">
        <f t="shared" si="4"/>
        <v>1639191.3906414653</v>
      </c>
      <c r="AJ5" s="127">
        <f t="shared" si="4"/>
        <v>1668875.1673680886</v>
      </c>
      <c r="AK5" s="127">
        <f t="shared" si="4"/>
        <v>1698540.4816807352</v>
      </c>
      <c r="AL5" s="127">
        <f t="shared" si="4"/>
        <v>1728187.2258819905</v>
      </c>
      <c r="AM5" s="127">
        <f t="shared" si="4"/>
        <v>1761925.0981768172</v>
      </c>
      <c r="AN5" s="127">
        <f t="shared" si="4"/>
        <v>1795644.1830770532</v>
      </c>
      <c r="AO5" s="127">
        <f t="shared" si="4"/>
        <v>1829344.3709895632</v>
      </c>
      <c r="AP5" s="127">
        <f t="shared" si="4"/>
        <v>1829344.3709895632</v>
      </c>
      <c r="AQ5" s="127">
        <f t="shared" si="3"/>
        <v>2230264.0991176404</v>
      </c>
      <c r="AR5" s="127">
        <f t="shared" si="3"/>
        <v>2675475.1726031527</v>
      </c>
      <c r="AS5" s="127">
        <f t="shared" si="3"/>
        <v>3164636.755372987</v>
      </c>
      <c r="AT5" s="127">
        <f t="shared" si="3"/>
        <v>3697386.23848645</v>
      </c>
      <c r="AU5" s="127">
        <f>AU11+AU6</f>
        <v>4535011.832165643</v>
      </c>
      <c r="AV5" s="128"/>
      <c r="AW5" s="128"/>
      <c r="AX5" s="128"/>
      <c r="AY5" s="128"/>
      <c r="AZ5" s="128"/>
      <c r="BA5" s="128"/>
      <c r="BB5" s="128"/>
    </row>
    <row r="6" spans="1:47" s="129" customFormat="1" ht="15" customHeight="1">
      <c r="A6" s="125" t="s">
        <v>115</v>
      </c>
      <c r="B6" s="126"/>
      <c r="C6" s="127">
        <f>SUM(C7:C10)</f>
        <v>0</v>
      </c>
      <c r="D6" s="127">
        <f>SUM(D7:D10)</f>
        <v>0</v>
      </c>
      <c r="E6" s="127">
        <f aca="true" t="shared" si="5" ref="E6:AT6">SUM(E7:E10)</f>
        <v>0</v>
      </c>
      <c r="F6" s="127">
        <f t="shared" si="5"/>
        <v>0</v>
      </c>
      <c r="G6" s="127">
        <f t="shared" si="5"/>
        <v>0</v>
      </c>
      <c r="H6" s="127">
        <f t="shared" si="5"/>
        <v>0</v>
      </c>
      <c r="I6" s="127">
        <f t="shared" si="5"/>
        <v>203214.58666666667</v>
      </c>
      <c r="J6" s="127">
        <f t="shared" si="5"/>
        <v>203214.58666666667</v>
      </c>
      <c r="K6" s="127">
        <f t="shared" si="5"/>
        <v>406429.17333333334</v>
      </c>
      <c r="L6" s="127">
        <f t="shared" si="5"/>
        <v>406429.17333333334</v>
      </c>
      <c r="M6" s="127">
        <f t="shared" si="5"/>
        <v>609643.76</v>
      </c>
      <c r="N6" s="127">
        <f t="shared" si="5"/>
        <v>625223.9957142858</v>
      </c>
      <c r="O6" s="127">
        <f t="shared" si="5"/>
        <v>77689.65714285715</v>
      </c>
      <c r="P6" s="127">
        <f t="shared" si="5"/>
        <v>77689.65714285715</v>
      </c>
      <c r="Q6" s="127">
        <f t="shared" si="5"/>
        <v>67302.74117445544</v>
      </c>
      <c r="R6" s="127">
        <f t="shared" si="5"/>
        <v>61749.30520605373</v>
      </c>
      <c r="S6" s="127">
        <f t="shared" si="5"/>
        <v>61029.349237652015</v>
      </c>
      <c r="T6" s="127">
        <f t="shared" si="5"/>
        <v>69084.04741210745</v>
      </c>
      <c r="U6" s="127">
        <f t="shared" si="5"/>
        <v>82576.41058656288</v>
      </c>
      <c r="V6" s="127">
        <f t="shared" si="5"/>
        <v>94820.01467272789</v>
      </c>
      <c r="W6" s="127">
        <f t="shared" si="5"/>
        <v>112570.9271282266</v>
      </c>
      <c r="X6" s="127">
        <f t="shared" si="5"/>
        <v>130304.62184171111</v>
      </c>
      <c r="Y6" s="127">
        <f t="shared" si="5"/>
        <v>153536.83658043464</v>
      </c>
      <c r="Z6" s="127">
        <f t="shared" si="5"/>
        <v>185201.30746454443</v>
      </c>
      <c r="AA6" s="127">
        <f t="shared" si="5"/>
        <v>223366.9754126436</v>
      </c>
      <c r="AB6" s="127">
        <f t="shared" si="5"/>
        <v>261515.02034243545</v>
      </c>
      <c r="AC6" s="127">
        <f t="shared" si="5"/>
        <v>261515.02034243545</v>
      </c>
      <c r="AD6" s="127">
        <f aca="true" t="shared" si="6" ref="AD6:AP6">SUM(AD7:AD10)</f>
        <v>304209.1255298982</v>
      </c>
      <c r="AE6" s="127">
        <f t="shared" si="6"/>
        <v>346885.4014975012</v>
      </c>
      <c r="AF6" s="127">
        <f t="shared" si="6"/>
        <v>389543.74424146186</v>
      </c>
      <c r="AG6" s="127">
        <f t="shared" si="6"/>
        <v>432184.04915130907</v>
      </c>
      <c r="AH6" s="127">
        <f t="shared" si="6"/>
        <v>474806.21100634383</v>
      </c>
      <c r="AI6" s="127">
        <f t="shared" si="6"/>
        <v>517410.1239720796</v>
      </c>
      <c r="AJ6" s="127">
        <f t="shared" si="6"/>
        <v>564721.9591068663</v>
      </c>
      <c r="AK6" s="127">
        <f t="shared" si="6"/>
        <v>612015.3318276764</v>
      </c>
      <c r="AL6" s="127">
        <f t="shared" si="6"/>
        <v>659290.134437095</v>
      </c>
      <c r="AM6" s="127">
        <f t="shared" si="6"/>
        <v>711272.5361196767</v>
      </c>
      <c r="AN6" s="127">
        <f t="shared" si="6"/>
        <v>763236.1504076676</v>
      </c>
      <c r="AO6" s="127">
        <f t="shared" si="6"/>
        <v>807564.549418137</v>
      </c>
      <c r="AP6" s="127">
        <f t="shared" si="6"/>
        <v>807564.549418137</v>
      </c>
      <c r="AQ6" s="127">
        <f t="shared" si="5"/>
        <v>1311129.8021176425</v>
      </c>
      <c r="AR6" s="127">
        <f t="shared" si="5"/>
        <v>1858986.4001745833</v>
      </c>
      <c r="AS6" s="127">
        <f t="shared" si="5"/>
        <v>2450793.5075158468</v>
      </c>
      <c r="AT6" s="127">
        <f t="shared" si="5"/>
        <v>3086188.515200738</v>
      </c>
      <c r="AU6" s="127">
        <f>SUM(AU7:AU10)</f>
        <v>4026459.6334513593</v>
      </c>
    </row>
    <row r="7" spans="1:47" ht="15" customHeight="1">
      <c r="A7" s="130" t="s">
        <v>116</v>
      </c>
      <c r="B7" s="126"/>
      <c r="C7" s="131"/>
      <c r="D7" s="131">
        <f>'1-Ф3'!D37</f>
        <v>0</v>
      </c>
      <c r="E7" s="131">
        <f>'1-Ф3'!E37</f>
        <v>0</v>
      </c>
      <c r="F7" s="131">
        <f>'1-Ф3'!F37</f>
        <v>0</v>
      </c>
      <c r="G7" s="131">
        <f>'1-Ф3'!G37</f>
        <v>0</v>
      </c>
      <c r="H7" s="131">
        <f>'1-Ф3'!H37</f>
        <v>0</v>
      </c>
      <c r="I7" s="131">
        <f>'1-Ф3'!I37</f>
        <v>0</v>
      </c>
      <c r="J7" s="131">
        <f>'1-Ф3'!J37</f>
        <v>0</v>
      </c>
      <c r="K7" s="131">
        <f>'1-Ф3'!K37</f>
        <v>0</v>
      </c>
      <c r="L7" s="131">
        <f>'1-Ф3'!L37</f>
        <v>0</v>
      </c>
      <c r="M7" s="131">
        <f>'1-Ф3'!M37</f>
        <v>0</v>
      </c>
      <c r="N7" s="131">
        <f>'1-Ф3'!N37</f>
        <v>0</v>
      </c>
      <c r="O7" s="131">
        <f>'1-Ф3'!O37</f>
        <v>50000</v>
      </c>
      <c r="P7" s="131">
        <f>'1-Ф3'!P37</f>
        <v>50000</v>
      </c>
      <c r="Q7" s="131">
        <f>'1-Ф3'!Q37</f>
        <v>28088.249745884008</v>
      </c>
      <c r="R7" s="131">
        <f>'1-Ф3'!R37</f>
        <v>12930.785206053726</v>
      </c>
      <c r="S7" s="131">
        <f>'1-Ф3'!S37</f>
        <v>4527.606380509158</v>
      </c>
      <c r="T7" s="131">
        <f>'1-Ф3'!T37</f>
        <v>6099.585269250307</v>
      </c>
      <c r="U7" s="131">
        <f>'1-Ф3'!U37</f>
        <v>15270.13558656289</v>
      </c>
      <c r="V7" s="131">
        <f>'1-Ф3'!V37</f>
        <v>23191.92681558504</v>
      </c>
      <c r="W7" s="131">
        <f>'1-Ф3'!W37</f>
        <v>35660.62355679803</v>
      </c>
      <c r="X7" s="131">
        <f>'1-Ф3'!X37</f>
        <v>48112.10255599684</v>
      </c>
      <c r="Y7" s="131">
        <f>'1-Ф3'!Y37</f>
        <v>68703.2094375775</v>
      </c>
      <c r="Z7" s="131">
        <f>'1-Ф3'!Z37</f>
        <v>97246.37103597302</v>
      </c>
      <c r="AA7" s="131">
        <f>'1-Ф3'!AA37</f>
        <v>135412.03898407222</v>
      </c>
      <c r="AB7" s="131">
        <f>'1-Ф3'!AB37</f>
        <v>173560.08391386407</v>
      </c>
      <c r="AC7" s="131">
        <f>'1-Ф3'!AC37</f>
        <v>173560.08391386407</v>
      </c>
      <c r="AD7" s="131">
        <f>'1-Ф3'!AD37</f>
        <v>216254.1891013268</v>
      </c>
      <c r="AE7" s="131">
        <f>'1-Ф3'!AE37</f>
        <v>258930.46506892977</v>
      </c>
      <c r="AF7" s="131">
        <f>'1-Ф3'!AF37</f>
        <v>301588.8078128905</v>
      </c>
      <c r="AG7" s="131">
        <f>'1-Ф3'!AG37</f>
        <v>344229.1127227377</v>
      </c>
      <c r="AH7" s="131">
        <f>'1-Ф3'!AH37</f>
        <v>386851.2745777724</v>
      </c>
      <c r="AI7" s="131">
        <f>'1-Ф3'!AI37</f>
        <v>429455.1875435082</v>
      </c>
      <c r="AJ7" s="131">
        <f>'1-Ф3'!AJ37</f>
        <v>476767.02267829486</v>
      </c>
      <c r="AK7" s="131">
        <f>'1-Ф3'!AK37</f>
        <v>524060.39539910504</v>
      </c>
      <c r="AL7" s="131">
        <f>'1-Ф3'!AL37</f>
        <v>571335.1980085237</v>
      </c>
      <c r="AM7" s="131">
        <f>'1-Ф3'!AM37</f>
        <v>623317.5996911053</v>
      </c>
      <c r="AN7" s="131">
        <f>'1-Ф3'!AN37</f>
        <v>675281.2139790963</v>
      </c>
      <c r="AO7" s="131">
        <f>'1-Ф3'!AO37</f>
        <v>719609.6129895656</v>
      </c>
      <c r="AP7" s="131">
        <f>'1-Ф3'!AP37</f>
        <v>719609.6129895656</v>
      </c>
      <c r="AQ7" s="131">
        <f>'1-Ф3'!AQ37</f>
        <v>1223174.8656890711</v>
      </c>
      <c r="AR7" s="131">
        <f>'1-Ф3'!AR37</f>
        <v>1771031.463746012</v>
      </c>
      <c r="AS7" s="131">
        <f>'1-Ф3'!AS37</f>
        <v>2362838.5710872756</v>
      </c>
      <c r="AT7" s="131">
        <f>'1-Ф3'!AT37</f>
        <v>2998233.5787721667</v>
      </c>
      <c r="AU7" s="131">
        <f>'1-Ф3'!AU37</f>
        <v>3938504.697022788</v>
      </c>
    </row>
    <row r="8" spans="1:47" ht="12.75">
      <c r="A8" s="130" t="s">
        <v>117</v>
      </c>
      <c r="B8" s="126"/>
      <c r="C8" s="131"/>
      <c r="D8" s="131">
        <f>C8+'2-ф2'!D5-'1-Ф3'!D9/Исх!$C$19</f>
        <v>0</v>
      </c>
      <c r="E8" s="131">
        <f>D8+'2-ф2'!E5-'1-Ф3'!E9/Исх!$C$19</f>
        <v>0</v>
      </c>
      <c r="F8" s="131">
        <f>E8+'2-ф2'!F5-'1-Ф3'!F9/Исх!$C$19</f>
        <v>0</v>
      </c>
      <c r="G8" s="131">
        <f>Инв!H24/Исх!$C$19</f>
        <v>0</v>
      </c>
      <c r="H8" s="131">
        <f>Инв!I24/Исх!$C$19</f>
        <v>0</v>
      </c>
      <c r="I8" s="131">
        <f>Инв!J24/Исх!$C$19</f>
        <v>203214.58666666667</v>
      </c>
      <c r="J8" s="131">
        <f>Инв!K24/Исх!$C$19</f>
        <v>203214.58666666667</v>
      </c>
      <c r="K8" s="131">
        <f>Инв!L24/Исх!$C$19</f>
        <v>406429.17333333334</v>
      </c>
      <c r="L8" s="131">
        <f>Инв!M24/Исх!$C$19</f>
        <v>406429.17333333334</v>
      </c>
      <c r="M8" s="131">
        <f>Инв!N24/Исх!$C$19</f>
        <v>609643.76</v>
      </c>
      <c r="N8" s="131">
        <f>Инв!O24/Исх!$C$19</f>
        <v>625223.9957142858</v>
      </c>
      <c r="O8" s="131">
        <f>Инв!P24/Исх!$C$19</f>
        <v>0</v>
      </c>
      <c r="P8" s="131">
        <f>O8</f>
        <v>0</v>
      </c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>
        <f>AB8</f>
        <v>0</v>
      </c>
      <c r="AD8" s="131">
        <f>AC8+'2-ф2'!AD5-'1-Ф3'!AD9/Исх!$C$19</f>
        <v>0</v>
      </c>
      <c r="AE8" s="131">
        <f>AD8+'2-ф2'!AE5-'1-Ф3'!AE9/Исх!$C$19</f>
        <v>0</v>
      </c>
      <c r="AF8" s="131">
        <f>AE8+'2-ф2'!AF5-'1-Ф3'!AF9/Исх!$C$19</f>
        <v>0</v>
      </c>
      <c r="AG8" s="131">
        <f>AF8+'2-ф2'!AG5-'1-Ф3'!AG9/Исх!$C$19</f>
        <v>0</v>
      </c>
      <c r="AH8" s="131">
        <f>AG8+'2-ф2'!AH5-'1-Ф3'!AH9/Исх!$C$19</f>
        <v>0</v>
      </c>
      <c r="AI8" s="131">
        <f>AH8+'2-ф2'!AI5-'1-Ф3'!AI9/Исх!$C$19</f>
        <v>0</v>
      </c>
      <c r="AJ8" s="131">
        <f>AI8+'2-ф2'!AJ5-'1-Ф3'!AJ9/Исх!$C$19</f>
        <v>0</v>
      </c>
      <c r="AK8" s="131">
        <f>AJ8+'2-ф2'!AK5-'1-Ф3'!AK9/Исх!$C$19</f>
        <v>0</v>
      </c>
      <c r="AL8" s="131">
        <f>AK8+'2-ф2'!AL5-'1-Ф3'!AL9/Исх!$C$19</f>
        <v>0</v>
      </c>
      <c r="AM8" s="131">
        <f>AL8+'2-ф2'!AM5-'1-Ф3'!AM9/Исх!$C$19</f>
        <v>0</v>
      </c>
      <c r="AN8" s="131">
        <f>AM8+'2-ф2'!AN5-'1-Ф3'!AN9/Исх!$C$19</f>
        <v>0</v>
      </c>
      <c r="AO8" s="131">
        <f>AN8+'2-ф2'!AO5-'1-Ф3'!AO9/Исх!$C$19</f>
        <v>0</v>
      </c>
      <c r="AP8" s="131">
        <f>AO8</f>
        <v>0</v>
      </c>
      <c r="AQ8" s="131">
        <f>AP8+'2-ф2'!AQ5-'1-Ф3'!AQ9/Исх!$C$19</f>
        <v>0</v>
      </c>
      <c r="AR8" s="131">
        <f>AQ8+'2-ф2'!AR5-'1-Ф3'!AR9/Исх!$C$19</f>
        <v>0</v>
      </c>
      <c r="AS8" s="131">
        <f>AR8+'2-ф2'!AS5-'1-Ф3'!AS9/Исх!$C$19</f>
        <v>0</v>
      </c>
      <c r="AT8" s="131">
        <f>AS8+'2-ф2'!AT5-'1-Ф3'!AT9/Исх!$C$19</f>
        <v>0</v>
      </c>
      <c r="AU8" s="131">
        <f>AT8+'2-ф2'!AU5-'1-Ф3'!AU9/Исх!$C$19</f>
        <v>0</v>
      </c>
    </row>
    <row r="9" spans="1:47" ht="15" customHeight="1">
      <c r="A9" s="130" t="s">
        <v>118</v>
      </c>
      <c r="B9" s="126"/>
      <c r="C9" s="131"/>
      <c r="D9" s="131">
        <f>C9+'1-Ф3'!D13/Исх!$C$19-'2-ф2'!D9</f>
        <v>0</v>
      </c>
      <c r="E9" s="131">
        <f>D9+'1-Ф3'!E13/Исх!$C$19-'2-ф2'!E9</f>
        <v>0</v>
      </c>
      <c r="F9" s="131">
        <f>E9+'1-Ф3'!F13/Исх!$C$19-'2-ф2'!F9</f>
        <v>0</v>
      </c>
      <c r="G9" s="131">
        <f>F9+'1-Ф3'!G13/Исх!$C$19-'2-ф2'!G9</f>
        <v>0</v>
      </c>
      <c r="H9" s="131">
        <f>G9+'1-Ф3'!H13/Исх!$C$19-'2-ф2'!H9</f>
        <v>0</v>
      </c>
      <c r="I9" s="131">
        <f>H9+'1-Ф3'!I13/Исх!$C$19-'2-ф2'!I9</f>
        <v>0</v>
      </c>
      <c r="J9" s="131">
        <f>I9+'1-Ф3'!J13/Исх!$C$19-'2-ф2'!J9</f>
        <v>0</v>
      </c>
      <c r="K9" s="131">
        <f>J9+'1-Ф3'!K13/Исх!$C$19-'2-ф2'!K9</f>
        <v>0</v>
      </c>
      <c r="L9" s="131">
        <f>K9+'1-Ф3'!L13/Исх!$C$19-'2-ф2'!L8</f>
        <v>0</v>
      </c>
      <c r="M9" s="131">
        <f>L9+'1-Ф3'!M13/Исх!$C$19-'2-ф2'!M8</f>
        <v>0</v>
      </c>
      <c r="N9" s="131">
        <f>M9+'1-Ф3'!N13/Исх!$C$19-'2-ф2'!N8</f>
        <v>0</v>
      </c>
      <c r="O9" s="131">
        <f>N9+('1-Ф3'!O13+'1-Ф3'!O14+'1-Ф3'!O15)/Исх!$C$19-'2-ф2'!O8</f>
        <v>27689.65714285714</v>
      </c>
      <c r="P9" s="131">
        <f>O9</f>
        <v>27689.65714285714</v>
      </c>
      <c r="Q9" s="131">
        <f>P9+('1-Ф3'!Q13+'1-Ф3'!Q14+'1-Ф3'!Q15)/Исх!$C$19-'2-ф2'!Q8</f>
        <v>39214.49142857143</v>
      </c>
      <c r="R9" s="131">
        <f>Q9+('1-Ф3'!R13+'1-Ф3'!R14+'1-Ф3'!R15)/Исх!$C$19-'2-ф2'!R8</f>
        <v>48818.520000000004</v>
      </c>
      <c r="S9" s="131">
        <f>R9+('1-Ф3'!S13+'1-Ф3'!S14+'1-Ф3'!S15)/Исх!$C$19-'2-ф2'!S8</f>
        <v>56501.74285714286</v>
      </c>
      <c r="T9" s="131">
        <f>S9+('1-Ф3'!T13+'1-Ф3'!T14+'1-Ф3'!T15)/Исх!$C$19-'2-ф2'!T8</f>
        <v>62984.46214285714</v>
      </c>
      <c r="U9" s="131">
        <f>T9+('1-Ф3'!U13+'1-Ф3'!U14+'1-Ф3'!U15)/Исх!$C$19-'2-ф2'!U8</f>
        <v>67306.275</v>
      </c>
      <c r="V9" s="131">
        <f>U9+('1-Ф3'!V13+'1-Ф3'!V14+'1-Ф3'!V15)/Исх!$C$19-'2-ф2'!V8</f>
        <v>71628.08785714285</v>
      </c>
      <c r="W9" s="131">
        <f>V9+('1-Ф3'!W13+'1-Ф3'!W14+'1-Ф3'!W15)/Исх!$C$19-'2-ф2'!W8</f>
        <v>76910.30357142857</v>
      </c>
      <c r="X9" s="131">
        <f>W9+('1-Ф3'!X13+'1-Ф3'!X14+'1-Ф3'!X15)/Исх!$C$19-'2-ф2'!X8</f>
        <v>82192.51928571427</v>
      </c>
      <c r="Y9" s="131">
        <f>X9+('1-Ф3'!Y13+'1-Ф3'!Y14+'1-Ф3'!Y15)/Исх!$C$19-'2-ф2'!Y8</f>
        <v>84833.62714285712</v>
      </c>
      <c r="Z9" s="131">
        <f>Y9+('1-Ф3'!Z13+'1-Ф3'!Z14+'1-Ф3'!Z15)/Исх!$C$19-'2-ф2'!Z8</f>
        <v>87954.9364285714</v>
      </c>
      <c r="AA9" s="131">
        <f>Z9+('1-Ф3'!AA13+'1-Ф3'!AA14+'1-Ф3'!AA15)/Исх!$C$19-'2-ф2'!AA8</f>
        <v>87954.93642857138</v>
      </c>
      <c r="AB9" s="131">
        <f>AA9+('1-Ф3'!AB13+'1-Ф3'!AB14+'1-Ф3'!AB15)/Исх!$C$19-'2-ф2'!AB8</f>
        <v>87954.93642857138</v>
      </c>
      <c r="AC9" s="131">
        <f>AB9</f>
        <v>87954.93642857138</v>
      </c>
      <c r="AD9" s="131">
        <f>AC9+('1-Ф3'!AD13+'1-Ф3'!AD14+'1-Ф3'!AD15)/Исх!$C$19-'2-ф2'!AD8</f>
        <v>87954.93642857138</v>
      </c>
      <c r="AE9" s="131">
        <f>AD9+('1-Ф3'!AE13+'1-Ф3'!AE14+'1-Ф3'!AE15)/Исх!$C$19-'2-ф2'!AE8</f>
        <v>87954.93642857138</v>
      </c>
      <c r="AF9" s="131">
        <f>AE9+('1-Ф3'!AF13+'1-Ф3'!AF14+'1-Ф3'!AF15)/Исх!$C$19-'2-ф2'!AF8</f>
        <v>87954.93642857138</v>
      </c>
      <c r="AG9" s="131">
        <f>AF9+('1-Ф3'!AG13+'1-Ф3'!AG14+'1-Ф3'!AG15)/Исх!$C$19-'2-ф2'!AG8</f>
        <v>87954.93642857138</v>
      </c>
      <c r="AH9" s="131">
        <f>AG9+('1-Ф3'!AH13+'1-Ф3'!AH14+'1-Ф3'!AH15)/Исх!$C$19-'2-ф2'!AH8</f>
        <v>87954.93642857138</v>
      </c>
      <c r="AI9" s="131">
        <f>AH9+('1-Ф3'!AI13+'1-Ф3'!AI14+'1-Ф3'!AI15)/Исх!$C$19-'2-ф2'!AI8</f>
        <v>87954.93642857138</v>
      </c>
      <c r="AJ9" s="131">
        <f>AI9+('1-Ф3'!AJ13+'1-Ф3'!AJ14+'1-Ф3'!AJ15)/Исх!$C$19-'2-ф2'!AJ8</f>
        <v>87954.93642857138</v>
      </c>
      <c r="AK9" s="131">
        <f>AJ9+('1-Ф3'!AK13+'1-Ф3'!AK14+'1-Ф3'!AK15)/Исх!$C$19-'2-ф2'!AK8</f>
        <v>87954.93642857138</v>
      </c>
      <c r="AL9" s="131">
        <f>AK9+('1-Ф3'!AL13+'1-Ф3'!AL14+'1-Ф3'!AL15)/Исх!$C$19-'2-ф2'!AL8</f>
        <v>87954.93642857138</v>
      </c>
      <c r="AM9" s="131">
        <f>AL9+('1-Ф3'!AM13+'1-Ф3'!AM14+'1-Ф3'!AM15)/Исх!$C$19-'2-ф2'!AM8</f>
        <v>87954.93642857138</v>
      </c>
      <c r="AN9" s="131">
        <f>AM9+('1-Ф3'!AN13+'1-Ф3'!AN14+'1-Ф3'!AN15)/Исх!$C$19-'2-ф2'!AN8</f>
        <v>87954.93642857138</v>
      </c>
      <c r="AO9" s="131">
        <f>AN9+('1-Ф3'!AO13+'1-Ф3'!AO14+'1-Ф3'!AO15)/Исх!$C$19-'2-ф2'!AO8</f>
        <v>87954.93642857138</v>
      </c>
      <c r="AP9" s="131">
        <f>AO9</f>
        <v>87954.93642857138</v>
      </c>
      <c r="AQ9" s="131">
        <f>AP9+('1-Ф3'!AQ13+'1-Ф3'!AQ14+'1-Ф3'!AQ15)/Исх!$C$19-'2-ф2'!AQ8</f>
        <v>87954.93642857135</v>
      </c>
      <c r="AR9" s="131">
        <f>AQ9+('1-Ф3'!AR13+'1-Ф3'!AR14+'1-Ф3'!AR15)/Исх!$C$19-'2-ф2'!AR8</f>
        <v>87954.93642857141</v>
      </c>
      <c r="AS9" s="131">
        <f>AR9+('1-Ф3'!AS13+'1-Ф3'!AS14+'1-Ф3'!AS15)/Исх!$C$19-'2-ф2'!AS8</f>
        <v>87954.93642857135</v>
      </c>
      <c r="AT9" s="131">
        <f>AS9+('1-Ф3'!AT13+'1-Ф3'!AT14+'1-Ф3'!AT15)/Исх!$C$19-'2-ф2'!AT8</f>
        <v>87954.93642857135</v>
      </c>
      <c r="AU9" s="131">
        <f>AT9+('1-Ф3'!AU13+'1-Ф3'!AU14+'1-Ф3'!AU15)/Исх!$C$19-'2-ф2'!AU8</f>
        <v>87954.93642857135</v>
      </c>
    </row>
    <row r="10" spans="1:47" ht="15" customHeight="1">
      <c r="A10" s="130" t="s">
        <v>119</v>
      </c>
      <c r="B10" s="126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>
        <f>O10</f>
        <v>0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>
        <f>AB10</f>
        <v>0</v>
      </c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>
        <f>AO10</f>
        <v>0</v>
      </c>
      <c r="AQ10" s="131"/>
      <c r="AR10" s="131"/>
      <c r="AS10" s="131"/>
      <c r="AT10" s="131"/>
      <c r="AU10" s="131"/>
    </row>
    <row r="11" spans="1:47" ht="15" customHeight="1">
      <c r="A11" s="125" t="s">
        <v>120</v>
      </c>
      <c r="B11" s="126"/>
      <c r="C11" s="127">
        <f aca="true" t="shared" si="7" ref="C11:AT11">SUM(C12:C14)</f>
        <v>0</v>
      </c>
      <c r="D11" s="127">
        <f t="shared" si="7"/>
        <v>0</v>
      </c>
      <c r="E11" s="127">
        <f t="shared" si="7"/>
        <v>0</v>
      </c>
      <c r="F11" s="127">
        <f t="shared" si="7"/>
        <v>0</v>
      </c>
      <c r="G11" s="127">
        <f t="shared" si="7"/>
        <v>134813.7</v>
      </c>
      <c r="H11" s="127">
        <f t="shared" si="7"/>
        <v>269627.4</v>
      </c>
      <c r="I11" s="127">
        <f t="shared" si="7"/>
        <v>428826.8504</v>
      </c>
      <c r="J11" s="127">
        <f t="shared" si="7"/>
        <v>563640.5504</v>
      </c>
      <c r="K11" s="127">
        <f t="shared" si="7"/>
        <v>722840.0008</v>
      </c>
      <c r="L11" s="127">
        <f t="shared" si="7"/>
        <v>722840.0008</v>
      </c>
      <c r="M11" s="127">
        <f t="shared" si="7"/>
        <v>747225.7512</v>
      </c>
      <c r="N11" s="127">
        <f t="shared" si="7"/>
        <v>749095.3794857142</v>
      </c>
      <c r="O11" s="127">
        <f t="shared" si="7"/>
        <v>1377642.1340571428</v>
      </c>
      <c r="P11" s="127">
        <f t="shared" si="7"/>
        <v>1377642.1340571428</v>
      </c>
      <c r="Q11" s="127">
        <f t="shared" si="7"/>
        <v>1368663.1847510203</v>
      </c>
      <c r="R11" s="127">
        <f t="shared" si="7"/>
        <v>1358960.5619755099</v>
      </c>
      <c r="S11" s="127">
        <f t="shared" si="7"/>
        <v>1348534.2657306117</v>
      </c>
      <c r="T11" s="127">
        <f t="shared" si="7"/>
        <v>1337039.2025877545</v>
      </c>
      <c r="U11" s="127">
        <f t="shared" si="7"/>
        <v>1324730.0067918361</v>
      </c>
      <c r="V11" s="127">
        <f t="shared" si="7"/>
        <v>1312420.8109959175</v>
      </c>
      <c r="W11" s="127">
        <f t="shared" si="7"/>
        <v>1299240.5099755093</v>
      </c>
      <c r="X11" s="127">
        <f t="shared" si="7"/>
        <v>1286060.208955101</v>
      </c>
      <c r="Y11" s="127">
        <f t="shared" si="7"/>
        <v>1271884.8569142846</v>
      </c>
      <c r="Z11" s="127">
        <f t="shared" si="7"/>
        <v>1256657.4812816314</v>
      </c>
      <c r="AA11" s="127">
        <f t="shared" si="7"/>
        <v>1240254.1362612231</v>
      </c>
      <c r="AB11" s="127">
        <f t="shared" si="7"/>
        <v>1223850.7912408148</v>
      </c>
      <c r="AC11" s="127">
        <f t="shared" si="7"/>
        <v>1223850.7912408148</v>
      </c>
      <c r="AD11" s="127">
        <f aca="true" t="shared" si="8" ref="AD11:AP11">SUM(AD12:AD14)</f>
        <v>1206839.2038122434</v>
      </c>
      <c r="AE11" s="127">
        <f t="shared" si="8"/>
        <v>1189827.6163836718</v>
      </c>
      <c r="AF11" s="127">
        <f t="shared" si="8"/>
        <v>1172816.0289551003</v>
      </c>
      <c r="AG11" s="127">
        <f t="shared" si="8"/>
        <v>1155804.4415265287</v>
      </c>
      <c r="AH11" s="127">
        <f t="shared" si="8"/>
        <v>1138792.8540979573</v>
      </c>
      <c r="AI11" s="127">
        <f t="shared" si="8"/>
        <v>1121781.2666693856</v>
      </c>
      <c r="AJ11" s="127">
        <f t="shared" si="8"/>
        <v>1104153.2082612223</v>
      </c>
      <c r="AK11" s="127">
        <f t="shared" si="8"/>
        <v>1086525.1498530589</v>
      </c>
      <c r="AL11" s="127">
        <f t="shared" si="8"/>
        <v>1068897.0914448956</v>
      </c>
      <c r="AM11" s="127">
        <f t="shared" si="8"/>
        <v>1050652.5620571405</v>
      </c>
      <c r="AN11" s="127">
        <f t="shared" si="8"/>
        <v>1032408.0326693854</v>
      </c>
      <c r="AO11" s="127">
        <f t="shared" si="8"/>
        <v>1021779.8215714262</v>
      </c>
      <c r="AP11" s="127">
        <f t="shared" si="8"/>
        <v>1021779.8215714262</v>
      </c>
      <c r="AQ11" s="127">
        <f t="shared" si="7"/>
        <v>919134.2969999977</v>
      </c>
      <c r="AR11" s="127">
        <f t="shared" si="7"/>
        <v>816488.7724285692</v>
      </c>
      <c r="AS11" s="127">
        <f t="shared" si="7"/>
        <v>713843.2478571406</v>
      </c>
      <c r="AT11" s="127">
        <f t="shared" si="7"/>
        <v>611197.7232857121</v>
      </c>
      <c r="AU11" s="127">
        <f>SUM(AU12:AU14)</f>
        <v>508552.1987142835</v>
      </c>
    </row>
    <row r="12" spans="1:47" ht="12.75">
      <c r="A12" s="130" t="s">
        <v>121</v>
      </c>
      <c r="B12" s="132"/>
      <c r="C12" s="131"/>
      <c r="D12" s="131">
        <f>C12+'1-Ф3'!D23/Исх!$C$19-'2-ф2'!D13</f>
        <v>0</v>
      </c>
      <c r="E12" s="131">
        <f>D12+'1-Ф3'!E23/Исх!$C$19-'2-ф2'!E13</f>
        <v>0</v>
      </c>
      <c r="F12" s="131">
        <f>E12+'1-Ф3'!F23/Исх!$C$19-'2-ф2'!F13</f>
        <v>0</v>
      </c>
      <c r="G12" s="131"/>
      <c r="H12" s="131"/>
      <c r="I12" s="131"/>
      <c r="J12" s="131"/>
      <c r="K12" s="131"/>
      <c r="L12" s="131"/>
      <c r="M12" s="131"/>
      <c r="N12" s="131"/>
      <c r="O12" s="131">
        <f>Инв!P26</f>
        <v>1227070.8707142856</v>
      </c>
      <c r="P12" s="131">
        <f>O12</f>
        <v>1227070.8707142856</v>
      </c>
      <c r="Q12" s="131">
        <f>P12-'2-ф2'!Q13</f>
        <v>1218517.0769999998</v>
      </c>
      <c r="R12" s="131">
        <f>Q12-'2-ф2'!R13</f>
        <v>1209963.283285714</v>
      </c>
      <c r="S12" s="131">
        <f>R12-'2-ф2'!S13</f>
        <v>1201409.4895714282</v>
      </c>
      <c r="T12" s="131">
        <f>S12-'2-ф2'!T13</f>
        <v>1192855.6958571423</v>
      </c>
      <c r="U12" s="131">
        <f>T12-'2-ф2'!U13</f>
        <v>1184301.9021428565</v>
      </c>
      <c r="V12" s="131">
        <f>U12-'2-ф2'!V13</f>
        <v>1175748.1084285707</v>
      </c>
      <c r="W12" s="131">
        <f>V12-'2-ф2'!W13</f>
        <v>1167194.3147142848</v>
      </c>
      <c r="X12" s="131">
        <f>W12-'2-ф2'!X13</f>
        <v>1158640.520999999</v>
      </c>
      <c r="Y12" s="131">
        <f>X12-'2-ф2'!Y13</f>
        <v>1150086.7272857132</v>
      </c>
      <c r="Z12" s="131">
        <f>Y12-'2-ф2'!Z13</f>
        <v>1141532.9335714274</v>
      </c>
      <c r="AA12" s="131">
        <f>Z12-'2-ф2'!AA13</f>
        <v>1132979.1398571415</v>
      </c>
      <c r="AB12" s="131">
        <f>AA12-'2-ф2'!AB13</f>
        <v>1124425.3461428557</v>
      </c>
      <c r="AC12" s="131">
        <f>AB12</f>
        <v>1124425.3461428557</v>
      </c>
      <c r="AD12" s="131">
        <f>AC12-'2-ф2'!AD13</f>
        <v>1115871.5524285699</v>
      </c>
      <c r="AE12" s="131">
        <f>AD12-'2-ф2'!AE13</f>
        <v>1107317.758714284</v>
      </c>
      <c r="AF12" s="131">
        <f>AE12-'2-ф2'!AF13</f>
        <v>1098763.9649999982</v>
      </c>
      <c r="AG12" s="131">
        <f>AF12-'2-ф2'!AG13</f>
        <v>1090210.1712857124</v>
      </c>
      <c r="AH12" s="131">
        <f>AG12-'2-ф2'!AH13</f>
        <v>1081656.3775714266</v>
      </c>
      <c r="AI12" s="131">
        <f>AH12-'2-ф2'!AI13</f>
        <v>1073102.5838571407</v>
      </c>
      <c r="AJ12" s="131">
        <f>AI12-'2-ф2'!AJ13</f>
        <v>1064548.790142855</v>
      </c>
      <c r="AK12" s="131">
        <f>AJ12-'2-ф2'!AK13</f>
        <v>1055994.996428569</v>
      </c>
      <c r="AL12" s="131">
        <f>AK12-'2-ф2'!AL13</f>
        <v>1047441.2027142834</v>
      </c>
      <c r="AM12" s="131">
        <f>AL12-'2-ф2'!AM13</f>
        <v>1038887.4089999977</v>
      </c>
      <c r="AN12" s="131">
        <f>AM12-'2-ф2'!AN13</f>
        <v>1030333.615285712</v>
      </c>
      <c r="AO12" s="131">
        <f>AN12-'2-ф2'!AO13</f>
        <v>1021779.8215714262</v>
      </c>
      <c r="AP12" s="131">
        <f>AO12</f>
        <v>1021779.8215714262</v>
      </c>
      <c r="AQ12" s="131">
        <f>AP12-'2-ф2'!AQ13</f>
        <v>919134.2969999977</v>
      </c>
      <c r="AR12" s="131">
        <f>AQ12-'2-ф2'!AR13</f>
        <v>816488.7724285692</v>
      </c>
      <c r="AS12" s="131">
        <f>AR12-'2-ф2'!AS13</f>
        <v>713843.2478571406</v>
      </c>
      <c r="AT12" s="131">
        <f>AS12-'2-ф2'!AT13</f>
        <v>611197.7232857121</v>
      </c>
      <c r="AU12" s="131">
        <f>AT12-'2-ф2'!AU13</f>
        <v>508552.1987142835</v>
      </c>
    </row>
    <row r="13" spans="1:47" ht="12.75">
      <c r="A13" s="130" t="s">
        <v>248</v>
      </c>
      <c r="B13" s="132"/>
      <c r="C13" s="131"/>
      <c r="D13" s="131">
        <f>C13</f>
        <v>0</v>
      </c>
      <c r="E13" s="131">
        <f>D13</f>
        <v>0</v>
      </c>
      <c r="F13" s="131">
        <f>E13</f>
        <v>0</v>
      </c>
      <c r="G13" s="131">
        <f>Инв!H23/Исх!$C$19</f>
        <v>120369.375</v>
      </c>
      <c r="H13" s="131">
        <f>Инв!I23/Исх!$C$19</f>
        <v>240738.75</v>
      </c>
      <c r="I13" s="131">
        <f>Инв!J23/Исх!$C$19</f>
        <v>361108.125</v>
      </c>
      <c r="J13" s="131">
        <f>Инв!K23/Исх!$C$19</f>
        <v>481477.5</v>
      </c>
      <c r="K13" s="131">
        <f>Инв!L23/Исх!$C$19</f>
        <v>601846.875</v>
      </c>
      <c r="L13" s="131">
        <f>Инв!M23/Исх!$C$19</f>
        <v>601846.875</v>
      </c>
      <c r="M13" s="131">
        <f>Инв!N23/Исх!$C$19</f>
        <v>601846.875</v>
      </c>
      <c r="N13" s="131">
        <f>Инв!O23/Исх!$C$19</f>
        <v>601846.875</v>
      </c>
      <c r="O13" s="131">
        <f>Инв!P23/Исх!$C$19</f>
        <v>0</v>
      </c>
      <c r="P13" s="131">
        <f>O13</f>
        <v>0</v>
      </c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>
        <f>AB13</f>
        <v>0</v>
      </c>
      <c r="AD13" s="131"/>
      <c r="AE13" s="131">
        <f aca="true" t="shared" si="9" ref="AE13:AO13">AD13</f>
        <v>0</v>
      </c>
      <c r="AF13" s="131">
        <f t="shared" si="9"/>
        <v>0</v>
      </c>
      <c r="AG13" s="131">
        <f t="shared" si="9"/>
        <v>0</v>
      </c>
      <c r="AH13" s="131">
        <f t="shared" si="9"/>
        <v>0</v>
      </c>
      <c r="AI13" s="131">
        <f t="shared" si="9"/>
        <v>0</v>
      </c>
      <c r="AJ13" s="131">
        <f t="shared" si="9"/>
        <v>0</v>
      </c>
      <c r="AK13" s="131">
        <f t="shared" si="9"/>
        <v>0</v>
      </c>
      <c r="AL13" s="131">
        <f t="shared" si="9"/>
        <v>0</v>
      </c>
      <c r="AM13" s="131">
        <f t="shared" si="9"/>
        <v>0</v>
      </c>
      <c r="AN13" s="131">
        <f t="shared" si="9"/>
        <v>0</v>
      </c>
      <c r="AO13" s="131">
        <f t="shared" si="9"/>
        <v>0</v>
      </c>
      <c r="AP13" s="131">
        <f>AO13</f>
        <v>0</v>
      </c>
      <c r="AQ13" s="131">
        <f>AP13</f>
        <v>0</v>
      </c>
      <c r="AR13" s="131">
        <f>AQ13</f>
        <v>0</v>
      </c>
      <c r="AS13" s="131">
        <f>AR13</f>
        <v>0</v>
      </c>
      <c r="AT13" s="131">
        <f>AS13</f>
        <v>0</v>
      </c>
      <c r="AU13" s="131">
        <f>AT13</f>
        <v>0</v>
      </c>
    </row>
    <row r="14" spans="1:47" ht="12.75">
      <c r="A14" s="130" t="s">
        <v>122</v>
      </c>
      <c r="B14" s="132"/>
      <c r="C14" s="131"/>
      <c r="D14" s="131">
        <f>IF('2-ф2'!D28&lt;0,-'2-ф2'!D28,0)</f>
        <v>0</v>
      </c>
      <c r="E14" s="131">
        <f>IF('2-ф2'!E28&lt;0,-'2-ф2'!E28,0)</f>
        <v>0</v>
      </c>
      <c r="F14" s="131">
        <f>IF('2-ф2'!F28&lt;0,-'2-ф2'!F28,0)</f>
        <v>0</v>
      </c>
      <c r="G14" s="131">
        <f>IF('2-ф2'!G28&lt;0,-'2-ф2'!G28,0)</f>
        <v>14444.324999999999</v>
      </c>
      <c r="H14" s="131">
        <f>IF('2-ф2'!H28&lt;0,-'2-ф2'!H28,0)</f>
        <v>28888.649999999998</v>
      </c>
      <c r="I14" s="131">
        <f>IF('2-ф2'!I28&lt;0,-'2-ф2'!I28,0)</f>
        <v>67718.7254</v>
      </c>
      <c r="J14" s="131">
        <f>IF('2-ф2'!J28&lt;0,-'2-ф2'!J28,0)</f>
        <v>82163.0504</v>
      </c>
      <c r="K14" s="131">
        <f>IF('2-ф2'!K28&lt;0,-'2-ф2'!K28,0)</f>
        <v>120993.1258</v>
      </c>
      <c r="L14" s="131">
        <f>IF('2-ф2'!L28&lt;0,-'2-ф2'!L28,0)</f>
        <v>120993.1258</v>
      </c>
      <c r="M14" s="131">
        <f>IF('2-ф2'!M28&lt;0,-'2-ф2'!M28,0)</f>
        <v>145378.8762</v>
      </c>
      <c r="N14" s="131">
        <f>IF('2-ф2'!N28&lt;0,-'2-ф2'!N28,0)</f>
        <v>147248.50448571428</v>
      </c>
      <c r="O14" s="131">
        <f>IF('2-ф2'!O28&lt;0,-'2-ф2'!O28,0)</f>
        <v>150571.26334285713</v>
      </c>
      <c r="P14" s="131">
        <f>O14</f>
        <v>150571.26334285713</v>
      </c>
      <c r="Q14" s="131">
        <f>IF('2-ф2'!Q28&lt;0,-'2-ф2'!Q28,0)</f>
        <v>150146.1077510204</v>
      </c>
      <c r="R14" s="131">
        <f>IF('2-ф2'!R28&lt;0,-'2-ф2'!R28,0)</f>
        <v>148997.27868979593</v>
      </c>
      <c r="S14" s="131">
        <f>IF('2-ф2'!S28&lt;0,-'2-ф2'!S28,0)</f>
        <v>147124.77615918368</v>
      </c>
      <c r="T14" s="131">
        <f>IF('2-ф2'!T28&lt;0,-'2-ф2'!T28,0)</f>
        <v>144183.50673061225</v>
      </c>
      <c r="U14" s="131">
        <f>IF('2-ф2'!U28&lt;0,-'2-ф2'!U28,0)</f>
        <v>140428.10464897958</v>
      </c>
      <c r="V14" s="131">
        <f>IF('2-ф2'!V28&lt;0,-'2-ф2'!V28,0)</f>
        <v>136672.70256734692</v>
      </c>
      <c r="W14" s="131">
        <f>IF('2-ф2'!W28&lt;0,-'2-ф2'!W28,0)</f>
        <v>132046.19526122446</v>
      </c>
      <c r="X14" s="131">
        <f>IF('2-ф2'!X28&lt;0,-'2-ф2'!X28,0)</f>
        <v>127419.68795510201</v>
      </c>
      <c r="Y14" s="131">
        <f>IF('2-ф2'!Y28&lt;0,-'2-ф2'!Y28,0)</f>
        <v>121798.1296285714</v>
      </c>
      <c r="Z14" s="131">
        <f>IF('2-ф2'!Z28&lt;0,-'2-ф2'!Z28,0)</f>
        <v>115124.54771020406</v>
      </c>
      <c r="AA14" s="131">
        <f>IF('2-ф2'!AA28&lt;0,-'2-ф2'!AA28,0)</f>
        <v>107274.99640408161</v>
      </c>
      <c r="AB14" s="131">
        <f>IF('2-ф2'!AB28&lt;0,-'2-ф2'!AB28,0)</f>
        <v>99425.44509795916</v>
      </c>
      <c r="AC14" s="131">
        <f>AB14</f>
        <v>99425.44509795916</v>
      </c>
      <c r="AD14" s="131">
        <f>IF('2-ф2'!AD28&lt;0,-'2-ф2'!AD28,0)</f>
        <v>90967.65138367345</v>
      </c>
      <c r="AE14" s="131">
        <f>IF('2-ф2'!AE28&lt;0,-'2-ф2'!AE28,0)</f>
        <v>82509.85766938774</v>
      </c>
      <c r="AF14" s="131">
        <f>IF('2-ф2'!AF28&lt;0,-'2-ф2'!AF28,0)</f>
        <v>74052.06395510203</v>
      </c>
      <c r="AG14" s="131">
        <f>IF('2-ф2'!AG28&lt;0,-'2-ф2'!AG28,0)</f>
        <v>65594.27024081632</v>
      </c>
      <c r="AH14" s="131">
        <f>IF('2-ф2'!AH28&lt;0,-'2-ф2'!AH28,0)</f>
        <v>57136.476526530605</v>
      </c>
      <c r="AI14" s="131">
        <f>IF('2-ф2'!AI28&lt;0,-'2-ф2'!AI28,0)</f>
        <v>48678.68281224489</v>
      </c>
      <c r="AJ14" s="131">
        <f>IF('2-ф2'!AJ28&lt;0,-'2-ф2'!AJ28,0)</f>
        <v>39604.41811836735</v>
      </c>
      <c r="AK14" s="131">
        <f>IF('2-ф2'!AK28&lt;0,-'2-ф2'!AK28,0)</f>
        <v>30530.153424489803</v>
      </c>
      <c r="AL14" s="131">
        <f>IF('2-ф2'!AL28&lt;0,-'2-ф2'!AL28,0)</f>
        <v>21455.888730612256</v>
      </c>
      <c r="AM14" s="131">
        <f>IF('2-ф2'!AM28&lt;0,-'2-ф2'!AM28,0)</f>
        <v>11765.153057142872</v>
      </c>
      <c r="AN14" s="131">
        <f>IF('2-ф2'!AN28&lt;0,-'2-ф2'!AN28,0)</f>
        <v>2074.417383673488</v>
      </c>
      <c r="AO14" s="131">
        <f>IF('2-ф2'!AO28&lt;0,-'2-ф2'!AO28,0)</f>
        <v>0</v>
      </c>
      <c r="AP14" s="131">
        <f>AO14</f>
        <v>0</v>
      </c>
      <c r="AQ14" s="131">
        <f>IF('2-ф2'!AQ28&lt;0,-'2-ф2'!AQ28,0)</f>
        <v>0</v>
      </c>
      <c r="AR14" s="131">
        <f>IF('2-ф2'!AR28&lt;0,-'2-ф2'!AR28,0)</f>
        <v>0</v>
      </c>
      <c r="AS14" s="131">
        <f>IF('2-ф2'!AS28&lt;0,-'2-ф2'!AS28,0)</f>
        <v>0</v>
      </c>
      <c r="AT14" s="131">
        <f>IF('2-ф2'!AT28&lt;0,-'2-ф2'!AT28,0)</f>
        <v>0</v>
      </c>
      <c r="AU14" s="131">
        <f>IF('2-ф2'!AU28&lt;0,-'2-ф2'!AU28,0)</f>
        <v>0</v>
      </c>
    </row>
    <row r="15" spans="1:196" ht="12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</row>
    <row r="16" spans="1:54" s="129" customFormat="1" ht="15" customHeight="1">
      <c r="A16" s="125" t="s">
        <v>123</v>
      </c>
      <c r="B16" s="126"/>
      <c r="C16" s="126">
        <f aca="true" t="shared" si="10" ref="C16:AT16">C21+C24+C17</f>
        <v>0</v>
      </c>
      <c r="D16" s="126">
        <f t="shared" si="10"/>
        <v>0</v>
      </c>
      <c r="E16" s="126">
        <f t="shared" si="10"/>
        <v>0</v>
      </c>
      <c r="F16" s="126">
        <f t="shared" si="10"/>
        <v>0</v>
      </c>
      <c r="G16" s="126">
        <f t="shared" si="10"/>
        <v>134813.7</v>
      </c>
      <c r="H16" s="126">
        <f t="shared" si="10"/>
        <v>269627.4000000001</v>
      </c>
      <c r="I16" s="126">
        <f t="shared" si="10"/>
        <v>632041.4370666667</v>
      </c>
      <c r="J16" s="126">
        <f t="shared" si="10"/>
        <v>766855.1370666667</v>
      </c>
      <c r="K16" s="126">
        <f t="shared" si="10"/>
        <v>1129269.1741333336</v>
      </c>
      <c r="L16" s="126">
        <f t="shared" si="10"/>
        <v>1129269.1741333336</v>
      </c>
      <c r="M16" s="126">
        <f t="shared" si="10"/>
        <v>1356869.5112</v>
      </c>
      <c r="N16" s="126">
        <f t="shared" si="10"/>
        <v>1374319.3752000001</v>
      </c>
      <c r="O16" s="126">
        <f t="shared" si="10"/>
        <v>1455331.7912</v>
      </c>
      <c r="P16" s="126">
        <f t="shared" si="10"/>
        <v>1455331.7912</v>
      </c>
      <c r="Q16" s="126">
        <f t="shared" si="10"/>
        <v>1435965.925925476</v>
      </c>
      <c r="R16" s="126">
        <f t="shared" si="10"/>
        <v>1420709.8671815642</v>
      </c>
      <c r="S16" s="126">
        <f t="shared" si="10"/>
        <v>1409563.6149682645</v>
      </c>
      <c r="T16" s="126">
        <f t="shared" si="10"/>
        <v>1406123.2499998629</v>
      </c>
      <c r="U16" s="126">
        <f t="shared" si="10"/>
        <v>1407306.4173784</v>
      </c>
      <c r="V16" s="126">
        <f t="shared" si="10"/>
        <v>1407240.8256686465</v>
      </c>
      <c r="W16" s="126">
        <f t="shared" si="10"/>
        <v>1411811.437103737</v>
      </c>
      <c r="X16" s="126">
        <f t="shared" si="10"/>
        <v>1416364.8307968134</v>
      </c>
      <c r="Y16" s="126">
        <f t="shared" si="10"/>
        <v>1425421.6934947204</v>
      </c>
      <c r="Z16" s="126">
        <f t="shared" si="10"/>
        <v>1441858.7887461772</v>
      </c>
      <c r="AA16" s="126">
        <f t="shared" si="10"/>
        <v>1463621.1116738683</v>
      </c>
      <c r="AB16" s="126">
        <f t="shared" si="10"/>
        <v>1485365.811583252</v>
      </c>
      <c r="AC16" s="126">
        <f t="shared" si="10"/>
        <v>1485365.811583252</v>
      </c>
      <c r="AD16" s="126">
        <f aca="true" t="shared" si="11" ref="AD16:AP16">AD21+AD24+AD17</f>
        <v>1511048.3293421431</v>
      </c>
      <c r="AE16" s="126">
        <f t="shared" si="11"/>
        <v>1536713.0178811748</v>
      </c>
      <c r="AF16" s="126">
        <f t="shared" si="11"/>
        <v>1562359.773196564</v>
      </c>
      <c r="AG16" s="126">
        <f t="shared" si="11"/>
        <v>1587988.4906778398</v>
      </c>
      <c r="AH16" s="126">
        <f t="shared" si="11"/>
        <v>1613599.0651043032</v>
      </c>
      <c r="AI16" s="126">
        <f t="shared" si="11"/>
        <v>1639191.3906414676</v>
      </c>
      <c r="AJ16" s="126">
        <f t="shared" si="11"/>
        <v>1668875.1673680907</v>
      </c>
      <c r="AK16" s="126">
        <f t="shared" si="11"/>
        <v>1698540.4816807378</v>
      </c>
      <c r="AL16" s="126">
        <f t="shared" si="11"/>
        <v>1728187.225881993</v>
      </c>
      <c r="AM16" s="126">
        <f t="shared" si="11"/>
        <v>1761925.0981768197</v>
      </c>
      <c r="AN16" s="126">
        <f t="shared" si="11"/>
        <v>1795644.1830770555</v>
      </c>
      <c r="AO16" s="126">
        <f t="shared" si="11"/>
        <v>1829344.3709895657</v>
      </c>
      <c r="AP16" s="126">
        <f t="shared" si="11"/>
        <v>1829344.3709895657</v>
      </c>
      <c r="AQ16" s="126">
        <f t="shared" si="10"/>
        <v>2230264.0991176423</v>
      </c>
      <c r="AR16" s="126">
        <f t="shared" si="10"/>
        <v>2675475.1726031546</v>
      </c>
      <c r="AS16" s="126">
        <f t="shared" si="10"/>
        <v>3164636.75537299</v>
      </c>
      <c r="AT16" s="126">
        <f t="shared" si="10"/>
        <v>3697386.238486452</v>
      </c>
      <c r="AU16" s="126">
        <f>AU21+AU24+AU17</f>
        <v>4535011.832165644</v>
      </c>
      <c r="AV16" s="128"/>
      <c r="AW16" s="128"/>
      <c r="AX16" s="128"/>
      <c r="AY16" s="128"/>
      <c r="AZ16" s="128"/>
      <c r="BA16" s="128"/>
      <c r="BB16" s="128"/>
    </row>
    <row r="17" spans="1:47" ht="15" customHeight="1">
      <c r="A17" s="125" t="s">
        <v>124</v>
      </c>
      <c r="B17" s="126"/>
      <c r="C17" s="126">
        <f aca="true" t="shared" si="12" ref="C17:AT17">SUM(C18:C20)</f>
        <v>0</v>
      </c>
      <c r="D17" s="126">
        <f t="shared" si="12"/>
        <v>0</v>
      </c>
      <c r="E17" s="126">
        <f t="shared" si="12"/>
        <v>0</v>
      </c>
      <c r="F17" s="126">
        <f t="shared" si="12"/>
        <v>0</v>
      </c>
      <c r="G17" s="126">
        <f t="shared" si="12"/>
        <v>0</v>
      </c>
      <c r="H17" s="126">
        <f t="shared" si="12"/>
        <v>668.4512625000001</v>
      </c>
      <c r="I17" s="126">
        <f t="shared" si="12"/>
        <v>2005.3537875000002</v>
      </c>
      <c r="J17" s="126">
        <f t="shared" si="12"/>
        <v>5139.225912955557</v>
      </c>
      <c r="K17" s="126">
        <f t="shared" si="12"/>
        <v>8941.549300911114</v>
      </c>
      <c r="L17" s="126">
        <f t="shared" si="12"/>
        <v>14540.842289322227</v>
      </c>
      <c r="M17" s="126">
        <f t="shared" si="12"/>
        <v>20140.135277733338</v>
      </c>
      <c r="N17" s="126">
        <f t="shared" si="12"/>
        <v>26867.946604100005</v>
      </c>
      <c r="O17" s="126">
        <f t="shared" si="12"/>
        <v>0</v>
      </c>
      <c r="P17" s="126">
        <f t="shared" si="12"/>
        <v>0</v>
      </c>
      <c r="Q17" s="126">
        <f t="shared" si="12"/>
        <v>0</v>
      </c>
      <c r="R17" s="126">
        <f t="shared" si="12"/>
        <v>0</v>
      </c>
      <c r="S17" s="126">
        <f t="shared" si="12"/>
        <v>0</v>
      </c>
      <c r="T17" s="126">
        <f t="shared" si="12"/>
        <v>0</v>
      </c>
      <c r="U17" s="126">
        <f t="shared" si="12"/>
        <v>0</v>
      </c>
      <c r="V17" s="126">
        <f t="shared" si="12"/>
        <v>0</v>
      </c>
      <c r="W17" s="126">
        <f t="shared" si="12"/>
        <v>0</v>
      </c>
      <c r="X17" s="126">
        <f t="shared" si="12"/>
        <v>0</v>
      </c>
      <c r="Y17" s="126">
        <f t="shared" si="12"/>
        <v>0</v>
      </c>
      <c r="Z17" s="126">
        <f t="shared" si="12"/>
        <v>0</v>
      </c>
      <c r="AA17" s="126">
        <f t="shared" si="12"/>
        <v>0</v>
      </c>
      <c r="AB17" s="126">
        <f t="shared" si="12"/>
        <v>0</v>
      </c>
      <c r="AC17" s="126">
        <f t="shared" si="12"/>
        <v>0</v>
      </c>
      <c r="AD17" s="126">
        <f aca="true" t="shared" si="13" ref="AD17:AP17">SUM(AD18:AD20)</f>
        <v>0</v>
      </c>
      <c r="AE17" s="126">
        <f t="shared" si="13"/>
        <v>0</v>
      </c>
      <c r="AF17" s="126">
        <f t="shared" si="13"/>
        <v>0</v>
      </c>
      <c r="AG17" s="126">
        <f t="shared" si="13"/>
        <v>0</v>
      </c>
      <c r="AH17" s="126">
        <f t="shared" si="13"/>
        <v>0</v>
      </c>
      <c r="AI17" s="126">
        <f t="shared" si="13"/>
        <v>0</v>
      </c>
      <c r="AJ17" s="126">
        <f t="shared" si="13"/>
        <v>0</v>
      </c>
      <c r="AK17" s="126">
        <f t="shared" si="13"/>
        <v>0</v>
      </c>
      <c r="AL17" s="126">
        <f t="shared" si="13"/>
        <v>0</v>
      </c>
      <c r="AM17" s="126">
        <f t="shared" si="13"/>
        <v>0</v>
      </c>
      <c r="AN17" s="126">
        <f t="shared" si="13"/>
        <v>0</v>
      </c>
      <c r="AO17" s="126">
        <f t="shared" si="13"/>
        <v>0</v>
      </c>
      <c r="AP17" s="126">
        <f t="shared" si="13"/>
        <v>0</v>
      </c>
      <c r="AQ17" s="126">
        <f t="shared" si="12"/>
        <v>0</v>
      </c>
      <c r="AR17" s="126">
        <f t="shared" si="12"/>
        <v>0</v>
      </c>
      <c r="AS17" s="126">
        <f t="shared" si="12"/>
        <v>0</v>
      </c>
      <c r="AT17" s="126">
        <f t="shared" si="12"/>
        <v>0</v>
      </c>
      <c r="AU17" s="126">
        <f>SUM(AU18:AU20)</f>
        <v>0</v>
      </c>
    </row>
    <row r="18" spans="1:47" ht="12.75" hidden="1">
      <c r="A18" s="130" t="s">
        <v>125</v>
      </c>
      <c r="B18" s="132"/>
      <c r="C18" s="132"/>
      <c r="D18" s="132">
        <f>C18</f>
        <v>0</v>
      </c>
      <c r="E18" s="132">
        <f>D18</f>
        <v>0</v>
      </c>
      <c r="F18" s="132">
        <f aca="true" t="shared" si="14" ref="F18:O18">E18</f>
        <v>0</v>
      </c>
      <c r="G18" s="132">
        <f t="shared" si="14"/>
        <v>0</v>
      </c>
      <c r="H18" s="132">
        <f t="shared" si="14"/>
        <v>0</v>
      </c>
      <c r="I18" s="132">
        <f t="shared" si="14"/>
        <v>0</v>
      </c>
      <c r="J18" s="132">
        <f t="shared" si="14"/>
        <v>0</v>
      </c>
      <c r="K18" s="132">
        <f t="shared" si="14"/>
        <v>0</v>
      </c>
      <c r="L18" s="132">
        <f t="shared" si="14"/>
        <v>0</v>
      </c>
      <c r="M18" s="132">
        <f t="shared" si="14"/>
        <v>0</v>
      </c>
      <c r="N18" s="132">
        <f t="shared" si="14"/>
        <v>0</v>
      </c>
      <c r="O18" s="132">
        <f t="shared" si="14"/>
        <v>0</v>
      </c>
      <c r="P18" s="132">
        <f>O18</f>
        <v>0</v>
      </c>
      <c r="Q18" s="132">
        <f>P18</f>
        <v>0</v>
      </c>
      <c r="R18" s="132">
        <f>Q18</f>
        <v>0</v>
      </c>
      <c r="S18" s="132">
        <f>R18</f>
        <v>0</v>
      </c>
      <c r="T18" s="132">
        <f>S18</f>
        <v>0</v>
      </c>
      <c r="U18" s="132">
        <f aca="true" t="shared" si="15" ref="U18:AR18">T18</f>
        <v>0</v>
      </c>
      <c r="V18" s="132">
        <f t="shared" si="15"/>
        <v>0</v>
      </c>
      <c r="W18" s="132">
        <f t="shared" si="15"/>
        <v>0</v>
      </c>
      <c r="X18" s="132">
        <f t="shared" si="15"/>
        <v>0</v>
      </c>
      <c r="Y18" s="132">
        <f t="shared" si="15"/>
        <v>0</v>
      </c>
      <c r="Z18" s="132">
        <f t="shared" si="15"/>
        <v>0</v>
      </c>
      <c r="AA18" s="132">
        <f t="shared" si="15"/>
        <v>0</v>
      </c>
      <c r="AB18" s="132">
        <f t="shared" si="15"/>
        <v>0</v>
      </c>
      <c r="AC18" s="132">
        <f t="shared" si="15"/>
        <v>0</v>
      </c>
      <c r="AD18" s="132">
        <f aca="true" t="shared" si="16" ref="AD18:AO18">AC18</f>
        <v>0</v>
      </c>
      <c r="AE18" s="132">
        <f t="shared" si="16"/>
        <v>0</v>
      </c>
      <c r="AF18" s="132">
        <f t="shared" si="16"/>
        <v>0</v>
      </c>
      <c r="AG18" s="132">
        <f t="shared" si="16"/>
        <v>0</v>
      </c>
      <c r="AH18" s="132">
        <f t="shared" si="16"/>
        <v>0</v>
      </c>
      <c r="AI18" s="132">
        <f t="shared" si="16"/>
        <v>0</v>
      </c>
      <c r="AJ18" s="132">
        <f t="shared" si="16"/>
        <v>0</v>
      </c>
      <c r="AK18" s="132">
        <f t="shared" si="16"/>
        <v>0</v>
      </c>
      <c r="AL18" s="132">
        <f t="shared" si="16"/>
        <v>0</v>
      </c>
      <c r="AM18" s="132">
        <f t="shared" si="16"/>
        <v>0</v>
      </c>
      <c r="AN18" s="132">
        <f t="shared" si="16"/>
        <v>0</v>
      </c>
      <c r="AO18" s="132">
        <f t="shared" si="16"/>
        <v>0</v>
      </c>
      <c r="AP18" s="132">
        <f t="shared" si="15"/>
        <v>0</v>
      </c>
      <c r="AQ18" s="132">
        <f t="shared" si="15"/>
        <v>0</v>
      </c>
      <c r="AR18" s="132">
        <f t="shared" si="15"/>
        <v>0</v>
      </c>
      <c r="AS18" s="132">
        <f>AR18</f>
        <v>0</v>
      </c>
      <c r="AT18" s="132">
        <f>AS18</f>
        <v>0</v>
      </c>
      <c r="AU18" s="132">
        <f>AT18</f>
        <v>0</v>
      </c>
    </row>
    <row r="19" spans="1:48" ht="25.5">
      <c r="A19" s="130" t="s">
        <v>126</v>
      </c>
      <c r="B19" s="132"/>
      <c r="C19" s="132"/>
      <c r="D19" s="132">
        <f>C19+'2-ф2'!D14-'1-Ф3'!D17-кр!C23</f>
        <v>0</v>
      </c>
      <c r="E19" s="132">
        <f>D19+'2-ф2'!E14-'1-Ф3'!E17-кр!D23</f>
        <v>0</v>
      </c>
      <c r="F19" s="132">
        <f>E19+'2-ф2'!F14-'1-Ф3'!F17-кр!E23</f>
        <v>0</v>
      </c>
      <c r="G19" s="132">
        <f>F19+'2-ф2'!G14-'1-Ф3'!G17-кр!F23</f>
        <v>0</v>
      </c>
      <c r="H19" s="132">
        <f>G19+'2-ф2'!H14-'1-Ф3'!H17-кр!G23</f>
        <v>668.4512625000001</v>
      </c>
      <c r="I19" s="132">
        <f>H19+'2-ф2'!I14-'1-Ф3'!I17-кр!H23</f>
        <v>2005.3537875000002</v>
      </c>
      <c r="J19" s="132">
        <f>I19+'2-ф2'!J14-'1-Ф3'!J17-кр!I23</f>
        <v>5139.225912955557</v>
      </c>
      <c r="K19" s="132">
        <f>J19+'2-ф2'!K14-'1-Ф3'!K17-кр!J23</f>
        <v>8941.549300911114</v>
      </c>
      <c r="L19" s="132">
        <f>K19+'2-ф2'!L14-'1-Ф3'!L17-кр!K23</f>
        <v>14540.842289322227</v>
      </c>
      <c r="M19" s="132">
        <f>L19+'2-ф2'!M14-'1-Ф3'!M17-кр!L23</f>
        <v>20140.135277733338</v>
      </c>
      <c r="N19" s="132">
        <f>M19+'2-ф2'!N14-'1-Ф3'!N17-кр!M23</f>
        <v>26867.946604100005</v>
      </c>
      <c r="O19" s="132">
        <f>N19+'2-ф2'!O14-'1-Ф3'!O17-кр!N23</f>
        <v>0</v>
      </c>
      <c r="P19" s="132">
        <f>O19</f>
        <v>0</v>
      </c>
      <c r="Q19" s="132">
        <f>P19+'2-ф2'!Q14-'1-Ф3'!Q17-кр!P23</f>
        <v>0</v>
      </c>
      <c r="R19" s="132">
        <f>Q19+'2-ф2'!R14-'1-Ф3'!R17-кр!Q23</f>
        <v>0</v>
      </c>
      <c r="S19" s="132">
        <f>R19+'2-ф2'!S14-'1-Ф3'!S17-кр!R23</f>
        <v>0</v>
      </c>
      <c r="T19" s="132">
        <f>S19+'2-ф2'!T14-'1-Ф3'!T17-кр!S23</f>
        <v>0</v>
      </c>
      <c r="U19" s="132">
        <f>T19+'2-ф2'!U14-'1-Ф3'!U17-кр!T23</f>
        <v>0</v>
      </c>
      <c r="V19" s="132">
        <f>U19+'2-ф2'!V14-'1-Ф3'!V17-кр!U23</f>
        <v>0</v>
      </c>
      <c r="W19" s="132">
        <f>V19+'2-ф2'!W14-'1-Ф3'!W17-кр!V23</f>
        <v>0</v>
      </c>
      <c r="X19" s="132">
        <f>W19+'2-ф2'!X14-'1-Ф3'!X17-кр!W23</f>
        <v>0</v>
      </c>
      <c r="Y19" s="132">
        <f>X19+'2-ф2'!Y14-'1-Ф3'!Y17-кр!X23</f>
        <v>0</v>
      </c>
      <c r="Z19" s="132">
        <f>Y19+'2-ф2'!Z14-'1-Ф3'!Z17-кр!Y23</f>
        <v>0</v>
      </c>
      <c r="AA19" s="132">
        <f>Z19+'2-ф2'!AA14-'1-Ф3'!AA17-кр!Z23</f>
        <v>0</v>
      </c>
      <c r="AB19" s="132">
        <f>AA19+'2-ф2'!AB14-'1-Ф3'!AB17-кр!AA23</f>
        <v>0</v>
      </c>
      <c r="AC19" s="132">
        <f>AB19</f>
        <v>0</v>
      </c>
      <c r="AD19" s="132">
        <f>AC19+'2-ф2'!AD14-'1-Ф3'!AD17-кр!AC23</f>
        <v>0</v>
      </c>
      <c r="AE19" s="132">
        <f>AD19+'2-ф2'!AE14-'1-Ф3'!AE17-кр!AD23</f>
        <v>0</v>
      </c>
      <c r="AF19" s="132">
        <f>AE19+'2-ф2'!AF14-'1-Ф3'!AF17-кр!AE23</f>
        <v>0</v>
      </c>
      <c r="AG19" s="132">
        <f>AF19+'2-ф2'!AG14-'1-Ф3'!AG17-кр!AF23</f>
        <v>0</v>
      </c>
      <c r="AH19" s="132">
        <f>AG19+'2-ф2'!AH14-'1-Ф3'!AH17-кр!AG23</f>
        <v>0</v>
      </c>
      <c r="AI19" s="132">
        <f>AH19+'2-ф2'!AI14-'1-Ф3'!AI17-кр!AH23</f>
        <v>0</v>
      </c>
      <c r="AJ19" s="132">
        <f>AI19+'2-ф2'!AJ14-'1-Ф3'!AJ17-кр!AI23</f>
        <v>0</v>
      </c>
      <c r="AK19" s="132">
        <f>AJ19+'2-ф2'!AK14-'1-Ф3'!AK17-кр!AJ23</f>
        <v>0</v>
      </c>
      <c r="AL19" s="132">
        <f>AK19+'2-ф2'!AL14-'1-Ф3'!AL17-кр!AK23</f>
        <v>0</v>
      </c>
      <c r="AM19" s="132">
        <f>AL19+'2-ф2'!AM14-'1-Ф3'!AM17-кр!AL23</f>
        <v>0</v>
      </c>
      <c r="AN19" s="132">
        <f>AM19+'2-ф2'!AN14-'1-Ф3'!AN17-кр!AM23</f>
        <v>0</v>
      </c>
      <c r="AO19" s="132">
        <f>AN19+'2-ф2'!AO14-'1-Ф3'!AO17-кр!AN23</f>
        <v>0</v>
      </c>
      <c r="AP19" s="132">
        <f>AO19</f>
        <v>0</v>
      </c>
      <c r="AQ19" s="132">
        <f>AP19+'2-ф2'!AQ14-'1-Ф3'!AQ17</f>
        <v>0</v>
      </c>
      <c r="AR19" s="132">
        <f>AQ19+'2-ф2'!AR14-'1-Ф3'!AR17</f>
        <v>0</v>
      </c>
      <c r="AS19" s="132">
        <f>AR19+'2-ф2'!AS14-'1-Ф3'!AS17</f>
        <v>0</v>
      </c>
      <c r="AT19" s="132">
        <f>AS19+'2-ф2'!AT14-'1-Ф3'!AT17</f>
        <v>0</v>
      </c>
      <c r="AU19" s="132">
        <f>AT19+'2-ф2'!AU14-'1-Ф3'!AU17</f>
        <v>0</v>
      </c>
      <c r="AV19" s="119"/>
    </row>
    <row r="20" spans="1:47" ht="12.75">
      <c r="A20" s="130" t="s">
        <v>128</v>
      </c>
      <c r="B20" s="132"/>
      <c r="C20" s="132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32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32">
        <f>AB20</f>
        <v>0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32">
        <f>AO20</f>
        <v>0</v>
      </c>
      <c r="AQ20" s="132"/>
      <c r="AR20" s="132"/>
      <c r="AS20" s="132"/>
      <c r="AT20" s="132"/>
      <c r="AU20" s="132"/>
    </row>
    <row r="21" spans="1:47" ht="15" customHeight="1">
      <c r="A21" s="125" t="s">
        <v>129</v>
      </c>
      <c r="B21" s="126"/>
      <c r="C21" s="126">
        <f aca="true" t="shared" si="17" ref="C21:AT21">SUM(C22:C23)</f>
        <v>0</v>
      </c>
      <c r="D21" s="126">
        <f t="shared" si="17"/>
        <v>0</v>
      </c>
      <c r="E21" s="126">
        <f t="shared" si="17"/>
        <v>0</v>
      </c>
      <c r="F21" s="126">
        <f t="shared" si="17"/>
        <v>0</v>
      </c>
      <c r="G21" s="126">
        <f t="shared" si="17"/>
        <v>114591.64500000002</v>
      </c>
      <c r="H21" s="126">
        <f t="shared" si="17"/>
        <v>229183.29000000004</v>
      </c>
      <c r="I21" s="126">
        <f t="shared" si="17"/>
        <v>537235.2215066667</v>
      </c>
      <c r="J21" s="126">
        <f t="shared" si="17"/>
        <v>651826.8665066668</v>
      </c>
      <c r="K21" s="126">
        <f t="shared" si="17"/>
        <v>959878.7980133335</v>
      </c>
      <c r="L21" s="126">
        <f t="shared" si="17"/>
        <v>959878.7980133335</v>
      </c>
      <c r="M21" s="126">
        <f t="shared" si="17"/>
        <v>1153339.08452</v>
      </c>
      <c r="N21" s="126">
        <f t="shared" si="17"/>
        <v>1168171.4689200001</v>
      </c>
      <c r="O21" s="126">
        <f t="shared" si="17"/>
        <v>1270714.3026928</v>
      </c>
      <c r="P21" s="126">
        <f t="shared" si="17"/>
        <v>1270714.3026928</v>
      </c>
      <c r="Q21" s="126">
        <f t="shared" si="17"/>
        <v>1256462.3864212076</v>
      </c>
      <c r="R21" s="126">
        <f t="shared" si="17"/>
        <v>1242127.3339713642</v>
      </c>
      <c r="S21" s="126">
        <f t="shared" si="17"/>
        <v>1227708.66038223</v>
      </c>
      <c r="T21" s="126">
        <f t="shared" si="17"/>
        <v>1213205.877863826</v>
      </c>
      <c r="U21" s="126">
        <f t="shared" si="17"/>
        <v>1198618.495780731</v>
      </c>
      <c r="V21" s="126">
        <f t="shared" si="17"/>
        <v>1183946.0206354847</v>
      </c>
      <c r="W21" s="126">
        <f t="shared" si="17"/>
        <v>1169187.9560518912</v>
      </c>
      <c r="X21" s="126">
        <f t="shared" si="17"/>
        <v>1154343.8027582266</v>
      </c>
      <c r="Y21" s="126">
        <f t="shared" si="17"/>
        <v>1139413.0585703491</v>
      </c>
      <c r="Z21" s="126">
        <f t="shared" si="17"/>
        <v>1124395.218374709</v>
      </c>
      <c r="AA21" s="126">
        <f t="shared" si="17"/>
        <v>1109289.774111261</v>
      </c>
      <c r="AB21" s="126">
        <f t="shared" si="17"/>
        <v>1094096.214756276</v>
      </c>
      <c r="AC21" s="126">
        <f t="shared" si="17"/>
        <v>1094096.214756276</v>
      </c>
      <c r="AD21" s="126">
        <f aca="true" t="shared" si="18" ref="AD21:AP21">SUM(AD22:AD23)</f>
        <v>1078814.0263050538</v>
      </c>
      <c r="AE21" s="126">
        <f t="shared" si="18"/>
        <v>1063442.6917545327</v>
      </c>
      <c r="AF21" s="126">
        <f t="shared" si="18"/>
        <v>1047981.6910858003</v>
      </c>
      <c r="AG21" s="126">
        <f t="shared" si="18"/>
        <v>1032430.5012465003</v>
      </c>
      <c r="AH21" s="126">
        <f t="shared" si="18"/>
        <v>1016788.5961331377</v>
      </c>
      <c r="AI21" s="126">
        <f t="shared" si="18"/>
        <v>1001055.4465732805</v>
      </c>
      <c r="AJ21" s="126">
        <f t="shared" si="18"/>
        <v>985230.5203076574</v>
      </c>
      <c r="AK21" s="126">
        <f t="shared" si="18"/>
        <v>969313.2819721516</v>
      </c>
      <c r="AL21" s="126">
        <f t="shared" si="18"/>
        <v>953303.1930796886</v>
      </c>
      <c r="AM21" s="126">
        <f t="shared" si="18"/>
        <v>937199.7120020196</v>
      </c>
      <c r="AN21" s="126">
        <f t="shared" si="18"/>
        <v>921002.2939513975</v>
      </c>
      <c r="AO21" s="126">
        <f t="shared" si="18"/>
        <v>904710.3909621468</v>
      </c>
      <c r="AP21" s="126">
        <f t="shared" si="18"/>
        <v>904710.3909621468</v>
      </c>
      <c r="AQ21" s="126">
        <f t="shared" si="17"/>
        <v>701633.8506529153</v>
      </c>
      <c r="AR21" s="126">
        <f t="shared" si="17"/>
        <v>483876.8908247248</v>
      </c>
      <c r="AS21" s="126">
        <f t="shared" si="17"/>
        <v>250378.26276354628</v>
      </c>
      <c r="AT21" s="126">
        <f t="shared" si="17"/>
        <v>5.0749804358929396E-09</v>
      </c>
      <c r="AU21" s="126">
        <f>SUM(AU22:AU23)</f>
        <v>5.0749804358929396E-09</v>
      </c>
    </row>
    <row r="22" spans="1:47" ht="12.75">
      <c r="A22" s="130" t="s">
        <v>127</v>
      </c>
      <c r="B22" s="132"/>
      <c r="C22" s="126"/>
      <c r="D22" s="132">
        <f>кр!C27</f>
        <v>0</v>
      </c>
      <c r="E22" s="132">
        <f>кр!D27</f>
        <v>0</v>
      </c>
      <c r="F22" s="132">
        <f>кр!E27</f>
        <v>0</v>
      </c>
      <c r="G22" s="132">
        <f>кр!F27</f>
        <v>114591.64500000002</v>
      </c>
      <c r="H22" s="132">
        <f>кр!G27</f>
        <v>229183.29000000004</v>
      </c>
      <c r="I22" s="132">
        <f>кр!H27</f>
        <v>537235.2215066667</v>
      </c>
      <c r="J22" s="132">
        <f>кр!I27</f>
        <v>651826.8665066668</v>
      </c>
      <c r="K22" s="132">
        <f>кр!J27</f>
        <v>959878.7980133335</v>
      </c>
      <c r="L22" s="132">
        <f>кр!K27</f>
        <v>959878.7980133335</v>
      </c>
      <c r="M22" s="132">
        <f>кр!L27</f>
        <v>1153339.08452</v>
      </c>
      <c r="N22" s="132">
        <f>кр!M27</f>
        <v>1168171.4689200001</v>
      </c>
      <c r="O22" s="132">
        <f>кр!N27</f>
        <v>1270714.3026928</v>
      </c>
      <c r="P22" s="132">
        <f>кр!O27</f>
        <v>1270714.3026928</v>
      </c>
      <c r="Q22" s="132">
        <f>кр!P27</f>
        <v>1256462.3864212076</v>
      </c>
      <c r="R22" s="132">
        <f>кр!Q27</f>
        <v>1242127.3339713642</v>
      </c>
      <c r="S22" s="132">
        <f>кр!R27</f>
        <v>1227708.66038223</v>
      </c>
      <c r="T22" s="132">
        <f>кр!S27</f>
        <v>1213205.877863826</v>
      </c>
      <c r="U22" s="132">
        <f>кр!T27</f>
        <v>1198618.495780731</v>
      </c>
      <c r="V22" s="132">
        <f>кр!U27</f>
        <v>1183946.0206354847</v>
      </c>
      <c r="W22" s="132">
        <f>кр!V27</f>
        <v>1169187.9560518912</v>
      </c>
      <c r="X22" s="132">
        <f>кр!W27</f>
        <v>1154343.8027582266</v>
      </c>
      <c r="Y22" s="132">
        <f>кр!X27</f>
        <v>1139413.0585703491</v>
      </c>
      <c r="Z22" s="132">
        <f>кр!Y27</f>
        <v>1124395.218374709</v>
      </c>
      <c r="AA22" s="132">
        <f>кр!Z27</f>
        <v>1109289.774111261</v>
      </c>
      <c r="AB22" s="132">
        <f>кр!AA27</f>
        <v>1094096.214756276</v>
      </c>
      <c r="AC22" s="132">
        <f>кр!AB27</f>
        <v>1094096.214756276</v>
      </c>
      <c r="AD22" s="132">
        <f>кр!AC27</f>
        <v>1078814.0263050538</v>
      </c>
      <c r="AE22" s="132">
        <f>кр!AD27</f>
        <v>1063442.6917545327</v>
      </c>
      <c r="AF22" s="132">
        <f>кр!AE27</f>
        <v>1047981.6910858003</v>
      </c>
      <c r="AG22" s="132">
        <f>кр!AF27</f>
        <v>1032430.5012465003</v>
      </c>
      <c r="AH22" s="132">
        <f>кр!AG27</f>
        <v>1016788.5961331377</v>
      </c>
      <c r="AI22" s="132">
        <f>кр!AH27</f>
        <v>1001055.4465732805</v>
      </c>
      <c r="AJ22" s="132">
        <f>кр!AI27</f>
        <v>985230.5203076574</v>
      </c>
      <c r="AK22" s="132">
        <f>кр!AJ27</f>
        <v>969313.2819721516</v>
      </c>
      <c r="AL22" s="132">
        <f>кр!AK27</f>
        <v>953303.1930796886</v>
      </c>
      <c r="AM22" s="132">
        <f>кр!AL27</f>
        <v>937199.7120020196</v>
      </c>
      <c r="AN22" s="132">
        <f>кр!AM27</f>
        <v>921002.2939513975</v>
      </c>
      <c r="AO22" s="132">
        <f>кр!AN27</f>
        <v>904710.3909621468</v>
      </c>
      <c r="AP22" s="132">
        <f>кр!AO27</f>
        <v>904710.3909621468</v>
      </c>
      <c r="AQ22" s="132">
        <f>кр!BB27</f>
        <v>701633.8506529153</v>
      </c>
      <c r="AR22" s="132">
        <f>кр!BO27</f>
        <v>483876.8908247248</v>
      </c>
      <c r="AS22" s="132">
        <f>кр!CB27</f>
        <v>250378.26276354628</v>
      </c>
      <c r="AT22" s="132">
        <f>кр!CO27</f>
        <v>5.0749804358929396E-09</v>
      </c>
      <c r="AU22" s="132">
        <f>кр!DB27</f>
        <v>5.0749804358929396E-09</v>
      </c>
    </row>
    <row r="23" spans="1:47" ht="15" customHeight="1" hidden="1">
      <c r="A23" s="130" t="s">
        <v>130</v>
      </c>
      <c r="B23" s="132"/>
      <c r="C23" s="132"/>
      <c r="D23" s="132">
        <f>C23</f>
        <v>0</v>
      </c>
      <c r="E23" s="132">
        <f>D23</f>
        <v>0</v>
      </c>
      <c r="F23" s="132">
        <f aca="true" t="shared" si="19" ref="F23:AU23">E23</f>
        <v>0</v>
      </c>
      <c r="G23" s="132">
        <f t="shared" si="19"/>
        <v>0</v>
      </c>
      <c r="H23" s="132">
        <f t="shared" si="19"/>
        <v>0</v>
      </c>
      <c r="I23" s="132">
        <f t="shared" si="19"/>
        <v>0</v>
      </c>
      <c r="J23" s="132">
        <f t="shared" si="19"/>
        <v>0</v>
      </c>
      <c r="K23" s="132">
        <f t="shared" si="19"/>
        <v>0</v>
      </c>
      <c r="L23" s="132">
        <f t="shared" si="19"/>
        <v>0</v>
      </c>
      <c r="M23" s="132">
        <f t="shared" si="19"/>
        <v>0</v>
      </c>
      <c r="N23" s="132">
        <f t="shared" si="19"/>
        <v>0</v>
      </c>
      <c r="O23" s="132">
        <f t="shared" si="19"/>
        <v>0</v>
      </c>
      <c r="P23" s="132">
        <f t="shared" si="19"/>
        <v>0</v>
      </c>
      <c r="Q23" s="132">
        <f t="shared" si="19"/>
        <v>0</v>
      </c>
      <c r="R23" s="132">
        <f t="shared" si="19"/>
        <v>0</v>
      </c>
      <c r="S23" s="132">
        <f t="shared" si="19"/>
        <v>0</v>
      </c>
      <c r="T23" s="132">
        <f t="shared" si="19"/>
        <v>0</v>
      </c>
      <c r="U23" s="132">
        <f t="shared" si="19"/>
        <v>0</v>
      </c>
      <c r="V23" s="132">
        <f t="shared" si="19"/>
        <v>0</v>
      </c>
      <c r="W23" s="132">
        <f t="shared" si="19"/>
        <v>0</v>
      </c>
      <c r="X23" s="132">
        <f t="shared" si="19"/>
        <v>0</v>
      </c>
      <c r="Y23" s="132">
        <f t="shared" si="19"/>
        <v>0</v>
      </c>
      <c r="Z23" s="132">
        <f t="shared" si="19"/>
        <v>0</v>
      </c>
      <c r="AA23" s="132">
        <f t="shared" si="19"/>
        <v>0</v>
      </c>
      <c r="AB23" s="132">
        <f t="shared" si="19"/>
        <v>0</v>
      </c>
      <c r="AC23" s="126">
        <f aca="true" t="shared" si="20" ref="AC23:AP23">AB23</f>
        <v>0</v>
      </c>
      <c r="AD23" s="132">
        <f t="shared" si="20"/>
        <v>0</v>
      </c>
      <c r="AE23" s="132">
        <f t="shared" si="20"/>
        <v>0</v>
      </c>
      <c r="AF23" s="132">
        <f t="shared" si="20"/>
        <v>0</v>
      </c>
      <c r="AG23" s="132">
        <f t="shared" si="20"/>
        <v>0</v>
      </c>
      <c r="AH23" s="132">
        <f t="shared" si="20"/>
        <v>0</v>
      </c>
      <c r="AI23" s="132">
        <f t="shared" si="20"/>
        <v>0</v>
      </c>
      <c r="AJ23" s="132">
        <f t="shared" si="20"/>
        <v>0</v>
      </c>
      <c r="AK23" s="132">
        <f t="shared" si="20"/>
        <v>0</v>
      </c>
      <c r="AL23" s="132">
        <f t="shared" si="20"/>
        <v>0</v>
      </c>
      <c r="AM23" s="132">
        <f t="shared" si="20"/>
        <v>0</v>
      </c>
      <c r="AN23" s="132">
        <f t="shared" si="20"/>
        <v>0</v>
      </c>
      <c r="AO23" s="132">
        <f t="shared" si="20"/>
        <v>0</v>
      </c>
      <c r="AP23" s="126">
        <f t="shared" si="20"/>
        <v>0</v>
      </c>
      <c r="AQ23" s="132">
        <f t="shared" si="19"/>
        <v>0</v>
      </c>
      <c r="AR23" s="132">
        <f t="shared" si="19"/>
        <v>0</v>
      </c>
      <c r="AS23" s="132">
        <f t="shared" si="19"/>
        <v>0</v>
      </c>
      <c r="AT23" s="132">
        <f t="shared" si="19"/>
        <v>0</v>
      </c>
      <c r="AU23" s="132">
        <f t="shared" si="19"/>
        <v>0</v>
      </c>
    </row>
    <row r="24" spans="1:47" s="129" customFormat="1" ht="15" customHeight="1">
      <c r="A24" s="125" t="s">
        <v>131</v>
      </c>
      <c r="B24" s="126"/>
      <c r="C24" s="126">
        <f aca="true" t="shared" si="21" ref="C24:AT24">SUM(C25:C26)</f>
        <v>0</v>
      </c>
      <c r="D24" s="126">
        <f t="shared" si="21"/>
        <v>0</v>
      </c>
      <c r="E24" s="126">
        <f t="shared" si="21"/>
        <v>0</v>
      </c>
      <c r="F24" s="126">
        <f t="shared" si="21"/>
        <v>0</v>
      </c>
      <c r="G24" s="126">
        <f t="shared" si="21"/>
        <v>20222.055</v>
      </c>
      <c r="H24" s="126">
        <f t="shared" si="21"/>
        <v>39775.6587375</v>
      </c>
      <c r="I24" s="126">
        <f t="shared" si="21"/>
        <v>92800.86177250001</v>
      </c>
      <c r="J24" s="126">
        <f t="shared" si="21"/>
        <v>109889.04464704444</v>
      </c>
      <c r="K24" s="126">
        <f t="shared" si="21"/>
        <v>160448.8268190889</v>
      </c>
      <c r="L24" s="126">
        <f t="shared" si="21"/>
        <v>154849.53383067777</v>
      </c>
      <c r="M24" s="126">
        <f t="shared" si="21"/>
        <v>183390.29140226665</v>
      </c>
      <c r="N24" s="126">
        <f t="shared" si="21"/>
        <v>179279.9596759</v>
      </c>
      <c r="O24" s="126">
        <f t="shared" si="21"/>
        <v>184617.4885072</v>
      </c>
      <c r="P24" s="126">
        <f t="shared" si="21"/>
        <v>184617.4885072</v>
      </c>
      <c r="Q24" s="126">
        <f t="shared" si="21"/>
        <v>179503.53950426835</v>
      </c>
      <c r="R24" s="126">
        <f t="shared" si="21"/>
        <v>178582.5332101999</v>
      </c>
      <c r="S24" s="126">
        <f t="shared" si="21"/>
        <v>181854.95458603447</v>
      </c>
      <c r="T24" s="126">
        <f t="shared" si="21"/>
        <v>192917.37213603692</v>
      </c>
      <c r="U24" s="126">
        <f t="shared" si="21"/>
        <v>208687.92159766887</v>
      </c>
      <c r="V24" s="126">
        <f t="shared" si="21"/>
        <v>223294.80503316174</v>
      </c>
      <c r="W24" s="126">
        <f t="shared" si="21"/>
        <v>242623.4810518458</v>
      </c>
      <c r="X24" s="126">
        <f t="shared" si="21"/>
        <v>262021.02803858664</v>
      </c>
      <c r="Y24" s="126">
        <f t="shared" si="21"/>
        <v>286008.6349243714</v>
      </c>
      <c r="Z24" s="126">
        <f t="shared" si="21"/>
        <v>317463.5703714682</v>
      </c>
      <c r="AA24" s="126">
        <f t="shared" si="21"/>
        <v>354331.33756260737</v>
      </c>
      <c r="AB24" s="126">
        <f t="shared" si="21"/>
        <v>391269.5968269759</v>
      </c>
      <c r="AC24" s="126">
        <f t="shared" si="21"/>
        <v>391269.5968269759</v>
      </c>
      <c r="AD24" s="126">
        <f aca="true" t="shared" si="22" ref="AD24:AP24">SUM(AD25:AD26)</f>
        <v>432234.3030370894</v>
      </c>
      <c r="AE24" s="126">
        <f t="shared" si="22"/>
        <v>473270.32612664206</v>
      </c>
      <c r="AF24" s="126">
        <f t="shared" si="22"/>
        <v>514378.08211076376</v>
      </c>
      <c r="AG24" s="126">
        <f t="shared" si="22"/>
        <v>555557.9894313395</v>
      </c>
      <c r="AH24" s="126">
        <f t="shared" si="22"/>
        <v>596810.4689711655</v>
      </c>
      <c r="AI24" s="126">
        <f t="shared" si="22"/>
        <v>638135.944068187</v>
      </c>
      <c r="AJ24" s="126">
        <f t="shared" si="22"/>
        <v>683644.6470604334</v>
      </c>
      <c r="AK24" s="126">
        <f t="shared" si="22"/>
        <v>729227.1997085861</v>
      </c>
      <c r="AL24" s="126">
        <f t="shared" si="22"/>
        <v>774884.0328023045</v>
      </c>
      <c r="AM24" s="126">
        <f t="shared" si="22"/>
        <v>824725.3861748</v>
      </c>
      <c r="AN24" s="126">
        <f t="shared" si="22"/>
        <v>874641.889125658</v>
      </c>
      <c r="AO24" s="126">
        <f t="shared" si="22"/>
        <v>924633.9800274188</v>
      </c>
      <c r="AP24" s="126">
        <f t="shared" si="22"/>
        <v>924633.9800274188</v>
      </c>
      <c r="AQ24" s="126">
        <f t="shared" si="21"/>
        <v>1528630.248464727</v>
      </c>
      <c r="AR24" s="126">
        <f t="shared" si="21"/>
        <v>2191598.2817784296</v>
      </c>
      <c r="AS24" s="126">
        <f t="shared" si="21"/>
        <v>2914258.4926094436</v>
      </c>
      <c r="AT24" s="126">
        <f t="shared" si="21"/>
        <v>3697386.238486447</v>
      </c>
      <c r="AU24" s="126">
        <f>SUM(AU25:AU26)</f>
        <v>4535011.832165639</v>
      </c>
    </row>
    <row r="25" spans="1:47" ht="15" customHeight="1">
      <c r="A25" s="130" t="s">
        <v>132</v>
      </c>
      <c r="B25" s="126"/>
      <c r="C25" s="132"/>
      <c r="D25" s="132">
        <f>C25+'1-Ф3'!D30</f>
        <v>0</v>
      </c>
      <c r="E25" s="132">
        <f>D25+'1-Ф3'!E30</f>
        <v>0</v>
      </c>
      <c r="F25" s="132">
        <f>E25+'1-Ф3'!F30</f>
        <v>0</v>
      </c>
      <c r="G25" s="132">
        <f>F25+'1-Ф3'!G30</f>
        <v>20222.055</v>
      </c>
      <c r="H25" s="132">
        <f>G25+'1-Ф3'!H30</f>
        <v>40444.11</v>
      </c>
      <c r="I25" s="132">
        <f>H25+'1-Ф3'!I30</f>
        <v>94806.21556000001</v>
      </c>
      <c r="J25" s="132">
        <f>I25+'1-Ф3'!J30</f>
        <v>115028.27056</v>
      </c>
      <c r="K25" s="132">
        <f>J25+'1-Ф3'!K30</f>
        <v>169390.37612</v>
      </c>
      <c r="L25" s="132">
        <f>K25+'1-Ф3'!L30</f>
        <v>169390.37612</v>
      </c>
      <c r="M25" s="132">
        <f>L25+'1-Ф3'!M30</f>
        <v>203530.42668</v>
      </c>
      <c r="N25" s="132">
        <f>M25+'1-Ф3'!N30</f>
        <v>206147.90628</v>
      </c>
      <c r="O25" s="132">
        <f>N25+'1-Ф3'!O30</f>
        <v>218299.76868</v>
      </c>
      <c r="P25" s="132">
        <f>O25</f>
        <v>218299.76868</v>
      </c>
      <c r="Q25" s="132">
        <f>P25+'1-Ф3'!Q30</f>
        <v>218299.76868</v>
      </c>
      <c r="R25" s="132">
        <f>Q25+'1-Ф3'!R30</f>
        <v>218299.76868</v>
      </c>
      <c r="S25" s="132">
        <f>R25+'1-Ф3'!S30</f>
        <v>218299.76868</v>
      </c>
      <c r="T25" s="132">
        <f>S25+'1-Ф3'!T30</f>
        <v>218299.76868</v>
      </c>
      <c r="U25" s="132">
        <f>T25+'1-Ф3'!U30</f>
        <v>218299.76868</v>
      </c>
      <c r="V25" s="132">
        <f>U25+'1-Ф3'!V30</f>
        <v>218299.76868</v>
      </c>
      <c r="W25" s="132">
        <f>V25+'1-Ф3'!W30</f>
        <v>218299.76868</v>
      </c>
      <c r="X25" s="132">
        <f>W25+'1-Ф3'!X30</f>
        <v>218299.76868</v>
      </c>
      <c r="Y25" s="132">
        <f>X25+'1-Ф3'!Y30</f>
        <v>218299.76868</v>
      </c>
      <c r="Z25" s="132">
        <f>Y25+'1-Ф3'!Z30</f>
        <v>218299.76868</v>
      </c>
      <c r="AA25" s="132">
        <f>Z25+'1-Ф3'!AA30</f>
        <v>218299.76868</v>
      </c>
      <c r="AB25" s="132">
        <f>AA25+'1-Ф3'!AB30</f>
        <v>218299.76868</v>
      </c>
      <c r="AC25" s="132">
        <f>AB25</f>
        <v>218299.76868</v>
      </c>
      <c r="AD25" s="132">
        <f>AC25+'1-Ф3'!AD30</f>
        <v>218299.76868</v>
      </c>
      <c r="AE25" s="132">
        <f>AD25+'1-Ф3'!AE30</f>
        <v>218299.76868</v>
      </c>
      <c r="AF25" s="132">
        <f>AE25+'1-Ф3'!AF30</f>
        <v>218299.76868</v>
      </c>
      <c r="AG25" s="132">
        <f>AF25+'1-Ф3'!AG30</f>
        <v>218299.76868</v>
      </c>
      <c r="AH25" s="132">
        <f>AG25+'1-Ф3'!AH30</f>
        <v>218299.76868</v>
      </c>
      <c r="AI25" s="132">
        <f>AH25+'1-Ф3'!AI30</f>
        <v>218299.76868</v>
      </c>
      <c r="AJ25" s="132">
        <f>AI25+'1-Ф3'!AJ30</f>
        <v>218299.76868</v>
      </c>
      <c r="AK25" s="132">
        <f>AJ25+'1-Ф3'!AK30</f>
        <v>218299.76868</v>
      </c>
      <c r="AL25" s="132">
        <f>AK25+'1-Ф3'!AL30</f>
        <v>218299.76868</v>
      </c>
      <c r="AM25" s="132">
        <f>AL25+'1-Ф3'!AM30</f>
        <v>218299.76868</v>
      </c>
      <c r="AN25" s="132">
        <f>AM25+'1-Ф3'!AN30</f>
        <v>218299.76868</v>
      </c>
      <c r="AO25" s="132">
        <f>AN25+'1-Ф3'!AO30</f>
        <v>218299.76868</v>
      </c>
      <c r="AP25" s="132">
        <f>AO25</f>
        <v>218299.76868</v>
      </c>
      <c r="AQ25" s="132">
        <f>AP25+'1-Ф3'!AQ30</f>
        <v>218299.76868</v>
      </c>
      <c r="AR25" s="132">
        <f>AQ25+'1-Ф3'!AR30</f>
        <v>218299.76868</v>
      </c>
      <c r="AS25" s="132">
        <f>AR25+'1-Ф3'!AS30</f>
        <v>218299.76868</v>
      </c>
      <c r="AT25" s="132">
        <f>AS25+'1-Ф3'!AT30</f>
        <v>218299.76868</v>
      </c>
      <c r="AU25" s="132">
        <f>AT25+'1-Ф3'!AU30</f>
        <v>218299.76868</v>
      </c>
    </row>
    <row r="26" spans="1:47" ht="15" customHeight="1">
      <c r="A26" s="130" t="s">
        <v>133</v>
      </c>
      <c r="B26" s="126"/>
      <c r="C26" s="132"/>
      <c r="D26" s="132">
        <f>'2-ф2'!D18</f>
        <v>0</v>
      </c>
      <c r="E26" s="132">
        <f>'2-ф2'!E18</f>
        <v>0</v>
      </c>
      <c r="F26" s="132">
        <f>'2-ф2'!F18</f>
        <v>0</v>
      </c>
      <c r="G26" s="132">
        <f>'2-ф2'!G18</f>
        <v>0</v>
      </c>
      <c r="H26" s="132">
        <f>'2-ф2'!H18</f>
        <v>-668.4512625000001</v>
      </c>
      <c r="I26" s="132">
        <f>'2-ф2'!I18</f>
        <v>-2005.3537875000002</v>
      </c>
      <c r="J26" s="132">
        <f>'2-ф2'!J18</f>
        <v>-5139.225912955557</v>
      </c>
      <c r="K26" s="132">
        <f>'2-ф2'!K18</f>
        <v>-8941.549300911114</v>
      </c>
      <c r="L26" s="132">
        <f>'2-ф2'!L18</f>
        <v>-14540.842289322227</v>
      </c>
      <c r="M26" s="132">
        <f>'2-ф2'!M18</f>
        <v>-20140.135277733338</v>
      </c>
      <c r="N26" s="132">
        <f>'2-ф2'!N18</f>
        <v>-26867.946604100005</v>
      </c>
      <c r="O26" s="132">
        <f>'2-ф2'!O18</f>
        <v>-33682.280172800005</v>
      </c>
      <c r="P26" s="132">
        <f>'2-ф2'!P18</f>
        <v>-33682.280172800005</v>
      </c>
      <c r="Q26" s="132">
        <f>'2-ф2'!Q18</f>
        <v>-38796.22917573165</v>
      </c>
      <c r="R26" s="132">
        <f>'2-ф2'!R18</f>
        <v>-39717.23546980009</v>
      </c>
      <c r="S26" s="132">
        <f>'2-ф2'!S18</f>
        <v>-36444.814093965535</v>
      </c>
      <c r="T26" s="132">
        <f>'2-ф2'!T18</f>
        <v>-25382.396543963077</v>
      </c>
      <c r="U26" s="132">
        <f>'2-ф2'!U18</f>
        <v>-9611.847082331149</v>
      </c>
      <c r="V26" s="132">
        <f>'2-ф2'!V18</f>
        <v>4995.036353161733</v>
      </c>
      <c r="W26" s="132">
        <f>'2-ф2'!W18</f>
        <v>24323.712371845795</v>
      </c>
      <c r="X26" s="132">
        <f>'2-ф2'!X18</f>
        <v>43721.25935858663</v>
      </c>
      <c r="Y26" s="132">
        <f>'2-ф2'!Y18</f>
        <v>67708.86624437135</v>
      </c>
      <c r="Z26" s="132">
        <f>'2-ф2'!Z18</f>
        <v>99163.80169146822</v>
      </c>
      <c r="AA26" s="132">
        <f>'2-ф2'!AA18</f>
        <v>136031.56888260733</v>
      </c>
      <c r="AB26" s="132">
        <f>'2-ф2'!AB18</f>
        <v>172969.82814697587</v>
      </c>
      <c r="AC26" s="132">
        <f>'2-ф2'!AC18</f>
        <v>172969.82814697587</v>
      </c>
      <c r="AD26" s="132">
        <f>'2-ф2'!AD18</f>
        <v>213934.53435708943</v>
      </c>
      <c r="AE26" s="132">
        <f>'2-ф2'!AE18</f>
        <v>254970.55744664205</v>
      </c>
      <c r="AF26" s="132">
        <f>'2-ф2'!AF18</f>
        <v>296078.3134307638</v>
      </c>
      <c r="AG26" s="132">
        <f>'2-ф2'!AG18</f>
        <v>337258.22075133957</v>
      </c>
      <c r="AH26" s="132">
        <f>'2-ф2'!AH18</f>
        <v>378510.70029116544</v>
      </c>
      <c r="AI26" s="132">
        <f>'2-ф2'!AI18</f>
        <v>419836.175388187</v>
      </c>
      <c r="AJ26" s="132">
        <f>'2-ф2'!AJ18</f>
        <v>465344.8783804334</v>
      </c>
      <c r="AK26" s="132">
        <f>'2-ф2'!AK18</f>
        <v>510927.4310285861</v>
      </c>
      <c r="AL26" s="132">
        <f>'2-ф2'!AL18</f>
        <v>556584.2641223045</v>
      </c>
      <c r="AM26" s="132">
        <f>'2-ф2'!AM18</f>
        <v>606425.6174948</v>
      </c>
      <c r="AN26" s="132">
        <f>'2-ф2'!AN18</f>
        <v>656342.120445658</v>
      </c>
      <c r="AO26" s="132">
        <f>'2-ф2'!AO18</f>
        <v>706334.2113474188</v>
      </c>
      <c r="AP26" s="132">
        <f>'2-ф2'!AP18</f>
        <v>706334.2113474188</v>
      </c>
      <c r="AQ26" s="132">
        <f>'2-ф2'!AQ18</f>
        <v>1310330.479784727</v>
      </c>
      <c r="AR26" s="132">
        <f>'2-ф2'!AR18</f>
        <v>1973298.5130984294</v>
      </c>
      <c r="AS26" s="132">
        <f>'2-ф2'!AS18</f>
        <v>2695958.7239294434</v>
      </c>
      <c r="AT26" s="132">
        <f>'2-ф2'!AT18</f>
        <v>3479086.4698064467</v>
      </c>
      <c r="AU26" s="132">
        <f>'2-ф2'!AU18</f>
        <v>4316712.063485639</v>
      </c>
    </row>
    <row r="28" spans="1:47" ht="12.75">
      <c r="A28" s="135" t="s">
        <v>134</v>
      </c>
      <c r="B28" s="136"/>
      <c r="C28" s="137">
        <f aca="true" t="shared" si="23" ref="C28:AT28">C5-C16</f>
        <v>0</v>
      </c>
      <c r="D28" s="261">
        <f t="shared" si="23"/>
        <v>0</v>
      </c>
      <c r="E28" s="261">
        <f t="shared" si="23"/>
        <v>0</v>
      </c>
      <c r="F28" s="261">
        <f t="shared" si="23"/>
        <v>0</v>
      </c>
      <c r="G28" s="261">
        <f t="shared" si="23"/>
        <v>0</v>
      </c>
      <c r="H28" s="261">
        <f t="shared" si="23"/>
        <v>0</v>
      </c>
      <c r="I28" s="261">
        <f t="shared" si="23"/>
        <v>0</v>
      </c>
      <c r="J28" s="261">
        <f t="shared" si="23"/>
        <v>0</v>
      </c>
      <c r="K28" s="261">
        <f t="shared" si="23"/>
        <v>0</v>
      </c>
      <c r="L28" s="261">
        <f aca="true" t="shared" si="24" ref="L28:Q28">L5-L16</f>
        <v>0</v>
      </c>
      <c r="M28" s="261">
        <f t="shared" si="24"/>
        <v>0</v>
      </c>
      <c r="N28" s="261">
        <f t="shared" si="24"/>
        <v>0</v>
      </c>
      <c r="O28" s="261">
        <f t="shared" si="24"/>
        <v>0</v>
      </c>
      <c r="P28" s="261">
        <f t="shared" si="24"/>
        <v>0</v>
      </c>
      <c r="Q28" s="261">
        <f t="shared" si="24"/>
        <v>0</v>
      </c>
      <c r="R28" s="261">
        <f t="shared" si="23"/>
        <v>0</v>
      </c>
      <c r="S28" s="261">
        <f t="shared" si="23"/>
        <v>0</v>
      </c>
      <c r="T28" s="261">
        <f t="shared" si="23"/>
        <v>0</v>
      </c>
      <c r="U28" s="261">
        <f t="shared" si="23"/>
        <v>0</v>
      </c>
      <c r="V28" s="261">
        <f t="shared" si="23"/>
        <v>0</v>
      </c>
      <c r="W28" s="261">
        <f t="shared" si="23"/>
        <v>0</v>
      </c>
      <c r="X28" s="261">
        <f t="shared" si="23"/>
        <v>0</v>
      </c>
      <c r="Y28" s="261">
        <f t="shared" si="23"/>
        <v>0</v>
      </c>
      <c r="Z28" s="261">
        <f t="shared" si="23"/>
        <v>0</v>
      </c>
      <c r="AA28" s="261">
        <f t="shared" si="23"/>
        <v>0</v>
      </c>
      <c r="AB28" s="261">
        <f t="shared" si="23"/>
        <v>0</v>
      </c>
      <c r="AC28" s="261">
        <f t="shared" si="23"/>
        <v>0</v>
      </c>
      <c r="AD28" s="261">
        <f t="shared" si="23"/>
        <v>0</v>
      </c>
      <c r="AE28" s="261">
        <f t="shared" si="23"/>
        <v>-1.862645149230957E-09</v>
      </c>
      <c r="AF28" s="261">
        <f aca="true" t="shared" si="25" ref="AF28:AP28">AF5-AF16</f>
        <v>-1.862645149230957E-09</v>
      </c>
      <c r="AG28" s="261">
        <f t="shared" si="25"/>
        <v>-2.0954757928848267E-09</v>
      </c>
      <c r="AH28" s="261">
        <f t="shared" si="25"/>
        <v>-2.0954757928848267E-09</v>
      </c>
      <c r="AI28" s="261">
        <f t="shared" si="25"/>
        <v>-2.3283064365386963E-09</v>
      </c>
      <c r="AJ28" s="261">
        <f t="shared" si="25"/>
        <v>-2.0954757928848267E-09</v>
      </c>
      <c r="AK28" s="261">
        <f t="shared" si="25"/>
        <v>-2.561137080192566E-09</v>
      </c>
      <c r="AL28" s="261">
        <f t="shared" si="25"/>
        <v>-2.561137080192566E-09</v>
      </c>
      <c r="AM28" s="261">
        <f t="shared" si="25"/>
        <v>-2.561137080192566E-09</v>
      </c>
      <c r="AN28" s="261">
        <f t="shared" si="25"/>
        <v>-2.3283064365386963E-09</v>
      </c>
      <c r="AO28" s="261">
        <f t="shared" si="25"/>
        <v>-2.561137080192566E-09</v>
      </c>
      <c r="AP28" s="261">
        <f t="shared" si="25"/>
        <v>-2.561137080192566E-09</v>
      </c>
      <c r="AQ28" s="261">
        <f t="shared" si="23"/>
        <v>0</v>
      </c>
      <c r="AR28" s="261">
        <f t="shared" si="23"/>
        <v>0</v>
      </c>
      <c r="AS28" s="261">
        <f t="shared" si="23"/>
        <v>0</v>
      </c>
      <c r="AT28" s="261">
        <f t="shared" si="23"/>
        <v>0</v>
      </c>
      <c r="AU28" s="261">
        <f>AU5-AU16</f>
        <v>0</v>
      </c>
    </row>
    <row r="29" spans="11:47" ht="12.75" hidden="1"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</row>
    <row r="30" spans="1:47" ht="12.75" hidden="1">
      <c r="A30" s="118" t="s">
        <v>133</v>
      </c>
      <c r="K30" s="298"/>
      <c r="L30" s="298" t="e">
        <f>'[45]ф2'!L32</f>
        <v>#REF!</v>
      </c>
      <c r="M30" s="298" t="e">
        <f>'[45]ф2'!M32</f>
        <v>#REF!</v>
      </c>
      <c r="N30" s="298" t="e">
        <f>'[45]ф2'!N32</f>
        <v>#REF!</v>
      </c>
      <c r="O30" s="298" t="e">
        <f>'[45]ф2'!O32</f>
        <v>#REF!</v>
      </c>
      <c r="P30" s="298" t="e">
        <f>'[45]ф2'!P32</f>
        <v>#REF!</v>
      </c>
      <c r="Q30" s="298">
        <f>'[45]ф2'!Q32</f>
        <v>109.48954266069855</v>
      </c>
      <c r="R30" s="298">
        <f>'[45]ф2'!R32</f>
        <v>109.48954266069855</v>
      </c>
      <c r="S30" s="298">
        <f>'[45]ф2'!S32</f>
        <v>108.45296951069854</v>
      </c>
      <c r="T30" s="298">
        <f>'[45]ф2'!T32</f>
        <v>106.37982321069852</v>
      </c>
      <c r="U30" s="298">
        <f>'[45]ф2'!U32</f>
        <v>103.27010376069849</v>
      </c>
      <c r="V30" s="298">
        <f>'[45]ф2'!V32</f>
        <v>103.27010376069849</v>
      </c>
      <c r="W30" s="298">
        <f>'[45]ф2'!W32</f>
        <v>103.27010376069849</v>
      </c>
      <c r="X30" s="298">
        <f>'[45]ф2'!X32</f>
        <v>99.20125340855881</v>
      </c>
      <c r="Y30" s="298">
        <f>'[45]ф2'!Y32</f>
        <v>99.20125340855881</v>
      </c>
      <c r="Z30" s="298">
        <f>'[45]ф2'!Z32</f>
        <v>99.20125340855881</v>
      </c>
      <c r="AA30" s="298">
        <f>'[45]ф2'!AA32</f>
        <v>99.20125340855881</v>
      </c>
      <c r="AB30" s="298">
        <f>'[45]ф2'!AB32</f>
        <v>82.61608300855879</v>
      </c>
      <c r="AC30" s="298">
        <f>AC26-P26</f>
        <v>206652.10831977587</v>
      </c>
      <c r="AD30" s="298" t="e">
        <f>'[45]ф2'!AD32</f>
        <v>#REF!</v>
      </c>
      <c r="AE30" s="298" t="e">
        <f>'[45]ф2'!AE32</f>
        <v>#REF!</v>
      </c>
      <c r="AF30" s="298" t="e">
        <f>'[45]ф2'!AF32</f>
        <v>#REF!</v>
      </c>
      <c r="AG30" s="298" t="e">
        <f>'[45]ф2'!AG32</f>
        <v>#REF!</v>
      </c>
      <c r="AH30" s="298" t="e">
        <f>'[45]ф2'!AH32</f>
        <v>#REF!</v>
      </c>
      <c r="AI30" s="298" t="e">
        <f>'[45]ф2'!AI32</f>
        <v>#REF!</v>
      </c>
      <c r="AJ30" s="298" t="e">
        <f>'[45]ф2'!AJ32</f>
        <v>#REF!</v>
      </c>
      <c r="AK30" s="298" t="e">
        <f>'[45]ф2'!AK32</f>
        <v>#REF!</v>
      </c>
      <c r="AL30" s="298" t="e">
        <f>'[45]ф2'!AL32</f>
        <v>#REF!</v>
      </c>
      <c r="AM30" s="298" t="e">
        <f>'[45]ф2'!AM32</f>
        <v>#REF!</v>
      </c>
      <c r="AN30" s="298" t="e">
        <f>'[45]ф2'!AN32</f>
        <v>#REF!</v>
      </c>
      <c r="AO30" s="298" t="e">
        <f>'[45]ф2'!AO32</f>
        <v>#REF!</v>
      </c>
      <c r="AP30" s="298">
        <f>AP26-AC26</f>
        <v>533364.383200443</v>
      </c>
      <c r="AQ30" s="298">
        <f>AQ26-AP26</f>
        <v>603996.2684373083</v>
      </c>
      <c r="AR30" s="298">
        <f>AR26-AQ26</f>
        <v>662968.0333137023</v>
      </c>
      <c r="AS30" s="298">
        <f>AS26-AR26</f>
        <v>722660.210831014</v>
      </c>
      <c r="AT30" s="298">
        <f>AT26-AS26</f>
        <v>783127.7458770033</v>
      </c>
      <c r="AU30" s="298">
        <f>AU26-AT26</f>
        <v>837625.5936791925</v>
      </c>
    </row>
    <row r="31" spans="1:47" ht="12.75" hidden="1">
      <c r="A31" s="118" t="s">
        <v>135</v>
      </c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>
        <f>(AC8+AC10+AC13+AC14)-(P8+P10+P13+P14)</f>
        <v>-51145.818244897964</v>
      </c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>
        <f>(AP8+AP10+AP13+AP14)-(AC8+AC10+AC13+AC14)</f>
        <v>-99425.44509795916</v>
      </c>
      <c r="AQ31" s="298">
        <f>(AQ8+AQ10+AQ13+AQ14)-(AP8+AP10+AP13+AP14)</f>
        <v>0</v>
      </c>
      <c r="AR31" s="298">
        <f>(AR8+AR10+AR13+AR14)-(AQ8+AQ10+AQ13+AQ14)</f>
        <v>0</v>
      </c>
      <c r="AS31" s="298">
        <f>(AS8+AS10+AS13+AS14)-(AR8+AR10+AR13+AR14)</f>
        <v>0</v>
      </c>
      <c r="AT31" s="298">
        <f>(AT8+AT10+AT13+AT14)-(AS8+AS10+AS13+AS14)</f>
        <v>0</v>
      </c>
      <c r="AU31" s="298">
        <f>(AU8+AU10+AU13+AU14)-(AT8+AT10+AT13+AT14)</f>
        <v>0</v>
      </c>
    </row>
    <row r="32" spans="1:47" ht="12.75" hidden="1">
      <c r="A32" s="118" t="s">
        <v>136</v>
      </c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>
        <f>AC9-P9</f>
        <v>60265.27928571424</v>
      </c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>
        <f>AP9-AC9</f>
        <v>0</v>
      </c>
      <c r="AQ32" s="298">
        <f>AQ9-AP9</f>
        <v>0</v>
      </c>
      <c r="AR32" s="298">
        <f>AR9-AQ9</f>
        <v>0</v>
      </c>
      <c r="AS32" s="298">
        <f>AS9-AR9</f>
        <v>0</v>
      </c>
      <c r="AT32" s="298">
        <f>AT9-AS9</f>
        <v>0</v>
      </c>
      <c r="AU32" s="298">
        <f>AU9-AT9</f>
        <v>0</v>
      </c>
    </row>
    <row r="33" spans="1:47" ht="12.75" hidden="1">
      <c r="A33" s="118" t="s">
        <v>137</v>
      </c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>
        <f>(AC21+AC17)-(P21+P17)</f>
        <v>-176618.08793652407</v>
      </c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>
        <f>(AP21+AP17)-(AC21+AC17)</f>
        <v>-189385.8237941292</v>
      </c>
      <c r="AQ33" s="298">
        <f>(AQ21+AQ17)-(AP21+AP17)</f>
        <v>-203076.5403092315</v>
      </c>
      <c r="AR33" s="298">
        <f>(AR21+AR17)-(AQ21+AQ17)</f>
        <v>-217756.9598281905</v>
      </c>
      <c r="AS33" s="298">
        <f>(AS21+AS17)-(AR21+AR17)</f>
        <v>-233498.62806117852</v>
      </c>
      <c r="AT33" s="298">
        <f>(AT21+AT17)-(AS21+AS17)</f>
        <v>-250378.26276354122</v>
      </c>
      <c r="AU33" s="298">
        <f>(AU21+AU17)-(AT21+AT17)</f>
        <v>0</v>
      </c>
    </row>
    <row r="34" spans="1:47" ht="12.75" hidden="1">
      <c r="A34" s="118" t="s">
        <v>138</v>
      </c>
      <c r="K34" s="298"/>
      <c r="L34" s="298">
        <f aca="true" t="shared" si="26" ref="L34:Q34">L31+L32+L33</f>
        <v>0</v>
      </c>
      <c r="M34" s="298">
        <f t="shared" si="26"/>
        <v>0</v>
      </c>
      <c r="N34" s="298">
        <f t="shared" si="26"/>
        <v>0</v>
      </c>
      <c r="O34" s="298">
        <f t="shared" si="26"/>
        <v>0</v>
      </c>
      <c r="P34" s="298">
        <f t="shared" si="26"/>
        <v>0</v>
      </c>
      <c r="Q34" s="298">
        <f t="shared" si="26"/>
        <v>0</v>
      </c>
      <c r="R34" s="298">
        <f aca="true" t="shared" si="27" ref="R34:AB34">R31+R32+R33</f>
        <v>0</v>
      </c>
      <c r="S34" s="298">
        <f t="shared" si="27"/>
        <v>0</v>
      </c>
      <c r="T34" s="298">
        <f t="shared" si="27"/>
        <v>0</v>
      </c>
      <c r="U34" s="298">
        <f t="shared" si="27"/>
        <v>0</v>
      </c>
      <c r="V34" s="298">
        <f t="shared" si="27"/>
        <v>0</v>
      </c>
      <c r="W34" s="298">
        <f t="shared" si="27"/>
        <v>0</v>
      </c>
      <c r="X34" s="298">
        <f t="shared" si="27"/>
        <v>0</v>
      </c>
      <c r="Y34" s="298">
        <f t="shared" si="27"/>
        <v>0</v>
      </c>
      <c r="Z34" s="298">
        <f t="shared" si="27"/>
        <v>0</v>
      </c>
      <c r="AA34" s="298">
        <f t="shared" si="27"/>
        <v>0</v>
      </c>
      <c r="AB34" s="298">
        <f t="shared" si="27"/>
        <v>0</v>
      </c>
      <c r="AC34" s="298">
        <f>-AC31+AC32+AC33</f>
        <v>-65206.99040591187</v>
      </c>
      <c r="AD34" s="298">
        <f aca="true" t="shared" si="28" ref="AD34:AO34">AD31+AD32+AD33</f>
        <v>0</v>
      </c>
      <c r="AE34" s="298">
        <f t="shared" si="28"/>
        <v>0</v>
      </c>
      <c r="AF34" s="298">
        <f t="shared" si="28"/>
        <v>0</v>
      </c>
      <c r="AG34" s="298">
        <f t="shared" si="28"/>
        <v>0</v>
      </c>
      <c r="AH34" s="298">
        <f t="shared" si="28"/>
        <v>0</v>
      </c>
      <c r="AI34" s="298">
        <f t="shared" si="28"/>
        <v>0</v>
      </c>
      <c r="AJ34" s="298">
        <f t="shared" si="28"/>
        <v>0</v>
      </c>
      <c r="AK34" s="298">
        <f t="shared" si="28"/>
        <v>0</v>
      </c>
      <c r="AL34" s="298">
        <f t="shared" si="28"/>
        <v>0</v>
      </c>
      <c r="AM34" s="298">
        <f t="shared" si="28"/>
        <v>0</v>
      </c>
      <c r="AN34" s="298">
        <f t="shared" si="28"/>
        <v>0</v>
      </c>
      <c r="AO34" s="298">
        <f t="shared" si="28"/>
        <v>0</v>
      </c>
      <c r="AP34" s="298">
        <f aca="true" t="shared" si="29" ref="AP34:AU34">-AP31+AP32+AP33</f>
        <v>-89960.37869617002</v>
      </c>
      <c r="AQ34" s="298">
        <f t="shared" si="29"/>
        <v>-203076.5403092315</v>
      </c>
      <c r="AR34" s="298">
        <f t="shared" si="29"/>
        <v>-217756.9598281905</v>
      </c>
      <c r="AS34" s="298">
        <f t="shared" si="29"/>
        <v>-233498.62806117852</v>
      </c>
      <c r="AT34" s="298">
        <f t="shared" si="29"/>
        <v>-250378.26276354122</v>
      </c>
      <c r="AU34" s="298">
        <f t="shared" si="29"/>
        <v>0</v>
      </c>
    </row>
    <row r="35" spans="1:47" ht="12.75" hidden="1">
      <c r="A35" s="118" t="s">
        <v>77</v>
      </c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>
        <f>'2-ф2'!AC13</f>
        <v>102645.52457142856</v>
      </c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>
        <f>'2-ф2'!AP13</f>
        <v>102645.52457142856</v>
      </c>
      <c r="AQ35" s="298">
        <f>'2-ф2'!AQ13</f>
        <v>102645.52457142857</v>
      </c>
      <c r="AR35" s="298">
        <f>'2-ф2'!AR13</f>
        <v>102645.52457142857</v>
      </c>
      <c r="AS35" s="298">
        <f>'2-ф2'!AS13</f>
        <v>102645.52457142857</v>
      </c>
      <c r="AT35" s="298">
        <f>'2-ф2'!AT13</f>
        <v>102645.52457142857</v>
      </c>
      <c r="AU35" s="298">
        <f>'2-ф2'!AU13</f>
        <v>102645.52457142857</v>
      </c>
    </row>
    <row r="36" spans="1:47" ht="12.75" hidden="1">
      <c r="A36" s="118" t="s">
        <v>139</v>
      </c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>
        <f>-'1-Ф3'!AC23</f>
        <v>0</v>
      </c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>
        <f>-'1-Ф3'!AP23</f>
        <v>0</v>
      </c>
      <c r="AQ36" s="298">
        <f>-'1-Ф3'!AQ23</f>
        <v>0</v>
      </c>
      <c r="AR36" s="298">
        <f>-'1-Ф3'!AR23</f>
        <v>0</v>
      </c>
      <c r="AS36" s="298">
        <f>-'1-Ф3'!AS23</f>
        <v>0</v>
      </c>
      <c r="AT36" s="298">
        <f>-'1-Ф3'!AT23</f>
        <v>0</v>
      </c>
      <c r="AU36" s="298">
        <f>-'1-Ф3'!AU23</f>
        <v>0</v>
      </c>
    </row>
    <row r="37" spans="1:47" ht="12.75" hidden="1">
      <c r="A37" s="118" t="s">
        <v>140</v>
      </c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>
        <f>AC30+AC34+AC35+AC36</f>
        <v>244090.64248529257</v>
      </c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>
        <f aca="true" t="shared" si="30" ref="AP37:AU37">AP30+AP34+AP35+AP36</f>
        <v>546049.5290757015</v>
      </c>
      <c r="AQ37" s="298">
        <f t="shared" si="30"/>
        <v>503565.2526995053</v>
      </c>
      <c r="AR37" s="298">
        <f t="shared" si="30"/>
        <v>547856.5980569404</v>
      </c>
      <c r="AS37" s="298">
        <f t="shared" si="30"/>
        <v>591807.107341264</v>
      </c>
      <c r="AT37" s="298">
        <f t="shared" si="30"/>
        <v>635395.0076848906</v>
      </c>
      <c r="AU37" s="298">
        <f t="shared" si="30"/>
        <v>940271.118250621</v>
      </c>
    </row>
    <row r="38" spans="11:47" ht="12.75" hidden="1"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</row>
    <row r="39" spans="1:47" ht="12.75" hidden="1">
      <c r="A39" s="118" t="s">
        <v>146</v>
      </c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>
        <f>'1-Ф3'!AC36</f>
        <v>123560.08391386416</v>
      </c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>
        <f>'1-Ф3'!AP36</f>
        <v>546049.5290757016</v>
      </c>
      <c r="AQ39" s="298">
        <f>'1-Ф3'!AQ36</f>
        <v>503565.2526995053</v>
      </c>
      <c r="AR39" s="298">
        <f>'1-Ф3'!AR36</f>
        <v>547856.5980569408</v>
      </c>
      <c r="AS39" s="298">
        <f>'1-Ф3'!AS36</f>
        <v>591807.1073412638</v>
      </c>
      <c r="AT39" s="298">
        <f>'1-Ф3'!AT36</f>
        <v>635395.0076848909</v>
      </c>
      <c r="AU39" s="298">
        <f>'1-Ф3'!AU36</f>
        <v>940271.1182506212</v>
      </c>
    </row>
    <row r="40" spans="1:47" ht="12.75" hidden="1">
      <c r="A40" s="135" t="s">
        <v>134</v>
      </c>
      <c r="B40" s="136"/>
      <c r="C40" s="137"/>
      <c r="D40" s="138"/>
      <c r="E40" s="138"/>
      <c r="F40" s="138"/>
      <c r="G40" s="138"/>
      <c r="H40" s="138"/>
      <c r="I40" s="138"/>
      <c r="J40" s="138"/>
      <c r="K40" s="261"/>
      <c r="L40" s="261">
        <f aca="true" t="shared" si="31" ref="L40:Q40">L39-L37</f>
        <v>0</v>
      </c>
      <c r="M40" s="261">
        <f t="shared" si="31"/>
        <v>0</v>
      </c>
      <c r="N40" s="261">
        <f t="shared" si="31"/>
        <v>0</v>
      </c>
      <c r="O40" s="261">
        <f t="shared" si="31"/>
        <v>0</v>
      </c>
      <c r="P40" s="261">
        <f t="shared" si="31"/>
        <v>0</v>
      </c>
      <c r="Q40" s="261">
        <f t="shared" si="31"/>
        <v>0</v>
      </c>
      <c r="R40" s="261">
        <f aca="true" t="shared" si="32" ref="R40:AB40">R39-R37</f>
        <v>0</v>
      </c>
      <c r="S40" s="261">
        <f t="shared" si="32"/>
        <v>0</v>
      </c>
      <c r="T40" s="261">
        <f t="shared" si="32"/>
        <v>0</v>
      </c>
      <c r="U40" s="261">
        <f t="shared" si="32"/>
        <v>0</v>
      </c>
      <c r="V40" s="261">
        <f t="shared" si="32"/>
        <v>0</v>
      </c>
      <c r="W40" s="261">
        <f t="shared" si="32"/>
        <v>0</v>
      </c>
      <c r="X40" s="261">
        <f t="shared" si="32"/>
        <v>0</v>
      </c>
      <c r="Y40" s="261">
        <f t="shared" si="32"/>
        <v>0</v>
      </c>
      <c r="Z40" s="261">
        <f t="shared" si="32"/>
        <v>0</v>
      </c>
      <c r="AA40" s="261">
        <f t="shared" si="32"/>
        <v>0</v>
      </c>
      <c r="AB40" s="261">
        <f t="shared" si="32"/>
        <v>0</v>
      </c>
      <c r="AC40" s="261">
        <f aca="true" t="shared" si="33" ref="AC40:AT40">AC39-AC37</f>
        <v>-120530.55857142841</v>
      </c>
      <c r="AD40" s="261">
        <f t="shared" si="33"/>
        <v>0</v>
      </c>
      <c r="AE40" s="261">
        <f t="shared" si="33"/>
        <v>0</v>
      </c>
      <c r="AF40" s="261">
        <f t="shared" si="33"/>
        <v>0</v>
      </c>
      <c r="AG40" s="261">
        <f t="shared" si="33"/>
        <v>0</v>
      </c>
      <c r="AH40" s="261">
        <f t="shared" si="33"/>
        <v>0</v>
      </c>
      <c r="AI40" s="261">
        <f t="shared" si="33"/>
        <v>0</v>
      </c>
      <c r="AJ40" s="261">
        <f t="shared" si="33"/>
        <v>0</v>
      </c>
      <c r="AK40" s="261">
        <f t="shared" si="33"/>
        <v>0</v>
      </c>
      <c r="AL40" s="261">
        <f t="shared" si="33"/>
        <v>0</v>
      </c>
      <c r="AM40" s="261">
        <f t="shared" si="33"/>
        <v>0</v>
      </c>
      <c r="AN40" s="261">
        <f t="shared" si="33"/>
        <v>0</v>
      </c>
      <c r="AO40" s="261">
        <f t="shared" si="33"/>
        <v>0</v>
      </c>
      <c r="AP40" s="261">
        <f t="shared" si="33"/>
        <v>0</v>
      </c>
      <c r="AQ40" s="261">
        <f t="shared" si="33"/>
        <v>0</v>
      </c>
      <c r="AR40" s="261">
        <f t="shared" si="33"/>
        <v>0</v>
      </c>
      <c r="AS40" s="261">
        <f t="shared" si="33"/>
        <v>0</v>
      </c>
      <c r="AT40" s="261">
        <f t="shared" si="33"/>
        <v>0</v>
      </c>
      <c r="AU40" s="261">
        <f>AU39-AU37</f>
        <v>0</v>
      </c>
    </row>
    <row r="41" spans="11:47" ht="12.75">
      <c r="K41" s="298">
        <f>K28-J28</f>
        <v>0</v>
      </c>
      <c r="L41" s="298">
        <f aca="true" t="shared" si="34" ref="L41:Q41">L28-K28</f>
        <v>0</v>
      </c>
      <c r="M41" s="298">
        <f t="shared" si="34"/>
        <v>0</v>
      </c>
      <c r="N41" s="298">
        <f t="shared" si="34"/>
        <v>0</v>
      </c>
      <c r="O41" s="298">
        <f t="shared" si="34"/>
        <v>0</v>
      </c>
      <c r="P41" s="298">
        <f t="shared" si="34"/>
        <v>0</v>
      </c>
      <c r="Q41" s="298">
        <f t="shared" si="34"/>
        <v>0</v>
      </c>
      <c r="R41" s="298">
        <f>R28-Q28</f>
        <v>0</v>
      </c>
      <c r="S41" s="298">
        <f aca="true" t="shared" si="35" ref="S41:AU41">S28-R28</f>
        <v>0</v>
      </c>
      <c r="T41" s="298">
        <f t="shared" si="35"/>
        <v>0</v>
      </c>
      <c r="U41" s="298">
        <f t="shared" si="35"/>
        <v>0</v>
      </c>
      <c r="V41" s="298">
        <f t="shared" si="35"/>
        <v>0</v>
      </c>
      <c r="W41" s="298">
        <f t="shared" si="35"/>
        <v>0</v>
      </c>
      <c r="X41" s="298">
        <f t="shared" si="35"/>
        <v>0</v>
      </c>
      <c r="Y41" s="298">
        <f t="shared" si="35"/>
        <v>0</v>
      </c>
      <c r="Z41" s="298">
        <f t="shared" si="35"/>
        <v>0</v>
      </c>
      <c r="AA41" s="298">
        <f t="shared" si="35"/>
        <v>0</v>
      </c>
      <c r="AB41" s="298">
        <f t="shared" si="35"/>
        <v>0</v>
      </c>
      <c r="AC41" s="298">
        <f>AC28-AB28</f>
        <v>0</v>
      </c>
      <c r="AD41" s="298">
        <f>AD28-AC28</f>
        <v>0</v>
      </c>
      <c r="AE41" s="298">
        <f>AE28-AD28</f>
        <v>-1.862645149230957E-09</v>
      </c>
      <c r="AF41" s="298">
        <f>AF28-AE28</f>
        <v>0</v>
      </c>
      <c r="AG41" s="298">
        <f t="shared" si="35"/>
        <v>-2.3283064365386963E-10</v>
      </c>
      <c r="AH41" s="298">
        <f t="shared" si="35"/>
        <v>0</v>
      </c>
      <c r="AI41" s="298">
        <f t="shared" si="35"/>
        <v>-2.3283064365386963E-10</v>
      </c>
      <c r="AJ41" s="298">
        <f t="shared" si="35"/>
        <v>2.3283064365386963E-10</v>
      </c>
      <c r="AK41" s="298">
        <f t="shared" si="35"/>
        <v>-4.656612873077393E-10</v>
      </c>
      <c r="AL41" s="298">
        <f t="shared" si="35"/>
        <v>0</v>
      </c>
      <c r="AM41" s="298">
        <f t="shared" si="35"/>
        <v>0</v>
      </c>
      <c r="AN41" s="298">
        <f t="shared" si="35"/>
        <v>2.3283064365386963E-10</v>
      </c>
      <c r="AO41" s="298">
        <f t="shared" si="35"/>
        <v>-2.3283064365386963E-10</v>
      </c>
      <c r="AP41" s="298">
        <f t="shared" si="35"/>
        <v>0</v>
      </c>
      <c r="AQ41" s="298">
        <f t="shared" si="35"/>
        <v>2.561137080192566E-09</v>
      </c>
      <c r="AR41" s="298">
        <f t="shared" si="35"/>
        <v>0</v>
      </c>
      <c r="AS41" s="298">
        <f t="shared" si="35"/>
        <v>0</v>
      </c>
      <c r="AT41" s="298">
        <f t="shared" si="35"/>
        <v>0</v>
      </c>
      <c r="AU41" s="298">
        <f t="shared" si="35"/>
        <v>0</v>
      </c>
    </row>
  </sheetData>
  <sheetProtection/>
  <mergeCells count="5">
    <mergeCell ref="A3:A4"/>
    <mergeCell ref="B3:B4"/>
    <mergeCell ref="D3:P3"/>
    <mergeCell ref="Q3:AC3"/>
    <mergeCell ref="AD3:AP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showGridLines="0" zoomScalePageLayoutView="0" workbookViewId="0" topLeftCell="A1">
      <pane ySplit="3" topLeftCell="A13" activePane="bottomLeft" state="frozen"/>
      <selection pane="topLeft" activeCell="A34" sqref="A34"/>
      <selection pane="bottomLeft" activeCell="A33" sqref="A33"/>
    </sheetView>
  </sheetViews>
  <sheetFormatPr defaultColWidth="9.00390625" defaultRowHeight="12.75"/>
  <cols>
    <col min="1" max="1" width="31.25390625" style="77" customWidth="1"/>
    <col min="2" max="2" width="16.125" style="77" customWidth="1"/>
    <col min="3" max="3" width="10.75390625" style="77" customWidth="1"/>
    <col min="4" max="4" width="5.375" style="77" customWidth="1"/>
    <col min="5" max="5" width="7.00390625" style="77" bestFit="1" customWidth="1"/>
    <col min="6" max="6" width="5.875" style="77" customWidth="1"/>
    <col min="7" max="8" width="5.75390625" style="77" bestFit="1" customWidth="1"/>
    <col min="9" max="9" width="6.375" style="77" bestFit="1" customWidth="1"/>
    <col min="10" max="10" width="8.75390625" style="77" bestFit="1" customWidth="1"/>
    <col min="11" max="11" width="7.625" style="77" bestFit="1" customWidth="1"/>
    <col min="12" max="12" width="19.00390625" style="77" customWidth="1"/>
    <col min="13" max="13" width="8.00390625" style="77" bestFit="1" customWidth="1"/>
    <col min="14" max="14" width="14.375" style="77" customWidth="1"/>
    <col min="15" max="16384" width="9.125" style="77" customWidth="1"/>
  </cols>
  <sheetData>
    <row r="1" spans="1:3" ht="15.75" customHeight="1">
      <c r="A1" s="358" t="s">
        <v>39</v>
      </c>
      <c r="B1" s="358"/>
      <c r="C1" s="358"/>
    </row>
    <row r="2" spans="1:14" ht="12" customHeight="1">
      <c r="A2" s="61"/>
      <c r="N2" s="246">
        <f>'1-Ф3'!$B$2</f>
        <v>0</v>
      </c>
    </row>
    <row r="3" spans="1:14" ht="12.75">
      <c r="A3" s="78" t="s">
        <v>28</v>
      </c>
      <c r="B3" s="79" t="s">
        <v>40</v>
      </c>
      <c r="C3" s="79" t="s">
        <v>8</v>
      </c>
      <c r="N3" s="246">
        <f>'Осн.пок-ли'!B6</f>
        <v>81012.41599999997</v>
      </c>
    </row>
    <row r="4" ht="12.75">
      <c r="A4" s="61" t="s">
        <v>148</v>
      </c>
    </row>
    <row r="5" spans="1:4" ht="12.75">
      <c r="A5" s="80" t="s">
        <v>102</v>
      </c>
      <c r="B5" s="80"/>
      <c r="C5" s="233">
        <v>152.85</v>
      </c>
      <c r="D5" s="77" t="s">
        <v>294</v>
      </c>
    </row>
    <row r="6" spans="1:4" ht="12.75">
      <c r="A6" s="80" t="s">
        <v>295</v>
      </c>
      <c r="B6" s="80"/>
      <c r="C6" s="233">
        <v>25.01</v>
      </c>
      <c r="D6" s="77" t="s">
        <v>294</v>
      </c>
    </row>
    <row r="7" spans="1:4" ht="12.75">
      <c r="A7" s="80" t="s">
        <v>157</v>
      </c>
      <c r="B7" s="80"/>
      <c r="C7" s="233">
        <v>4.64</v>
      </c>
      <c r="D7" s="77" t="s">
        <v>294</v>
      </c>
    </row>
    <row r="8" spans="1:4" ht="12.75">
      <c r="A8" s="80" t="s">
        <v>73</v>
      </c>
      <c r="B8" s="80"/>
      <c r="C8" s="159">
        <f>20%*C9+C41*(1-C20)*(1-C9)</f>
        <v>0.0776</v>
      </c>
      <c r="D8" s="77" t="s">
        <v>158</v>
      </c>
    </row>
    <row r="9" spans="1:3" ht="12.75">
      <c r="A9" s="80" t="s">
        <v>206</v>
      </c>
      <c r="B9" s="80"/>
      <c r="C9" s="159">
        <f>'1-Ф3'!B30/'1-Ф3'!B29</f>
        <v>0.15</v>
      </c>
    </row>
    <row r="10" spans="1:3" ht="12.75">
      <c r="A10" s="80" t="s">
        <v>141</v>
      </c>
      <c r="B10" s="80"/>
      <c r="C10" s="84" t="s">
        <v>59</v>
      </c>
    </row>
    <row r="11" ht="12.75">
      <c r="A11" s="61" t="s">
        <v>142</v>
      </c>
    </row>
    <row r="12" spans="1:4" ht="12.75">
      <c r="A12" s="80" t="s">
        <v>47</v>
      </c>
      <c r="B12" s="82" t="s">
        <v>42</v>
      </c>
      <c r="C12" s="83">
        <v>0.1</v>
      </c>
      <c r="D12" s="77" t="s">
        <v>213</v>
      </c>
    </row>
    <row r="13" spans="1:4" ht="12.75">
      <c r="A13" s="80" t="s">
        <v>52</v>
      </c>
      <c r="B13" s="82" t="s">
        <v>42</v>
      </c>
      <c r="C13" s="83">
        <v>0.05</v>
      </c>
      <c r="D13" s="77" t="s">
        <v>213</v>
      </c>
    </row>
    <row r="14" spans="1:4" ht="12.75">
      <c r="A14" s="80" t="s">
        <v>48</v>
      </c>
      <c r="B14" s="82" t="s">
        <v>42</v>
      </c>
      <c r="C14" s="83">
        <v>0.1</v>
      </c>
      <c r="D14" s="77" t="s">
        <v>213</v>
      </c>
    </row>
    <row r="15" spans="1:4" ht="12.75">
      <c r="A15" s="80" t="s">
        <v>50</v>
      </c>
      <c r="B15" s="82" t="s">
        <v>42</v>
      </c>
      <c r="C15" s="83">
        <v>0.11</v>
      </c>
      <c r="D15" s="77" t="s">
        <v>213</v>
      </c>
    </row>
    <row r="16" spans="1:4" ht="12.75">
      <c r="A16" s="80" t="s">
        <v>112</v>
      </c>
      <c r="B16" s="82" t="s">
        <v>59</v>
      </c>
      <c r="C16" s="85">
        <v>18.66</v>
      </c>
      <c r="D16" s="77" t="s">
        <v>213</v>
      </c>
    </row>
    <row r="17" spans="1:4" ht="12.75">
      <c r="A17" s="80" t="s">
        <v>2</v>
      </c>
      <c r="B17" s="82"/>
      <c r="C17" s="243">
        <v>0.015</v>
      </c>
      <c r="D17" s="77" t="s">
        <v>213</v>
      </c>
    </row>
    <row r="18" spans="1:4" ht="12.75">
      <c r="A18" s="80" t="s">
        <v>41</v>
      </c>
      <c r="B18" s="82" t="s">
        <v>42</v>
      </c>
      <c r="C18" s="83">
        <v>0.12</v>
      </c>
      <c r="D18" s="77" t="s">
        <v>213</v>
      </c>
    </row>
    <row r="19" spans="1:4" ht="12.75">
      <c r="A19" s="80" t="s">
        <v>60</v>
      </c>
      <c r="B19" s="80"/>
      <c r="C19" s="81">
        <v>1.12</v>
      </c>
      <c r="D19" s="77" t="s">
        <v>213</v>
      </c>
    </row>
    <row r="20" spans="1:4" ht="12.75">
      <c r="A20" s="80" t="s">
        <v>208</v>
      </c>
      <c r="B20" s="80"/>
      <c r="C20" s="83">
        <v>0.2</v>
      </c>
      <c r="D20" s="77" t="s">
        <v>213</v>
      </c>
    </row>
    <row r="21" ht="12.75">
      <c r="A21" s="61" t="s">
        <v>196</v>
      </c>
    </row>
    <row r="22" spans="1:4" ht="12.75">
      <c r="A22" s="308" t="s">
        <v>196</v>
      </c>
      <c r="B22" s="82" t="s">
        <v>343</v>
      </c>
      <c r="C22" s="144">
        <v>3</v>
      </c>
      <c r="D22" s="299" t="s">
        <v>344</v>
      </c>
    </row>
    <row r="23" spans="1:5" ht="12.75">
      <c r="A23" s="80" t="s">
        <v>207</v>
      </c>
      <c r="B23" s="82" t="s">
        <v>200</v>
      </c>
      <c r="C23" s="144">
        <v>25</v>
      </c>
      <c r="D23" s="77" t="s">
        <v>321</v>
      </c>
      <c r="E23" s="246"/>
    </row>
    <row r="24" spans="1:5" ht="12.75">
      <c r="A24" s="80" t="s">
        <v>260</v>
      </c>
      <c r="B24" s="82" t="s">
        <v>261</v>
      </c>
      <c r="C24" s="144">
        <v>1</v>
      </c>
      <c r="E24" s="246"/>
    </row>
    <row r="25" spans="1:5" ht="12.75">
      <c r="A25" s="80" t="s">
        <v>257</v>
      </c>
      <c r="B25" s="82" t="s">
        <v>258</v>
      </c>
      <c r="C25" s="144">
        <v>8</v>
      </c>
      <c r="E25" s="246"/>
    </row>
    <row r="26" ht="12.75">
      <c r="A26" s="61" t="s">
        <v>209</v>
      </c>
    </row>
    <row r="27" spans="1:4" ht="12.75">
      <c r="A27" s="80" t="str">
        <f>A22</f>
        <v>Производительность</v>
      </c>
      <c r="B27" s="82" t="s">
        <v>346</v>
      </c>
      <c r="C27" s="145">
        <f>C22*C25*C24*C23</f>
        <v>600</v>
      </c>
      <c r="D27" s="275" t="s">
        <v>230</v>
      </c>
    </row>
    <row r="28" spans="1:4" ht="12.75">
      <c r="A28" s="315" t="s">
        <v>394</v>
      </c>
      <c r="B28" s="316" t="s">
        <v>346</v>
      </c>
      <c r="C28" s="317">
        <f>$C$27*D28</f>
        <v>300</v>
      </c>
      <c r="D28" s="318">
        <v>0.5</v>
      </c>
    </row>
    <row r="29" spans="1:4" ht="12.75">
      <c r="A29" s="315" t="s">
        <v>395</v>
      </c>
      <c r="B29" s="316" t="s">
        <v>346</v>
      </c>
      <c r="C29" s="317">
        <f>$C$27*D29</f>
        <v>300</v>
      </c>
      <c r="D29" s="319">
        <f>1-D28</f>
        <v>0.5</v>
      </c>
    </row>
    <row r="30" spans="1:14" ht="12.75">
      <c r="A30" s="61" t="s">
        <v>210</v>
      </c>
      <c r="N30" s="200"/>
    </row>
    <row r="31" spans="1:14" ht="12.75">
      <c r="A31" s="80" t="s">
        <v>396</v>
      </c>
      <c r="B31" s="82" t="s">
        <v>347</v>
      </c>
      <c r="C31" s="144">
        <v>80</v>
      </c>
      <c r="N31" s="200"/>
    </row>
    <row r="32" spans="1:14" ht="12.75">
      <c r="A32" s="80" t="s">
        <v>397</v>
      </c>
      <c r="B32" s="82" t="s">
        <v>347</v>
      </c>
      <c r="C32" s="144">
        <v>85</v>
      </c>
      <c r="N32" s="200"/>
    </row>
    <row r="33" spans="1:14" ht="12.75">
      <c r="A33" s="80" t="s">
        <v>348</v>
      </c>
      <c r="B33" s="82" t="s">
        <v>349</v>
      </c>
      <c r="C33" s="144">
        <f>3500*$C$7*2.5</f>
        <v>40599.99999999999</v>
      </c>
      <c r="E33" s="286" t="s">
        <v>353</v>
      </c>
      <c r="N33" s="200"/>
    </row>
    <row r="34" spans="1:3" ht="12.75">
      <c r="A34" s="291" t="s">
        <v>262</v>
      </c>
      <c r="B34" s="82" t="s">
        <v>256</v>
      </c>
      <c r="C34" s="233">
        <v>17.46</v>
      </c>
    </row>
    <row r="35" ht="12.75">
      <c r="A35" s="61" t="s">
        <v>297</v>
      </c>
    </row>
    <row r="36" spans="1:3" ht="12.75">
      <c r="A36" s="291" t="s">
        <v>350</v>
      </c>
      <c r="B36" s="82" t="s">
        <v>352</v>
      </c>
      <c r="C36" s="312">
        <v>0.25</v>
      </c>
    </row>
    <row r="37" spans="1:3" ht="12.75">
      <c r="A37" s="291" t="s">
        <v>351</v>
      </c>
      <c r="B37" s="82" t="s">
        <v>352</v>
      </c>
      <c r="C37" s="312">
        <v>0.35</v>
      </c>
    </row>
    <row r="38" spans="1:3" ht="12.75">
      <c r="A38" s="291" t="s">
        <v>299</v>
      </c>
      <c r="B38" s="82" t="s">
        <v>240</v>
      </c>
      <c r="C38" s="144">
        <v>1200</v>
      </c>
    </row>
    <row r="39" spans="1:5" ht="12.75">
      <c r="A39" s="291" t="s">
        <v>300</v>
      </c>
      <c r="B39" s="82" t="s">
        <v>301</v>
      </c>
      <c r="C39" s="145">
        <f>C24*C25*C23*C38</f>
        <v>240000</v>
      </c>
      <c r="D39" s="77">
        <f>C39/C27</f>
        <v>400</v>
      </c>
      <c r="E39" s="77" t="s">
        <v>345</v>
      </c>
    </row>
    <row r="40" ht="12.75">
      <c r="A40" s="61" t="s">
        <v>149</v>
      </c>
    </row>
    <row r="41" spans="1:4" ht="12.75">
      <c r="A41" s="80" t="s">
        <v>57</v>
      </c>
      <c r="B41" s="82" t="s">
        <v>42</v>
      </c>
      <c r="C41" s="83">
        <v>0.07</v>
      </c>
      <c r="D41" s="77" t="s">
        <v>302</v>
      </c>
    </row>
    <row r="42" spans="1:3" ht="12.75">
      <c r="A42" s="80" t="s">
        <v>150</v>
      </c>
      <c r="B42" s="82" t="s">
        <v>151</v>
      </c>
      <c r="C42" s="233">
        <v>7</v>
      </c>
    </row>
    <row r="43" spans="1:3" ht="12.75">
      <c r="A43" s="80" t="s">
        <v>152</v>
      </c>
      <c r="B43" s="82" t="s">
        <v>154</v>
      </c>
      <c r="C43" s="144">
        <v>12</v>
      </c>
    </row>
    <row r="44" spans="1:3" ht="12.75">
      <c r="A44" s="80" t="s">
        <v>153</v>
      </c>
      <c r="B44" s="82" t="s">
        <v>154</v>
      </c>
      <c r="C44" s="144">
        <v>9</v>
      </c>
    </row>
    <row r="46" ht="12.75" hidden="1">
      <c r="A46" s="61" t="s">
        <v>241</v>
      </c>
    </row>
    <row r="47" spans="1:14" ht="12.75" hidden="1">
      <c r="A47" s="80" t="s">
        <v>217</v>
      </c>
      <c r="B47" s="82" t="s">
        <v>218</v>
      </c>
      <c r="C47" s="82" t="s">
        <v>219</v>
      </c>
      <c r="D47" s="82" t="s">
        <v>220</v>
      </c>
      <c r="E47" s="82" t="s">
        <v>221</v>
      </c>
      <c r="F47" s="82" t="s">
        <v>222</v>
      </c>
      <c r="G47" s="82" t="s">
        <v>223</v>
      </c>
      <c r="H47" s="82" t="s">
        <v>224</v>
      </c>
      <c r="I47" s="82" t="s">
        <v>225</v>
      </c>
      <c r="J47" s="82" t="s">
        <v>226</v>
      </c>
      <c r="K47" s="82" t="s">
        <v>227</v>
      </c>
      <c r="L47" s="82" t="s">
        <v>228</v>
      </c>
      <c r="M47" s="82" t="s">
        <v>229</v>
      </c>
      <c r="N47" s="272" t="s">
        <v>233</v>
      </c>
    </row>
    <row r="48" spans="1:14" ht="12.75" hidden="1">
      <c r="A48" s="80" t="s">
        <v>287</v>
      </c>
      <c r="B48" s="252">
        <f>1/12</f>
        <v>0.08333333333333333</v>
      </c>
      <c r="C48" s="252">
        <f aca="true" t="shared" si="0" ref="C48:M48">1/12</f>
        <v>0.08333333333333333</v>
      </c>
      <c r="D48" s="252">
        <f t="shared" si="0"/>
        <v>0.08333333333333333</v>
      </c>
      <c r="E48" s="252">
        <f t="shared" si="0"/>
        <v>0.08333333333333333</v>
      </c>
      <c r="F48" s="252">
        <f t="shared" si="0"/>
        <v>0.08333333333333333</v>
      </c>
      <c r="G48" s="252">
        <f t="shared" si="0"/>
        <v>0.08333333333333333</v>
      </c>
      <c r="H48" s="252">
        <f t="shared" si="0"/>
        <v>0.08333333333333333</v>
      </c>
      <c r="I48" s="252">
        <f t="shared" si="0"/>
        <v>0.08333333333333333</v>
      </c>
      <c r="J48" s="252">
        <f t="shared" si="0"/>
        <v>0.08333333333333333</v>
      </c>
      <c r="K48" s="252">
        <f t="shared" si="0"/>
        <v>0.08333333333333333</v>
      </c>
      <c r="L48" s="252">
        <f t="shared" si="0"/>
        <v>0.08333333333333333</v>
      </c>
      <c r="M48" s="252">
        <f t="shared" si="0"/>
        <v>0.08333333333333333</v>
      </c>
      <c r="N48" s="297">
        <f>SUM(B48:M48)</f>
        <v>1</v>
      </c>
    </row>
    <row r="49" spans="1:2" ht="12.75" hidden="1">
      <c r="A49" s="147"/>
      <c r="B49" s="147"/>
    </row>
    <row r="50" spans="1:2" ht="12.75" hidden="1">
      <c r="A50" s="147" t="s">
        <v>288</v>
      </c>
      <c r="B50" s="304">
        <f>1/12</f>
        <v>0.08333333333333333</v>
      </c>
    </row>
  </sheetData>
  <sheetProtection/>
  <mergeCells count="1">
    <mergeCell ref="A1:C1"/>
  </mergeCells>
  <hyperlinks>
    <hyperlink ref="E33" r:id="rId1" display="http://pressmax.ru/klassifikator_othodov/Price_othodov/"/>
  </hyperlinks>
  <printOptions/>
  <pageMargins left="0.66" right="0.22" top="0.35" bottom="0.2" header="0.23" footer="0.17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8.875" defaultRowHeight="12.75"/>
  <cols>
    <col min="1" max="1" width="28.125" style="77" customWidth="1"/>
    <col min="2" max="2" width="7.875" style="77" bestFit="1" customWidth="1"/>
    <col min="3" max="3" width="9.125" style="77" bestFit="1" customWidth="1"/>
    <col min="4" max="4" width="19.00390625" style="77" bestFit="1" customWidth="1"/>
    <col min="5" max="5" width="28.875" style="77" bestFit="1" customWidth="1"/>
    <col min="6" max="6" width="19.00390625" style="77" bestFit="1" customWidth="1"/>
    <col min="7" max="7" width="8.75390625" style="77" customWidth="1"/>
    <col min="8" max="8" width="19.00390625" style="77" bestFit="1" customWidth="1"/>
    <col min="9" max="9" width="8.25390625" style="77" bestFit="1" customWidth="1"/>
    <col min="10" max="16384" width="8.875" style="77" customWidth="1"/>
  </cols>
  <sheetData>
    <row r="1" ht="12.75">
      <c r="A1" s="61" t="s">
        <v>197</v>
      </c>
    </row>
    <row r="2" ht="12.75">
      <c r="A2" s="61"/>
    </row>
    <row r="3" ht="12.75">
      <c r="F3" s="246"/>
    </row>
    <row r="4" spans="1:5" ht="12.75">
      <c r="A4" s="365" t="s">
        <v>185</v>
      </c>
      <c r="B4" s="363" t="s">
        <v>214</v>
      </c>
      <c r="C4" s="368" t="s">
        <v>216</v>
      </c>
      <c r="D4" s="369"/>
      <c r="E4" s="363" t="s">
        <v>205</v>
      </c>
    </row>
    <row r="5" spans="1:5" ht="12.75">
      <c r="A5" s="366"/>
      <c r="B5" s="364"/>
      <c r="C5" s="248" t="s">
        <v>43</v>
      </c>
      <c r="D5" s="248" t="s">
        <v>215</v>
      </c>
      <c r="E5" s="364"/>
    </row>
    <row r="6" spans="1:5" ht="12.75">
      <c r="A6" s="80" t="str">
        <f>Исх!A31</f>
        <v>Стакан</v>
      </c>
      <c r="B6" s="231" t="s">
        <v>400</v>
      </c>
      <c r="C6" s="231">
        <f>D6/Исх!$C$19</f>
        <v>71.42857142857142</v>
      </c>
      <c r="D6" s="231">
        <f>Исх!$C$31</f>
        <v>80</v>
      </c>
      <c r="E6" s="80" t="s">
        <v>360</v>
      </c>
    </row>
    <row r="7" spans="1:5" ht="12.75">
      <c r="A7" s="80" t="str">
        <f>Исх!A32</f>
        <v>Фужер</v>
      </c>
      <c r="B7" s="231" t="s">
        <v>400</v>
      </c>
      <c r="C7" s="231">
        <f>D7/Исх!$C$19</f>
        <v>75.89285714285714</v>
      </c>
      <c r="D7" s="231">
        <f>Исх!$C$32</f>
        <v>85</v>
      </c>
      <c r="E7" s="80" t="s">
        <v>359</v>
      </c>
    </row>
    <row r="11" spans="1:9" ht="12.75" customHeight="1">
      <c r="A11" s="365" t="s">
        <v>185</v>
      </c>
      <c r="B11" s="363" t="s">
        <v>214</v>
      </c>
      <c r="C11" s="248" t="s">
        <v>293</v>
      </c>
      <c r="D11" s="367" t="s">
        <v>289</v>
      </c>
      <c r="E11" s="367"/>
      <c r="F11" s="359" t="s">
        <v>259</v>
      </c>
      <c r="G11" s="360"/>
      <c r="H11" s="361" t="s">
        <v>244</v>
      </c>
      <c r="I11" s="362"/>
    </row>
    <row r="12" spans="1:9" ht="12.75">
      <c r="A12" s="366"/>
      <c r="B12" s="364"/>
      <c r="C12" s="248" t="s">
        <v>43</v>
      </c>
      <c r="D12" s="248" t="s">
        <v>290</v>
      </c>
      <c r="E12" s="248" t="s">
        <v>291</v>
      </c>
      <c r="F12" s="248" t="s">
        <v>290</v>
      </c>
      <c r="G12" s="248" t="s">
        <v>291</v>
      </c>
      <c r="H12" s="248" t="s">
        <v>290</v>
      </c>
      <c r="I12" s="248" t="s">
        <v>292</v>
      </c>
    </row>
    <row r="13" spans="1:9" ht="12.75">
      <c r="A13" s="80" t="str">
        <f aca="true" t="shared" si="0" ref="A13:C14">A6</f>
        <v>Стакан</v>
      </c>
      <c r="B13" s="231" t="str">
        <f t="shared" si="0"/>
        <v>шт</v>
      </c>
      <c r="C13" s="231">
        <f t="shared" si="0"/>
        <v>71.42857142857142</v>
      </c>
      <c r="D13" s="231">
        <f>'Расх перем'!E10</f>
        <v>21.436964285714286</v>
      </c>
      <c r="E13" s="231">
        <f>'Расх перем'!E14</f>
        <v>32.37882940658001</v>
      </c>
      <c r="F13" s="231">
        <f>C13-D13</f>
        <v>49.991607142857134</v>
      </c>
      <c r="G13" s="231">
        <f>C13-E13</f>
        <v>39.049742021991406</v>
      </c>
      <c r="H13" s="277">
        <f>F13/C13</f>
        <v>0.6998825</v>
      </c>
      <c r="I13" s="277">
        <f>G13/C13</f>
        <v>0.5466963883078798</v>
      </c>
    </row>
    <row r="14" spans="1:9" ht="12.75">
      <c r="A14" s="80" t="str">
        <f t="shared" si="0"/>
        <v>Фужер</v>
      </c>
      <c r="B14" s="231" t="str">
        <f t="shared" si="0"/>
        <v>шт</v>
      </c>
      <c r="C14" s="231">
        <f t="shared" si="0"/>
        <v>75.89285714285714</v>
      </c>
      <c r="D14" s="231">
        <f>'Расх перем'!G10</f>
        <v>26.011749999999996</v>
      </c>
      <c r="E14" s="231">
        <f>'Расх перем'!G14</f>
        <v>34.31584406494274</v>
      </c>
      <c r="F14" s="231">
        <f>C14-D14</f>
        <v>49.88110714285715</v>
      </c>
      <c r="G14" s="231">
        <f>C14-E14</f>
        <v>41.5770130779144</v>
      </c>
      <c r="H14" s="277">
        <f>F14/C14</f>
        <v>0.6572569411764707</v>
      </c>
      <c r="I14" s="277">
        <f>G14/C14</f>
        <v>0.5478382899678134</v>
      </c>
    </row>
  </sheetData>
  <sheetProtection/>
  <mergeCells count="9">
    <mergeCell ref="F11:G11"/>
    <mergeCell ref="H11:I11"/>
    <mergeCell ref="B11:B12"/>
    <mergeCell ref="A11:A12"/>
    <mergeCell ref="D11:E11"/>
    <mergeCell ref="A4:A5"/>
    <mergeCell ref="B4:B5"/>
    <mergeCell ref="C4:D4"/>
    <mergeCell ref="E4:E5"/>
  </mergeCells>
  <printOptions/>
  <pageMargins left="0.1968503937007874" right="0.1968503937007874" top="0.6299212598425197" bottom="2.125984251968504" header="0.196850393700787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V23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S25" sqref="AS25"/>
    </sheetView>
  </sheetViews>
  <sheetFormatPr defaultColWidth="10.125" defaultRowHeight="12.75" outlineLevelCol="1"/>
  <cols>
    <col min="1" max="1" width="30.125" style="237" customWidth="1"/>
    <col min="2" max="2" width="11.375" style="237" customWidth="1"/>
    <col min="3" max="3" width="10.125" style="237" customWidth="1"/>
    <col min="4" max="15" width="7.00390625" style="237" hidden="1" customWidth="1" outlineLevel="1"/>
    <col min="16" max="16" width="9.125" style="237" customWidth="1" collapsed="1"/>
    <col min="17" max="28" width="8.375" style="237" hidden="1" customWidth="1" outlineLevel="1"/>
    <col min="29" max="29" width="9.125" style="237" customWidth="1" collapsed="1"/>
    <col min="30" max="41" width="8.375" style="237" hidden="1" customWidth="1" outlineLevel="1"/>
    <col min="42" max="42" width="9.125" style="237" customWidth="1" collapsed="1"/>
    <col min="43" max="47" width="9.125" style="237" customWidth="1"/>
    <col min="48" max="48" width="10.125" style="234" customWidth="1"/>
    <col min="49" max="16384" width="10.125" style="237" customWidth="1"/>
  </cols>
  <sheetData>
    <row r="1" spans="1:48" ht="21" customHeight="1">
      <c r="A1" s="240" t="s">
        <v>363</v>
      </c>
      <c r="B1" s="236"/>
      <c r="C1" s="236"/>
      <c r="AV1" s="237"/>
    </row>
    <row r="2" spans="1:48" ht="17.25" customHeight="1">
      <c r="A2" s="240"/>
      <c r="B2" s="241"/>
      <c r="C2" s="238"/>
      <c r="AV2" s="237"/>
    </row>
    <row r="3" spans="1:48" ht="12.75" customHeight="1">
      <c r="A3" s="370" t="s">
        <v>191</v>
      </c>
      <c r="B3" s="353" t="s">
        <v>89</v>
      </c>
      <c r="C3" s="372" t="s">
        <v>40</v>
      </c>
      <c r="D3" s="354">
        <v>2014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>
        <v>2015</v>
      </c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5">
        <v>2016</v>
      </c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7"/>
      <c r="AQ3" s="122">
        <f>AD3+1</f>
        <v>2017</v>
      </c>
      <c r="AR3" s="122">
        <f>AQ3+1</f>
        <v>2018</v>
      </c>
      <c r="AS3" s="122">
        <f>AR3+1</f>
        <v>2019</v>
      </c>
      <c r="AT3" s="122">
        <f>AS3+1</f>
        <v>2020</v>
      </c>
      <c r="AU3" s="122">
        <f>AT3+1</f>
        <v>2021</v>
      </c>
      <c r="AV3" s="237"/>
    </row>
    <row r="4" spans="1:48" ht="12.75">
      <c r="A4" s="371"/>
      <c r="B4" s="353"/>
      <c r="C4" s="373"/>
      <c r="D4" s="124">
        <f aca="true" t="shared" si="0" ref="D4:L4">C4+1</f>
        <v>1</v>
      </c>
      <c r="E4" s="124">
        <f t="shared" si="0"/>
        <v>2</v>
      </c>
      <c r="F4" s="124">
        <f t="shared" si="0"/>
        <v>3</v>
      </c>
      <c r="G4" s="124">
        <f t="shared" si="0"/>
        <v>4</v>
      </c>
      <c r="H4" s="124">
        <f t="shared" si="0"/>
        <v>5</v>
      </c>
      <c r="I4" s="124">
        <f t="shared" si="0"/>
        <v>6</v>
      </c>
      <c r="J4" s="124">
        <f t="shared" si="0"/>
        <v>7</v>
      </c>
      <c r="K4" s="124">
        <f t="shared" si="0"/>
        <v>8</v>
      </c>
      <c r="L4" s="124">
        <f t="shared" si="0"/>
        <v>9</v>
      </c>
      <c r="M4" s="124">
        <f>L4+1</f>
        <v>10</v>
      </c>
      <c r="N4" s="124">
        <f>M4+1</f>
        <v>11</v>
      </c>
      <c r="O4" s="124">
        <f>N4+1</f>
        <v>12</v>
      </c>
      <c r="P4" s="120" t="s">
        <v>0</v>
      </c>
      <c r="Q4" s="124">
        <v>1</v>
      </c>
      <c r="R4" s="124">
        <f aca="true" t="shared" si="1" ref="R4:AB4">Q4+1</f>
        <v>2</v>
      </c>
      <c r="S4" s="124">
        <f t="shared" si="1"/>
        <v>3</v>
      </c>
      <c r="T4" s="124">
        <f t="shared" si="1"/>
        <v>4</v>
      </c>
      <c r="U4" s="124">
        <f t="shared" si="1"/>
        <v>5</v>
      </c>
      <c r="V4" s="124">
        <f t="shared" si="1"/>
        <v>6</v>
      </c>
      <c r="W4" s="124">
        <f t="shared" si="1"/>
        <v>7</v>
      </c>
      <c r="X4" s="124">
        <f t="shared" si="1"/>
        <v>8</v>
      </c>
      <c r="Y4" s="124">
        <f t="shared" si="1"/>
        <v>9</v>
      </c>
      <c r="Z4" s="124">
        <f t="shared" si="1"/>
        <v>10</v>
      </c>
      <c r="AA4" s="124">
        <f t="shared" si="1"/>
        <v>11</v>
      </c>
      <c r="AB4" s="124">
        <f t="shared" si="1"/>
        <v>12</v>
      </c>
      <c r="AC4" s="120" t="s">
        <v>0</v>
      </c>
      <c r="AD4" s="124">
        <v>1</v>
      </c>
      <c r="AE4" s="124">
        <f aca="true" t="shared" si="2" ref="AE4:AO4">AD4+1</f>
        <v>2</v>
      </c>
      <c r="AF4" s="124">
        <f t="shared" si="2"/>
        <v>3</v>
      </c>
      <c r="AG4" s="124">
        <f t="shared" si="2"/>
        <v>4</v>
      </c>
      <c r="AH4" s="124">
        <f t="shared" si="2"/>
        <v>5</v>
      </c>
      <c r="AI4" s="124">
        <f t="shared" si="2"/>
        <v>6</v>
      </c>
      <c r="AJ4" s="124">
        <f t="shared" si="2"/>
        <v>7</v>
      </c>
      <c r="AK4" s="124">
        <f t="shared" si="2"/>
        <v>8</v>
      </c>
      <c r="AL4" s="124">
        <f t="shared" si="2"/>
        <v>9</v>
      </c>
      <c r="AM4" s="124">
        <f t="shared" si="2"/>
        <v>10</v>
      </c>
      <c r="AN4" s="124">
        <f t="shared" si="2"/>
        <v>11</v>
      </c>
      <c r="AO4" s="124">
        <f t="shared" si="2"/>
        <v>12</v>
      </c>
      <c r="AP4" s="120" t="s">
        <v>0</v>
      </c>
      <c r="AQ4" s="120" t="s">
        <v>111</v>
      </c>
      <c r="AR4" s="120" t="s">
        <v>111</v>
      </c>
      <c r="AS4" s="120" t="s">
        <v>111</v>
      </c>
      <c r="AT4" s="120" t="s">
        <v>111</v>
      </c>
      <c r="AU4" s="120" t="s">
        <v>111</v>
      </c>
      <c r="AV4" s="237"/>
    </row>
    <row r="5" spans="1:48" ht="12.75">
      <c r="A5" s="257" t="s">
        <v>362</v>
      </c>
      <c r="B5" s="126"/>
      <c r="C5" s="127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27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27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237"/>
    </row>
    <row r="6" spans="1:48" ht="15" customHeight="1">
      <c r="A6" s="239" t="s">
        <v>198</v>
      </c>
      <c r="B6" s="126"/>
      <c r="C6" s="127"/>
      <c r="D6" s="131"/>
      <c r="E6" s="131"/>
      <c r="F6" s="131"/>
      <c r="G6" s="131"/>
      <c r="H6" s="131"/>
      <c r="I6" s="244"/>
      <c r="J6" s="244"/>
      <c r="K6" s="244"/>
      <c r="L6" s="244"/>
      <c r="M6" s="244"/>
      <c r="N6" s="244"/>
      <c r="O6" s="244"/>
      <c r="P6" s="244"/>
      <c r="Q6" s="245">
        <v>0.4</v>
      </c>
      <c r="R6" s="244">
        <f>Q6</f>
        <v>0.4</v>
      </c>
      <c r="S6" s="244">
        <f>R6</f>
        <v>0.4</v>
      </c>
      <c r="T6" s="245">
        <v>0.45</v>
      </c>
      <c r="U6" s="244">
        <f>T6</f>
        <v>0.45</v>
      </c>
      <c r="V6" s="244">
        <f>U6</f>
        <v>0.45</v>
      </c>
      <c r="W6" s="245">
        <v>0.55</v>
      </c>
      <c r="X6" s="244">
        <f>W6</f>
        <v>0.55</v>
      </c>
      <c r="Y6" s="244">
        <f>X6</f>
        <v>0.55</v>
      </c>
      <c r="Z6" s="245">
        <v>0.65</v>
      </c>
      <c r="AA6" s="244">
        <f>Z6</f>
        <v>0.65</v>
      </c>
      <c r="AB6" s="244">
        <f>AA6</f>
        <v>0.65</v>
      </c>
      <c r="AC6" s="244">
        <f>AVERAGE(Q6:AB6)</f>
        <v>0.5125000000000001</v>
      </c>
      <c r="AD6" s="245">
        <v>0.7</v>
      </c>
      <c r="AE6" s="244">
        <f>AD6</f>
        <v>0.7</v>
      </c>
      <c r="AF6" s="244">
        <f>AE6</f>
        <v>0.7</v>
      </c>
      <c r="AG6" s="245">
        <v>0.7</v>
      </c>
      <c r="AH6" s="244">
        <f>AG6</f>
        <v>0.7</v>
      </c>
      <c r="AI6" s="244">
        <f>AH6</f>
        <v>0.7</v>
      </c>
      <c r="AJ6" s="245">
        <v>0.75</v>
      </c>
      <c r="AK6" s="244">
        <f>AJ6</f>
        <v>0.75</v>
      </c>
      <c r="AL6" s="244">
        <f>AK6</f>
        <v>0.75</v>
      </c>
      <c r="AM6" s="245">
        <v>0.8</v>
      </c>
      <c r="AN6" s="244">
        <f>AM6</f>
        <v>0.8</v>
      </c>
      <c r="AO6" s="244">
        <f>AN6</f>
        <v>0.8</v>
      </c>
      <c r="AP6" s="244">
        <f>AVERAGE(AD6:AO6)</f>
        <v>0.7375000000000002</v>
      </c>
      <c r="AQ6" s="245">
        <v>0.8</v>
      </c>
      <c r="AR6" s="245">
        <v>0.85</v>
      </c>
      <c r="AS6" s="245">
        <v>0.9</v>
      </c>
      <c r="AT6" s="245">
        <v>0.95</v>
      </c>
      <c r="AU6" s="245">
        <v>1</v>
      </c>
      <c r="AV6" s="237"/>
    </row>
    <row r="7" spans="1:48" ht="15" customHeight="1">
      <c r="A7" s="239" t="s">
        <v>356</v>
      </c>
      <c r="B7" s="126">
        <f>P7+AC7+AP7+AQ7+AR7+AS7+AT7+AU7</f>
        <v>41400</v>
      </c>
      <c r="C7" s="300" t="s">
        <v>354</v>
      </c>
      <c r="D7" s="131">
        <f>Исх!$C24*Производство!D$6</f>
        <v>0</v>
      </c>
      <c r="E7" s="131">
        <f>Исх!$C24*Производство!E$6</f>
        <v>0</v>
      </c>
      <c r="F7" s="131">
        <f>Исх!$C24*Производство!F$6</f>
        <v>0</v>
      </c>
      <c r="G7" s="131">
        <f>Исх!$C24*Производство!G$6</f>
        <v>0</v>
      </c>
      <c r="H7" s="131">
        <f>Исх!$C24*Производство!H$6</f>
        <v>0</v>
      </c>
      <c r="I7" s="131">
        <f>Исх!$C25*Производство!I$6</f>
        <v>0</v>
      </c>
      <c r="J7" s="131">
        <f>Исх!$C25*Производство!J$6</f>
        <v>0</v>
      </c>
      <c r="K7" s="131">
        <f>Исх!$C25*Производство!K$6</f>
        <v>0</v>
      </c>
      <c r="L7" s="131">
        <f>Исх!$C25*Производство!L$6</f>
        <v>0</v>
      </c>
      <c r="M7" s="131">
        <f>Исх!$C25*Производство!M$6</f>
        <v>0</v>
      </c>
      <c r="N7" s="131">
        <f>Исх!$C25*Производство!N$6</f>
        <v>0</v>
      </c>
      <c r="O7" s="131">
        <f>Исх!$C25*Производство!O$6</f>
        <v>0</v>
      </c>
      <c r="P7" s="127">
        <f>SUM(D7:O7)</f>
        <v>0</v>
      </c>
      <c r="Q7" s="131">
        <f>Исх!$C$27*Производство!Q$6</f>
        <v>240</v>
      </c>
      <c r="R7" s="131">
        <f>Исх!$C$27*Производство!R$6</f>
        <v>240</v>
      </c>
      <c r="S7" s="131">
        <f>Исх!$C$27*Производство!S$6</f>
        <v>240</v>
      </c>
      <c r="T7" s="131">
        <f>Исх!$C$27*Производство!T$6</f>
        <v>270</v>
      </c>
      <c r="U7" s="131">
        <f>Исх!$C$27*Производство!U$6</f>
        <v>270</v>
      </c>
      <c r="V7" s="131">
        <f>Исх!$C$27*Производство!V$6</f>
        <v>270</v>
      </c>
      <c r="W7" s="131">
        <f>Исх!$C$27*Производство!W$6</f>
        <v>330</v>
      </c>
      <c r="X7" s="131">
        <f>Исх!$C$27*Производство!X$6</f>
        <v>330</v>
      </c>
      <c r="Y7" s="131">
        <f>Исх!$C$27*Производство!Y$6</f>
        <v>330</v>
      </c>
      <c r="Z7" s="131">
        <f>Исх!$C$27*Производство!Z$6</f>
        <v>390</v>
      </c>
      <c r="AA7" s="131">
        <f>Исх!$C$27*Производство!AA$6</f>
        <v>390</v>
      </c>
      <c r="AB7" s="131">
        <f>Исх!$C$27*Производство!AB$6</f>
        <v>390</v>
      </c>
      <c r="AC7" s="127">
        <f>SUM(Q7:AB7)</f>
        <v>3690</v>
      </c>
      <c r="AD7" s="131">
        <f>Исх!$C$27*Производство!AD$6</f>
        <v>420</v>
      </c>
      <c r="AE7" s="131">
        <f>Исх!$C$27*Производство!AE$6</f>
        <v>420</v>
      </c>
      <c r="AF7" s="131">
        <f>Исх!$C$27*Производство!AF$6</f>
        <v>420</v>
      </c>
      <c r="AG7" s="131">
        <f>Исх!$C$27*Производство!AG$6</f>
        <v>420</v>
      </c>
      <c r="AH7" s="131">
        <f>Исх!$C$27*Производство!AH$6</f>
        <v>420</v>
      </c>
      <c r="AI7" s="131">
        <f>Исх!$C$27*Производство!AI$6</f>
        <v>420</v>
      </c>
      <c r="AJ7" s="131">
        <f>Исх!$C$27*Производство!AJ$6</f>
        <v>450</v>
      </c>
      <c r="AK7" s="131">
        <f>Исх!$C$27*Производство!AK$6</f>
        <v>450</v>
      </c>
      <c r="AL7" s="131">
        <f>Исх!$C$27*Производство!AL$6</f>
        <v>450</v>
      </c>
      <c r="AM7" s="131">
        <f>Исх!$C$27*Производство!AM$6</f>
        <v>480</v>
      </c>
      <c r="AN7" s="131">
        <f>Исх!$C$27*Производство!AN$6</f>
        <v>480</v>
      </c>
      <c r="AO7" s="131">
        <f>Исх!$C$27*Производство!AO$6</f>
        <v>480</v>
      </c>
      <c r="AP7" s="131">
        <f>SUM(AD7:AO7)</f>
        <v>5310</v>
      </c>
      <c r="AQ7" s="131">
        <f>Исх!$C$27*Производство!AQ$6*12</f>
        <v>5760</v>
      </c>
      <c r="AR7" s="131">
        <f>Исх!$C$27*Производство!AR$6*12</f>
        <v>6120</v>
      </c>
      <c r="AS7" s="131">
        <f>Исх!$C$27*Производство!AS$6*12</f>
        <v>6480</v>
      </c>
      <c r="AT7" s="131">
        <f>Исх!$C$27*Производство!AT$6*12</f>
        <v>6840</v>
      </c>
      <c r="AU7" s="131">
        <f>Исх!$C$27*Производство!AU$6*12</f>
        <v>7200</v>
      </c>
      <c r="AV7" s="237"/>
    </row>
    <row r="8" ht="15" customHeight="1">
      <c r="AV8" s="237"/>
    </row>
    <row r="9" spans="1:48" ht="12.75">
      <c r="A9" s="258" t="s">
        <v>192</v>
      </c>
      <c r="B9" s="126"/>
      <c r="C9" s="30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26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26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237"/>
    </row>
    <row r="10" spans="1:48" ht="15" customHeight="1">
      <c r="A10" s="325" t="str">
        <f>Дох!A13</f>
        <v>Стакан</v>
      </c>
      <c r="B10" s="126">
        <f>P10+AC10+AP10+AQ10+AR10+AS10+AT10+AU10</f>
        <v>82800</v>
      </c>
      <c r="C10" s="326" t="s">
        <v>355</v>
      </c>
      <c r="D10" s="132">
        <f>Исх!$C26*Производство!D$6</f>
        <v>0</v>
      </c>
      <c r="E10" s="132">
        <f>Исх!$C26*Производство!E$6</f>
        <v>0</v>
      </c>
      <c r="F10" s="132">
        <f>Исх!$C26*Производство!F$6</f>
        <v>0</v>
      </c>
      <c r="G10" s="132">
        <f>Исх!$C26*Производство!G$6</f>
        <v>0</v>
      </c>
      <c r="H10" s="132">
        <f>Исх!$C26*Производство!H$6</f>
        <v>0</v>
      </c>
      <c r="I10" s="132">
        <f>Исх!$C27*Производство!I$6</f>
        <v>0</v>
      </c>
      <c r="J10" s="132">
        <f>Исх!$C27*Производство!J$6</f>
        <v>0</v>
      </c>
      <c r="K10" s="132">
        <f>Исх!$C27*Производство!K$6</f>
        <v>0</v>
      </c>
      <c r="L10" s="132">
        <f>Исх!$C27*Производство!L$6</f>
        <v>0</v>
      </c>
      <c r="M10" s="132">
        <f>Исх!$C27*Производство!M$6</f>
        <v>0</v>
      </c>
      <c r="N10" s="132">
        <f>Исх!$C27*Производство!N$6</f>
        <v>0</v>
      </c>
      <c r="O10" s="132">
        <f>Исх!$C27*Производство!O$6</f>
        <v>0</v>
      </c>
      <c r="P10" s="126">
        <f>SUM(D10:O10)</f>
        <v>0</v>
      </c>
      <c r="Q10" s="132">
        <f>Q$7*Исх!$D28/Исх!$C36</f>
        <v>480</v>
      </c>
      <c r="R10" s="132">
        <f>R$7*Исх!$D28/Исх!$C36</f>
        <v>480</v>
      </c>
      <c r="S10" s="132">
        <f>S$7*Исх!$D28/Исх!$C36</f>
        <v>480</v>
      </c>
      <c r="T10" s="132">
        <f>T$7*Исх!$D28/Исх!$C36</f>
        <v>540</v>
      </c>
      <c r="U10" s="132">
        <f>U$7*Исх!$D28/Исх!$C36</f>
        <v>540</v>
      </c>
      <c r="V10" s="132">
        <f>V$7*Исх!$D28/Исх!$C36</f>
        <v>540</v>
      </c>
      <c r="W10" s="132">
        <f>W$7*Исх!$D28/Исх!$C36</f>
        <v>660</v>
      </c>
      <c r="X10" s="132">
        <f>X$7*Исх!$D28/Исх!$C36</f>
        <v>660</v>
      </c>
      <c r="Y10" s="132">
        <f>Y$7*Исх!$D28/Исх!$C36</f>
        <v>660</v>
      </c>
      <c r="Z10" s="132">
        <f>Z$7*Исх!$D28/Исх!$C36</f>
        <v>780</v>
      </c>
      <c r="AA10" s="132">
        <f>AA$7*Исх!$D28/Исх!$C36</f>
        <v>780</v>
      </c>
      <c r="AB10" s="132">
        <f>AB$7*Исх!$D28/Исх!$C36</f>
        <v>780</v>
      </c>
      <c r="AC10" s="126">
        <f>SUM(Q10:AB10)</f>
        <v>7380</v>
      </c>
      <c r="AD10" s="132">
        <f>AD$7*Исх!$D28/Исх!$C36</f>
        <v>840</v>
      </c>
      <c r="AE10" s="132">
        <f>AE$7*Исх!$D28/Исх!$C36</f>
        <v>840</v>
      </c>
      <c r="AF10" s="132">
        <f>AF$7*Исх!$D28/Исх!$C36</f>
        <v>840</v>
      </c>
      <c r="AG10" s="132">
        <f>AG$7*Исх!$D28/Исх!$C36</f>
        <v>840</v>
      </c>
      <c r="AH10" s="132">
        <f>AH$7*Исх!$D28/Исх!$C36</f>
        <v>840</v>
      </c>
      <c r="AI10" s="132">
        <f>AI$7*Исх!$D28/Исх!$C36</f>
        <v>840</v>
      </c>
      <c r="AJ10" s="132">
        <f>AJ$7*Исх!$D28/Исх!$C36</f>
        <v>900</v>
      </c>
      <c r="AK10" s="132">
        <f>AK$7*Исх!$D28/Исх!$C36</f>
        <v>900</v>
      </c>
      <c r="AL10" s="132">
        <f>AL$7*Исх!$D28/Исх!$C36</f>
        <v>900</v>
      </c>
      <c r="AM10" s="132">
        <f>AM$7*Исх!$D28/Исх!$C36</f>
        <v>960</v>
      </c>
      <c r="AN10" s="132">
        <f>AN$7*Исх!$D28/Исх!$C36</f>
        <v>960</v>
      </c>
      <c r="AO10" s="132">
        <f>AO$7*Исх!$D28/Исх!$C36</f>
        <v>960</v>
      </c>
      <c r="AP10" s="132">
        <f>SUM(AD10:AO10)</f>
        <v>10620</v>
      </c>
      <c r="AQ10" s="132">
        <f>AQ$7*Исх!$D28/Исх!$C36</f>
        <v>11520</v>
      </c>
      <c r="AR10" s="132">
        <f>AR$7*Исх!$D28/Исх!$C36</f>
        <v>12240</v>
      </c>
      <c r="AS10" s="132">
        <f>AS$7*Исх!$D28/Исх!$C36</f>
        <v>12960</v>
      </c>
      <c r="AT10" s="132">
        <f>AT$7*Исх!$D28/Исх!$C36</f>
        <v>13680</v>
      </c>
      <c r="AU10" s="132">
        <f>AU$7*Исх!$D28/Исх!$C36</f>
        <v>14400</v>
      </c>
      <c r="AV10" s="237"/>
    </row>
    <row r="11" spans="1:48" ht="15" customHeight="1">
      <c r="A11" s="239" t="str">
        <f>Дох!A14</f>
        <v>Фужер</v>
      </c>
      <c r="B11" s="126">
        <f>P11+AC11+AP11+AQ11+AR11+AS11+AT11+AU11</f>
        <v>59142.857142857145</v>
      </c>
      <c r="C11" s="300" t="s">
        <v>355</v>
      </c>
      <c r="D11" s="131">
        <f>Исх!$C27*Производство!D$6</f>
        <v>0</v>
      </c>
      <c r="E11" s="131">
        <f>Исх!$C27*Производство!E$6</f>
        <v>0</v>
      </c>
      <c r="F11" s="131">
        <f>Исх!$C27*Производство!F$6</f>
        <v>0</v>
      </c>
      <c r="G11" s="131">
        <f>Исх!$C27*Производство!G$6</f>
        <v>0</v>
      </c>
      <c r="H11" s="131">
        <f>Исх!$C27*Производство!H$6</f>
        <v>0</v>
      </c>
      <c r="I11" s="131">
        <f>Исх!$C28*Производство!I$6</f>
        <v>0</v>
      </c>
      <c r="J11" s="131">
        <f>Исх!$C28*Производство!J$6</f>
        <v>0</v>
      </c>
      <c r="K11" s="131">
        <f>Исх!$C28*Производство!K$6</f>
        <v>0</v>
      </c>
      <c r="L11" s="131">
        <f>Исх!$C28*Производство!L$6</f>
        <v>0</v>
      </c>
      <c r="M11" s="131">
        <f>Исх!$C28*Производство!M$6</f>
        <v>0</v>
      </c>
      <c r="N11" s="131">
        <f>Исх!$C28*Производство!N$6</f>
        <v>0</v>
      </c>
      <c r="O11" s="131">
        <f>Исх!$C28*Производство!O$6</f>
        <v>0</v>
      </c>
      <c r="P11" s="127">
        <f>SUM(D11:O11)</f>
        <v>0</v>
      </c>
      <c r="Q11" s="131">
        <f>Q$7*Исх!$D29/Исх!$C37</f>
        <v>342.8571428571429</v>
      </c>
      <c r="R11" s="131">
        <f>R$7*Исх!$D29/Исх!$C37</f>
        <v>342.8571428571429</v>
      </c>
      <c r="S11" s="131">
        <f>S$7*Исх!$D29/Исх!$C37</f>
        <v>342.8571428571429</v>
      </c>
      <c r="T11" s="131">
        <f>T$7*Исх!$D29/Исх!$C37</f>
        <v>385.7142857142857</v>
      </c>
      <c r="U11" s="131">
        <f>U$7*Исх!$D29/Исх!$C37</f>
        <v>385.7142857142857</v>
      </c>
      <c r="V11" s="131">
        <f>V$7*Исх!$D29/Исх!$C37</f>
        <v>385.7142857142857</v>
      </c>
      <c r="W11" s="131">
        <f>W$7*Исх!$D29/Исх!$C37</f>
        <v>471.42857142857144</v>
      </c>
      <c r="X11" s="131">
        <f>X$7*Исх!$D29/Исх!$C37</f>
        <v>471.42857142857144</v>
      </c>
      <c r="Y11" s="131">
        <f>Y$7*Исх!$D29/Исх!$C37</f>
        <v>471.42857142857144</v>
      </c>
      <c r="Z11" s="131">
        <f>Z$7*Исх!$D29/Исх!$C37</f>
        <v>557.1428571428572</v>
      </c>
      <c r="AA11" s="131">
        <f>AA$7*Исх!$D29/Исх!$C37</f>
        <v>557.1428571428572</v>
      </c>
      <c r="AB11" s="131">
        <f>AB$7*Исх!$D29/Исх!$C37</f>
        <v>557.1428571428572</v>
      </c>
      <c r="AC11" s="127">
        <f>SUM(Q11:AB11)</f>
        <v>5271.428571428572</v>
      </c>
      <c r="AD11" s="131">
        <f>AD$7*Исх!$D29/Исх!$C37</f>
        <v>600</v>
      </c>
      <c r="AE11" s="131">
        <f>AE$7*Исх!$D29/Исх!$C37</f>
        <v>600</v>
      </c>
      <c r="AF11" s="131">
        <f>AF$7*Исх!$D29/Исх!$C37</f>
        <v>600</v>
      </c>
      <c r="AG11" s="131">
        <f>AG$7*Исх!$D29/Исх!$C37</f>
        <v>600</v>
      </c>
      <c r="AH11" s="131">
        <f>AH$7*Исх!$D29/Исх!$C37</f>
        <v>600</v>
      </c>
      <c r="AI11" s="131">
        <f>AI$7*Исх!$D29/Исх!$C37</f>
        <v>600</v>
      </c>
      <c r="AJ11" s="131">
        <f>AJ$7*Исх!$D29/Исх!$C37</f>
        <v>642.8571428571429</v>
      </c>
      <c r="AK11" s="131">
        <f>AK$7*Исх!$D29/Исх!$C37</f>
        <v>642.8571428571429</v>
      </c>
      <c r="AL11" s="131">
        <f>AL$7*Исх!$D29/Исх!$C37</f>
        <v>642.8571428571429</v>
      </c>
      <c r="AM11" s="131">
        <f>AM$7*Исх!$D29/Исх!$C37</f>
        <v>685.7142857142858</v>
      </c>
      <c r="AN11" s="131">
        <f>AN$7*Исх!$D29/Исх!$C37</f>
        <v>685.7142857142858</v>
      </c>
      <c r="AO11" s="131">
        <f>AO$7*Исх!$D29/Исх!$C37</f>
        <v>685.7142857142858</v>
      </c>
      <c r="AP11" s="131">
        <f>SUM(AD11:AO11)</f>
        <v>7585.714285714288</v>
      </c>
      <c r="AQ11" s="131">
        <f>AQ$7*Исх!$D29/Исх!$C37</f>
        <v>8228.57142857143</v>
      </c>
      <c r="AR11" s="131">
        <f>AR$7*Исх!$D29/Исх!$C37</f>
        <v>8742.857142857143</v>
      </c>
      <c r="AS11" s="131">
        <f>AS$7*Исх!$D29/Исх!$C37</f>
        <v>9257.142857142857</v>
      </c>
      <c r="AT11" s="131">
        <f>AT$7*Исх!$D29/Исх!$C37</f>
        <v>9771.428571428572</v>
      </c>
      <c r="AU11" s="131">
        <f>AU$7*Исх!$D29/Исх!$C37</f>
        <v>10285.714285714286</v>
      </c>
      <c r="AV11" s="237"/>
    </row>
    <row r="12" ht="12.75">
      <c r="C12" s="301"/>
    </row>
    <row r="13" spans="1:48" ht="12.75">
      <c r="A13" s="258" t="s">
        <v>232</v>
      </c>
      <c r="B13" s="126"/>
      <c r="C13" s="30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26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26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237"/>
    </row>
    <row r="14" spans="1:48" ht="15" customHeight="1">
      <c r="A14" s="239" t="str">
        <f>A10</f>
        <v>Стакан</v>
      </c>
      <c r="B14" s="126">
        <f>P14+AC14+AP14+AQ14+AR14+AS14+AT14+AU14</f>
        <v>81294</v>
      </c>
      <c r="C14" s="300" t="str">
        <f>C10</f>
        <v>тыс.шт</v>
      </c>
      <c r="D14" s="131"/>
      <c r="E14" s="131"/>
      <c r="F14" s="131"/>
      <c r="G14" s="131"/>
      <c r="H14" s="131"/>
      <c r="I14" s="131"/>
      <c r="J14" s="131">
        <f>J10*Исх!H$48*0.5</f>
        <v>0</v>
      </c>
      <c r="K14" s="131">
        <f>K10*Исх!I$48</f>
        <v>0</v>
      </c>
      <c r="L14" s="131">
        <f>L10*Исх!J$48</f>
        <v>0</v>
      </c>
      <c r="M14" s="131">
        <f>M10*Исх!K$48</f>
        <v>0</v>
      </c>
      <c r="N14" s="131">
        <f>N10*Исх!L$48</f>
        <v>0</v>
      </c>
      <c r="O14" s="131"/>
      <c r="P14" s="127">
        <f>SUM(D14:O14)</f>
        <v>0</v>
      </c>
      <c r="Q14" s="131">
        <f>Q10*Q$16</f>
        <v>192</v>
      </c>
      <c r="R14" s="131">
        <f aca="true" t="shared" si="3" ref="R14:AB14">R10*R$16</f>
        <v>240</v>
      </c>
      <c r="S14" s="131">
        <f t="shared" si="3"/>
        <v>288</v>
      </c>
      <c r="T14" s="131">
        <f t="shared" si="3"/>
        <v>378</v>
      </c>
      <c r="U14" s="131">
        <f t="shared" si="3"/>
        <v>432</v>
      </c>
      <c r="V14" s="131">
        <f t="shared" si="3"/>
        <v>432</v>
      </c>
      <c r="W14" s="131">
        <f t="shared" si="3"/>
        <v>528</v>
      </c>
      <c r="X14" s="131">
        <f t="shared" si="3"/>
        <v>528</v>
      </c>
      <c r="Y14" s="131">
        <f t="shared" si="3"/>
        <v>594</v>
      </c>
      <c r="Z14" s="131">
        <f t="shared" si="3"/>
        <v>702</v>
      </c>
      <c r="AA14" s="131">
        <f t="shared" si="3"/>
        <v>780</v>
      </c>
      <c r="AB14" s="131">
        <f t="shared" si="3"/>
        <v>780</v>
      </c>
      <c r="AC14" s="127">
        <f>SUM(Q14:AB14)</f>
        <v>5874</v>
      </c>
      <c r="AD14" s="131">
        <f aca="true" t="shared" si="4" ref="AD14:AO14">AD10*AD$16</f>
        <v>840</v>
      </c>
      <c r="AE14" s="131">
        <f t="shared" si="4"/>
        <v>840</v>
      </c>
      <c r="AF14" s="131">
        <f t="shared" si="4"/>
        <v>840</v>
      </c>
      <c r="AG14" s="131">
        <f t="shared" si="4"/>
        <v>840</v>
      </c>
      <c r="AH14" s="131">
        <f t="shared" si="4"/>
        <v>840</v>
      </c>
      <c r="AI14" s="131">
        <f t="shared" si="4"/>
        <v>840</v>
      </c>
      <c r="AJ14" s="131">
        <f t="shared" si="4"/>
        <v>900</v>
      </c>
      <c r="AK14" s="131">
        <f t="shared" si="4"/>
        <v>900</v>
      </c>
      <c r="AL14" s="131">
        <f t="shared" si="4"/>
        <v>900</v>
      </c>
      <c r="AM14" s="131">
        <f t="shared" si="4"/>
        <v>960</v>
      </c>
      <c r="AN14" s="131">
        <f t="shared" si="4"/>
        <v>960</v>
      </c>
      <c r="AO14" s="131">
        <f t="shared" si="4"/>
        <v>960</v>
      </c>
      <c r="AP14" s="127">
        <f>SUM(AD14:AO14)</f>
        <v>10620</v>
      </c>
      <c r="AQ14" s="131">
        <f aca="true" t="shared" si="5" ref="AQ14:AU15">AQ10*AQ$16</f>
        <v>11520</v>
      </c>
      <c r="AR14" s="131">
        <f t="shared" si="5"/>
        <v>12240</v>
      </c>
      <c r="AS14" s="131">
        <f t="shared" si="5"/>
        <v>12960</v>
      </c>
      <c r="AT14" s="131">
        <f t="shared" si="5"/>
        <v>13680</v>
      </c>
      <c r="AU14" s="131">
        <f t="shared" si="5"/>
        <v>14400</v>
      </c>
      <c r="AV14" s="237"/>
    </row>
    <row r="15" spans="1:48" ht="15" customHeight="1">
      <c r="A15" s="239" t="str">
        <f>A11</f>
        <v>Фужер</v>
      </c>
      <c r="B15" s="126">
        <f>P15+AC15+AP15+AQ15+AR15+AS15+AT15+AU15</f>
        <v>58067.142857142855</v>
      </c>
      <c r="C15" s="300" t="str">
        <f>C11</f>
        <v>тыс.шт</v>
      </c>
      <c r="D15" s="131"/>
      <c r="E15" s="131"/>
      <c r="F15" s="131"/>
      <c r="G15" s="131"/>
      <c r="H15" s="131"/>
      <c r="I15" s="131"/>
      <c r="J15" s="131">
        <f>J11*Исх!H$48*0.5</f>
        <v>0</v>
      </c>
      <c r="K15" s="131">
        <f>K11*Исх!I$48</f>
        <v>0</v>
      </c>
      <c r="L15" s="131">
        <f>L11*Исх!J$48</f>
        <v>0</v>
      </c>
      <c r="M15" s="131">
        <f>M11*Исх!K$48</f>
        <v>0</v>
      </c>
      <c r="N15" s="131">
        <f>N11*Исх!L$48</f>
        <v>0</v>
      </c>
      <c r="O15" s="131"/>
      <c r="P15" s="127">
        <f>SUM(D15:O15)</f>
        <v>0</v>
      </c>
      <c r="Q15" s="131">
        <f>Q11*Q$16</f>
        <v>137.14285714285717</v>
      </c>
      <c r="R15" s="131">
        <f aca="true" t="shared" si="6" ref="R15:AB15">R11*R$16</f>
        <v>171.42857142857144</v>
      </c>
      <c r="S15" s="131">
        <f t="shared" si="6"/>
        <v>205.71428571428572</v>
      </c>
      <c r="T15" s="131">
        <f t="shared" si="6"/>
        <v>270</v>
      </c>
      <c r="U15" s="131">
        <f t="shared" si="6"/>
        <v>308.5714285714286</v>
      </c>
      <c r="V15" s="131">
        <f t="shared" si="6"/>
        <v>308.5714285714286</v>
      </c>
      <c r="W15" s="131">
        <f t="shared" si="6"/>
        <v>377.14285714285717</v>
      </c>
      <c r="X15" s="131">
        <f t="shared" si="6"/>
        <v>377.14285714285717</v>
      </c>
      <c r="Y15" s="131">
        <f t="shared" si="6"/>
        <v>424.28571428571433</v>
      </c>
      <c r="Z15" s="131">
        <f t="shared" si="6"/>
        <v>501.4285714285715</v>
      </c>
      <c r="AA15" s="131">
        <f t="shared" si="6"/>
        <v>557.1428571428572</v>
      </c>
      <c r="AB15" s="131">
        <f t="shared" si="6"/>
        <v>557.1428571428572</v>
      </c>
      <c r="AC15" s="127">
        <f>SUM(Q15:AB15)</f>
        <v>4195.714285714286</v>
      </c>
      <c r="AD15" s="131">
        <f aca="true" t="shared" si="7" ref="AD15:AO15">AD11*AD$16</f>
        <v>600</v>
      </c>
      <c r="AE15" s="131">
        <f t="shared" si="7"/>
        <v>600</v>
      </c>
      <c r="AF15" s="131">
        <f t="shared" si="7"/>
        <v>600</v>
      </c>
      <c r="AG15" s="131">
        <f t="shared" si="7"/>
        <v>600</v>
      </c>
      <c r="AH15" s="131">
        <f t="shared" si="7"/>
        <v>600</v>
      </c>
      <c r="AI15" s="131">
        <f t="shared" si="7"/>
        <v>600</v>
      </c>
      <c r="AJ15" s="131">
        <f t="shared" si="7"/>
        <v>642.8571428571429</v>
      </c>
      <c r="AK15" s="131">
        <f t="shared" si="7"/>
        <v>642.8571428571429</v>
      </c>
      <c r="AL15" s="131">
        <f t="shared" si="7"/>
        <v>642.8571428571429</v>
      </c>
      <c r="AM15" s="131">
        <f t="shared" si="7"/>
        <v>685.7142857142858</v>
      </c>
      <c r="AN15" s="131">
        <f t="shared" si="7"/>
        <v>685.7142857142858</v>
      </c>
      <c r="AO15" s="131">
        <f t="shared" si="7"/>
        <v>685.7142857142858</v>
      </c>
      <c r="AP15" s="127">
        <f>SUM(AD15:AO15)</f>
        <v>7585.714285714288</v>
      </c>
      <c r="AQ15" s="131">
        <f t="shared" si="5"/>
        <v>8228.57142857143</v>
      </c>
      <c r="AR15" s="131">
        <f t="shared" si="5"/>
        <v>8742.857142857143</v>
      </c>
      <c r="AS15" s="131">
        <f t="shared" si="5"/>
        <v>9257.142857142857</v>
      </c>
      <c r="AT15" s="131">
        <f t="shared" si="5"/>
        <v>9771.428571428572</v>
      </c>
      <c r="AU15" s="131">
        <f t="shared" si="5"/>
        <v>10285.714285714286</v>
      </c>
      <c r="AV15" s="237"/>
    </row>
    <row r="16" spans="1:48" s="320" customFormat="1" ht="11.25">
      <c r="A16" s="320" t="s">
        <v>361</v>
      </c>
      <c r="C16" s="321" t="s">
        <v>42</v>
      </c>
      <c r="Q16" s="323">
        <v>0.4</v>
      </c>
      <c r="R16" s="323">
        <v>0.5</v>
      </c>
      <c r="S16" s="323">
        <v>0.6</v>
      </c>
      <c r="T16" s="323">
        <v>0.7</v>
      </c>
      <c r="U16" s="323">
        <v>0.8</v>
      </c>
      <c r="V16" s="323">
        <v>0.8</v>
      </c>
      <c r="W16" s="323">
        <v>0.8</v>
      </c>
      <c r="X16" s="323">
        <v>0.8</v>
      </c>
      <c r="Y16" s="323">
        <v>0.9</v>
      </c>
      <c r="Z16" s="323">
        <v>0.9</v>
      </c>
      <c r="AA16" s="323">
        <v>1</v>
      </c>
      <c r="AB16" s="323">
        <v>1</v>
      </c>
      <c r="AC16" s="324">
        <f>AVERAGE(Q16:AB16)</f>
        <v>0.7666666666666666</v>
      </c>
      <c r="AD16" s="323">
        <v>1</v>
      </c>
      <c r="AE16" s="323">
        <v>1</v>
      </c>
      <c r="AF16" s="323">
        <v>1</v>
      </c>
      <c r="AG16" s="323">
        <v>1</v>
      </c>
      <c r="AH16" s="323">
        <v>1</v>
      </c>
      <c r="AI16" s="323">
        <v>1</v>
      </c>
      <c r="AJ16" s="323">
        <v>1</v>
      </c>
      <c r="AK16" s="323">
        <v>1</v>
      </c>
      <c r="AL16" s="323">
        <v>1</v>
      </c>
      <c r="AM16" s="323">
        <v>1</v>
      </c>
      <c r="AN16" s="323">
        <v>1</v>
      </c>
      <c r="AO16" s="323">
        <v>1</v>
      </c>
      <c r="AP16" s="324">
        <f>AVERAGE(AD16:AO16)</f>
        <v>1</v>
      </c>
      <c r="AQ16" s="324">
        <f>AP16</f>
        <v>1</v>
      </c>
      <c r="AR16" s="324">
        <f>AQ16</f>
        <v>1</v>
      </c>
      <c r="AS16" s="324">
        <f>AR16</f>
        <v>1</v>
      </c>
      <c r="AT16" s="324">
        <f>AS16</f>
        <v>1</v>
      </c>
      <c r="AU16" s="324">
        <f>AT16</f>
        <v>1</v>
      </c>
      <c r="AV16" s="322"/>
    </row>
    <row r="17" spans="3:48" s="320" customFormat="1" ht="11.25">
      <c r="C17" s="321"/>
      <c r="AV17" s="322"/>
    </row>
    <row r="18" spans="1:48" ht="12.75">
      <c r="A18" s="258" t="s">
        <v>313</v>
      </c>
      <c r="B18" s="126"/>
      <c r="C18" s="30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26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26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237"/>
    </row>
    <row r="19" spans="1:48" ht="15" customHeight="1">
      <c r="A19" s="239" t="str">
        <f>A14</f>
        <v>Стакан</v>
      </c>
      <c r="B19" s="126">
        <f>AU19</f>
        <v>1506</v>
      </c>
      <c r="C19" s="300" t="str">
        <f>C14</f>
        <v>тыс.шт</v>
      </c>
      <c r="D19" s="131"/>
      <c r="E19" s="131">
        <f aca="true" t="shared" si="8" ref="E19:K19">D19+E10-E14</f>
        <v>0</v>
      </c>
      <c r="F19" s="131">
        <f t="shared" si="8"/>
        <v>0</v>
      </c>
      <c r="G19" s="131">
        <f t="shared" si="8"/>
        <v>0</v>
      </c>
      <c r="H19" s="131">
        <f t="shared" si="8"/>
        <v>0</v>
      </c>
      <c r="I19" s="131">
        <f t="shared" si="8"/>
        <v>0</v>
      </c>
      <c r="J19" s="131">
        <f t="shared" si="8"/>
        <v>0</v>
      </c>
      <c r="K19" s="131">
        <f t="shared" si="8"/>
        <v>0</v>
      </c>
      <c r="L19" s="131">
        <f aca="true" t="shared" si="9" ref="L19:O20">K19+L10-L14</f>
        <v>0</v>
      </c>
      <c r="M19" s="131">
        <f t="shared" si="9"/>
        <v>0</v>
      </c>
      <c r="N19" s="131">
        <f t="shared" si="9"/>
        <v>0</v>
      </c>
      <c r="O19" s="131">
        <f t="shared" si="9"/>
        <v>0</v>
      </c>
      <c r="P19" s="127">
        <f>O19</f>
        <v>0</v>
      </c>
      <c r="Q19" s="131">
        <f aca="true" t="shared" si="10" ref="Q19:AB19">P19+Q10-Q14</f>
        <v>288</v>
      </c>
      <c r="R19" s="131">
        <f t="shared" si="10"/>
        <v>528</v>
      </c>
      <c r="S19" s="131">
        <f t="shared" si="10"/>
        <v>720</v>
      </c>
      <c r="T19" s="131">
        <f t="shared" si="10"/>
        <v>882</v>
      </c>
      <c r="U19" s="131">
        <f t="shared" si="10"/>
        <v>990</v>
      </c>
      <c r="V19" s="131">
        <f t="shared" si="10"/>
        <v>1098</v>
      </c>
      <c r="W19" s="131">
        <f t="shared" si="10"/>
        <v>1230</v>
      </c>
      <c r="X19" s="131">
        <f t="shared" si="10"/>
        <v>1362</v>
      </c>
      <c r="Y19" s="131">
        <f t="shared" si="10"/>
        <v>1428</v>
      </c>
      <c r="Z19" s="131">
        <f t="shared" si="10"/>
        <v>1506</v>
      </c>
      <c r="AA19" s="131">
        <f t="shared" si="10"/>
        <v>1506</v>
      </c>
      <c r="AB19" s="131">
        <f t="shared" si="10"/>
        <v>1506</v>
      </c>
      <c r="AC19" s="127">
        <f>AB19</f>
        <v>1506</v>
      </c>
      <c r="AD19" s="131">
        <f aca="true" t="shared" si="11" ref="AD19:AO19">AC19+AD10-AD14</f>
        <v>1506</v>
      </c>
      <c r="AE19" s="131">
        <f t="shared" si="11"/>
        <v>1506</v>
      </c>
      <c r="AF19" s="131">
        <f t="shared" si="11"/>
        <v>1506</v>
      </c>
      <c r="AG19" s="131">
        <f t="shared" si="11"/>
        <v>1506</v>
      </c>
      <c r="AH19" s="131">
        <f t="shared" si="11"/>
        <v>1506</v>
      </c>
      <c r="AI19" s="131">
        <f t="shared" si="11"/>
        <v>1506</v>
      </c>
      <c r="AJ19" s="131">
        <f t="shared" si="11"/>
        <v>1506</v>
      </c>
      <c r="AK19" s="131">
        <f t="shared" si="11"/>
        <v>1506</v>
      </c>
      <c r="AL19" s="131">
        <f t="shared" si="11"/>
        <v>1506</v>
      </c>
      <c r="AM19" s="131">
        <f t="shared" si="11"/>
        <v>1506</v>
      </c>
      <c r="AN19" s="131">
        <f t="shared" si="11"/>
        <v>1506</v>
      </c>
      <c r="AO19" s="131">
        <f t="shared" si="11"/>
        <v>1506</v>
      </c>
      <c r="AP19" s="131">
        <f>AO19</f>
        <v>1506</v>
      </c>
      <c r="AQ19" s="131">
        <f aca="true" t="shared" si="12" ref="AQ19:AU20">AP19+AQ10-AQ14</f>
        <v>1506</v>
      </c>
      <c r="AR19" s="131">
        <f t="shared" si="12"/>
        <v>1506</v>
      </c>
      <c r="AS19" s="131">
        <f t="shared" si="12"/>
        <v>1506</v>
      </c>
      <c r="AT19" s="131">
        <f t="shared" si="12"/>
        <v>1506</v>
      </c>
      <c r="AU19" s="131">
        <f t="shared" si="12"/>
        <v>1506</v>
      </c>
      <c r="AV19" s="237"/>
    </row>
    <row r="20" spans="1:48" ht="15" customHeight="1">
      <c r="A20" s="239" t="str">
        <f>A15</f>
        <v>Фужер</v>
      </c>
      <c r="B20" s="126">
        <f>AU20</f>
        <v>1075.7142857142844</v>
      </c>
      <c r="C20" s="300" t="str">
        <f>C15</f>
        <v>тыс.шт</v>
      </c>
      <c r="D20" s="131"/>
      <c r="E20" s="131">
        <f aca="true" t="shared" si="13" ref="E20:K20">D20+E11-E15</f>
        <v>0</v>
      </c>
      <c r="F20" s="131">
        <f t="shared" si="13"/>
        <v>0</v>
      </c>
      <c r="G20" s="131">
        <f t="shared" si="13"/>
        <v>0</v>
      </c>
      <c r="H20" s="131">
        <f t="shared" si="13"/>
        <v>0</v>
      </c>
      <c r="I20" s="131">
        <f t="shared" si="13"/>
        <v>0</v>
      </c>
      <c r="J20" s="131">
        <f t="shared" si="13"/>
        <v>0</v>
      </c>
      <c r="K20" s="131">
        <f t="shared" si="13"/>
        <v>0</v>
      </c>
      <c r="L20" s="131">
        <f t="shared" si="9"/>
        <v>0</v>
      </c>
      <c r="M20" s="131">
        <f t="shared" si="9"/>
        <v>0</v>
      </c>
      <c r="N20" s="131">
        <f t="shared" si="9"/>
        <v>0</v>
      </c>
      <c r="O20" s="131">
        <f t="shared" si="9"/>
        <v>0</v>
      </c>
      <c r="P20" s="127">
        <f>O20</f>
        <v>0</v>
      </c>
      <c r="Q20" s="131">
        <f aca="true" t="shared" si="14" ref="Q20:AB20">P20+Q11-Q15</f>
        <v>205.71428571428572</v>
      </c>
      <c r="R20" s="131">
        <f t="shared" si="14"/>
        <v>377.1428571428572</v>
      </c>
      <c r="S20" s="131">
        <f t="shared" si="14"/>
        <v>514.2857142857144</v>
      </c>
      <c r="T20" s="131">
        <f t="shared" si="14"/>
        <v>630.0000000000002</v>
      </c>
      <c r="U20" s="131">
        <f t="shared" si="14"/>
        <v>707.1428571428573</v>
      </c>
      <c r="V20" s="131">
        <f t="shared" si="14"/>
        <v>784.2857142857144</v>
      </c>
      <c r="W20" s="131">
        <f t="shared" si="14"/>
        <v>878.5714285714287</v>
      </c>
      <c r="X20" s="131">
        <f t="shared" si="14"/>
        <v>972.8571428571429</v>
      </c>
      <c r="Y20" s="131">
        <f t="shared" si="14"/>
        <v>1019.9999999999999</v>
      </c>
      <c r="Z20" s="131">
        <f t="shared" si="14"/>
        <v>1075.7142857142856</v>
      </c>
      <c r="AA20" s="131">
        <f t="shared" si="14"/>
        <v>1075.7142857142853</v>
      </c>
      <c r="AB20" s="131">
        <f t="shared" si="14"/>
        <v>1075.7142857142853</v>
      </c>
      <c r="AC20" s="127">
        <f>AB20</f>
        <v>1075.7142857142853</v>
      </c>
      <c r="AD20" s="131">
        <f aca="true" t="shared" si="15" ref="AD20:AO20">AC20+AD11-AD15</f>
        <v>1075.7142857142853</v>
      </c>
      <c r="AE20" s="131">
        <f t="shared" si="15"/>
        <v>1075.7142857142853</v>
      </c>
      <c r="AF20" s="131">
        <f t="shared" si="15"/>
        <v>1075.7142857142853</v>
      </c>
      <c r="AG20" s="131">
        <f t="shared" si="15"/>
        <v>1075.7142857142853</v>
      </c>
      <c r="AH20" s="131">
        <f t="shared" si="15"/>
        <v>1075.7142857142853</v>
      </c>
      <c r="AI20" s="131">
        <f t="shared" si="15"/>
        <v>1075.7142857142853</v>
      </c>
      <c r="AJ20" s="131">
        <f t="shared" si="15"/>
        <v>1075.7142857142853</v>
      </c>
      <c r="AK20" s="131">
        <f t="shared" si="15"/>
        <v>1075.7142857142853</v>
      </c>
      <c r="AL20" s="131">
        <f t="shared" si="15"/>
        <v>1075.7142857142853</v>
      </c>
      <c r="AM20" s="131">
        <f t="shared" si="15"/>
        <v>1075.7142857142853</v>
      </c>
      <c r="AN20" s="131">
        <f t="shared" si="15"/>
        <v>1075.7142857142853</v>
      </c>
      <c r="AO20" s="131">
        <f t="shared" si="15"/>
        <v>1075.7142857142853</v>
      </c>
      <c r="AP20" s="131">
        <f>AO20</f>
        <v>1075.7142857142853</v>
      </c>
      <c r="AQ20" s="131">
        <f t="shared" si="12"/>
        <v>1075.7142857142844</v>
      </c>
      <c r="AR20" s="131">
        <f t="shared" si="12"/>
        <v>1075.7142857142844</v>
      </c>
      <c r="AS20" s="131">
        <f t="shared" si="12"/>
        <v>1075.7142857142844</v>
      </c>
      <c r="AT20" s="131">
        <f t="shared" si="12"/>
        <v>1075.7142857142844</v>
      </c>
      <c r="AU20" s="131">
        <f t="shared" si="12"/>
        <v>1075.7142857142844</v>
      </c>
      <c r="AV20" s="237"/>
    </row>
    <row r="22" spans="1:13" ht="12.75">
      <c r="A22" s="262" t="s">
        <v>233</v>
      </c>
      <c r="B22" s="259">
        <f>B10-B14-B19</f>
        <v>0</v>
      </c>
      <c r="M22" s="298"/>
    </row>
    <row r="23" spans="1:13" ht="12.75">
      <c r="A23" s="262"/>
      <c r="B23" s="259">
        <f>B11-B15-B20</f>
        <v>5.4569682106375694E-12</v>
      </c>
      <c r="M23" s="298"/>
    </row>
  </sheetData>
  <sheetProtection/>
  <mergeCells count="6">
    <mergeCell ref="A3:A4"/>
    <mergeCell ref="B3:B4"/>
    <mergeCell ref="D3:P3"/>
    <mergeCell ref="Q3:AC3"/>
    <mergeCell ref="AD3:AP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8.875" defaultRowHeight="12.75"/>
  <cols>
    <col min="1" max="1" width="40.25390625" style="77" customWidth="1"/>
    <col min="2" max="2" width="11.75390625" style="77" customWidth="1"/>
    <col min="3" max="3" width="9.375" style="77" customWidth="1"/>
    <col min="4" max="4" width="16.00390625" style="77" customWidth="1"/>
    <col min="5" max="5" width="14.625" style="77" bestFit="1" customWidth="1"/>
    <col min="6" max="6" width="17.375" style="77" customWidth="1"/>
    <col min="7" max="7" width="18.125" style="77" customWidth="1"/>
    <col min="8" max="8" width="10.75390625" style="77" customWidth="1"/>
    <col min="9" max="9" width="12.625" style="77" customWidth="1"/>
    <col min="10" max="10" width="11.625" style="77" customWidth="1"/>
    <col min="11" max="16384" width="8.875" style="77" customWidth="1"/>
  </cols>
  <sheetData>
    <row r="1" spans="1:6" ht="12.75">
      <c r="A1" s="61" t="s">
        <v>195</v>
      </c>
      <c r="B1" s="61"/>
      <c r="D1" s="61"/>
      <c r="F1" s="61"/>
    </row>
    <row r="2" spans="1:6" ht="12.75">
      <c r="A2" s="61"/>
      <c r="D2" s="61"/>
      <c r="F2" s="61"/>
    </row>
    <row r="3" spans="1:5" ht="12.75">
      <c r="A3" s="309" t="s">
        <v>43</v>
      </c>
      <c r="D3" s="378"/>
      <c r="E3" s="378"/>
    </row>
    <row r="4" spans="1:7" ht="12.75">
      <c r="A4" s="365" t="s">
        <v>202</v>
      </c>
      <c r="B4" s="376" t="s">
        <v>193</v>
      </c>
      <c r="C4" s="376" t="s">
        <v>231</v>
      </c>
      <c r="D4" s="374" t="str">
        <f>Дох!A6</f>
        <v>Стакан</v>
      </c>
      <c r="E4" s="375"/>
      <c r="F4" s="374" t="str">
        <f>Дох!A7</f>
        <v>Фужер</v>
      </c>
      <c r="G4" s="375"/>
    </row>
    <row r="5" spans="1:7" ht="25.5">
      <c r="A5" s="366"/>
      <c r="B5" s="377"/>
      <c r="C5" s="377"/>
      <c r="D5" s="253" t="s">
        <v>364</v>
      </c>
      <c r="E5" s="253" t="s">
        <v>365</v>
      </c>
      <c r="F5" s="253" t="s">
        <v>364</v>
      </c>
      <c r="G5" s="253" t="s">
        <v>365</v>
      </c>
    </row>
    <row r="6" spans="1:7" ht="12.75">
      <c r="A6" s="80" t="s">
        <v>366</v>
      </c>
      <c r="B6" s="235" t="s">
        <v>320</v>
      </c>
      <c r="C6" s="144">
        <f>Исх!C33/1000</f>
        <v>40.599999999999994</v>
      </c>
      <c r="D6" s="256">
        <f>Исх!C36</f>
        <v>0.25</v>
      </c>
      <c r="E6" s="247">
        <f>D6*$C6</f>
        <v>10.149999999999999</v>
      </c>
      <c r="F6" s="256">
        <f>Исх!C37</f>
        <v>0.35</v>
      </c>
      <c r="G6" s="247">
        <f>F6*$C6</f>
        <v>14.209999999999997</v>
      </c>
    </row>
    <row r="7" spans="1:7" ht="12.75">
      <c r="A7" s="80" t="s">
        <v>367</v>
      </c>
      <c r="B7" s="235" t="s">
        <v>42</v>
      </c>
      <c r="C7" s="327">
        <v>0.05</v>
      </c>
      <c r="D7" s="256">
        <f>D6*$C7</f>
        <v>0.0125</v>
      </c>
      <c r="E7" s="247">
        <f>D7*$C6</f>
        <v>0.5075</v>
      </c>
      <c r="F7" s="256">
        <f>F6*$C7</f>
        <v>0.017499999999999998</v>
      </c>
      <c r="G7" s="247">
        <f>F7*$C6</f>
        <v>0.7104999999999998</v>
      </c>
    </row>
    <row r="8" spans="1:7" ht="12.75">
      <c r="A8" s="80" t="s">
        <v>368</v>
      </c>
      <c r="B8" s="235" t="s">
        <v>369</v>
      </c>
      <c r="C8" s="144">
        <v>10</v>
      </c>
      <c r="D8" s="144">
        <v>1</v>
      </c>
      <c r="E8" s="247">
        <f>D8*$C8</f>
        <v>10</v>
      </c>
      <c r="F8" s="144">
        <v>1</v>
      </c>
      <c r="G8" s="247">
        <f>F8*$C8</f>
        <v>10</v>
      </c>
    </row>
    <row r="9" spans="1:7" ht="12.75">
      <c r="A9" s="80" t="s">
        <v>262</v>
      </c>
      <c r="B9" s="235" t="s">
        <v>314</v>
      </c>
      <c r="C9" s="145">
        <f>Исх!C34/Исх!C19</f>
        <v>15.589285714285714</v>
      </c>
      <c r="D9" s="256">
        <f>Исх!D39*Исх!D28/1000*Исх!C36</f>
        <v>0.05</v>
      </c>
      <c r="E9" s="247">
        <f>D9*$C9</f>
        <v>0.7794642857142857</v>
      </c>
      <c r="F9" s="256">
        <f>Исх!D39*Исх!D29/1000*Исх!C37</f>
        <v>0.06999999999999999</v>
      </c>
      <c r="G9" s="247">
        <f>F9*$C9</f>
        <v>1.0912499999999998</v>
      </c>
    </row>
    <row r="10" spans="1:8" ht="12.75">
      <c r="A10" s="155" t="s">
        <v>0</v>
      </c>
      <c r="B10" s="254"/>
      <c r="C10" s="249"/>
      <c r="D10" s="255"/>
      <c r="E10" s="249">
        <f>SUM(E6:E9)</f>
        <v>21.436964285714286</v>
      </c>
      <c r="F10" s="255"/>
      <c r="G10" s="249">
        <f>SUM(G6:G9)</f>
        <v>26.011749999999996</v>
      </c>
      <c r="H10" s="147"/>
    </row>
    <row r="11" spans="1:7" s="147" customFormat="1" ht="12.75">
      <c r="A11" s="147" t="s">
        <v>237</v>
      </c>
      <c r="E11" s="264">
        <f>('2-ф2'!$B$12+'2-ф2'!$B$13+'2-ф2'!$B$14)*'Расх перем'!E12</f>
        <v>889507.9831356582</v>
      </c>
      <c r="G11" s="264">
        <f>('2-ф2'!$B$12+'2-ф2'!$B$13+'2-ф2'!$B$14)*'Расх перем'!G12</f>
        <v>675073.022915455</v>
      </c>
    </row>
    <row r="12" spans="1:7" s="147" customFormat="1" ht="12.75">
      <c r="A12" s="147" t="s">
        <v>234</v>
      </c>
      <c r="E12" s="263">
        <f>'2-ф2'!$B$6/'2-ф2'!$B$5</f>
        <v>0.5685279187817258</v>
      </c>
      <c r="F12" s="263"/>
      <c r="G12" s="263">
        <f>'2-ф2'!$B$7/'2-ф2'!$B$5</f>
        <v>0.43147208121827413</v>
      </c>
    </row>
    <row r="13" spans="1:7" s="147" customFormat="1" ht="12.75">
      <c r="A13" s="147" t="s">
        <v>236</v>
      </c>
      <c r="E13" s="264">
        <f>E11/Производство!$B$14</f>
        <v>10.941865120865724</v>
      </c>
      <c r="G13" s="264">
        <f>G11/Производство!$B$14</f>
        <v>8.30409406494274</v>
      </c>
    </row>
    <row r="14" spans="1:7" s="147" customFormat="1" ht="12.75">
      <c r="A14" s="265" t="s">
        <v>235</v>
      </c>
      <c r="B14" s="266"/>
      <c r="C14" s="266"/>
      <c r="D14" s="266"/>
      <c r="E14" s="328">
        <f>E10+E13</f>
        <v>32.37882940658001</v>
      </c>
      <c r="F14" s="266"/>
      <c r="G14" s="328">
        <f>G10+G13</f>
        <v>34.31584406494274</v>
      </c>
    </row>
    <row r="15" s="147" customFormat="1" ht="12.75"/>
  </sheetData>
  <sheetProtection/>
  <mergeCells count="6">
    <mergeCell ref="D4:E4"/>
    <mergeCell ref="A4:A5"/>
    <mergeCell ref="B4:B5"/>
    <mergeCell ref="C4:C5"/>
    <mergeCell ref="F4:G4"/>
    <mergeCell ref="D3:E3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42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31" sqref="D31"/>
    </sheetView>
  </sheetViews>
  <sheetFormatPr defaultColWidth="9.00390625" defaultRowHeight="12.75"/>
  <cols>
    <col min="1" max="1" width="5.625" style="77" customWidth="1"/>
    <col min="2" max="2" width="33.375" style="77" customWidth="1"/>
    <col min="3" max="3" width="10.00390625" style="77" customWidth="1"/>
    <col min="4" max="4" width="11.625" style="77" customWidth="1"/>
    <col min="5" max="5" width="12.75390625" style="77" customWidth="1"/>
    <col min="6" max="9" width="11.625" style="77" customWidth="1"/>
    <col min="10" max="10" width="10.125" style="77" customWidth="1"/>
    <col min="11" max="11" width="12.00390625" style="77" customWidth="1"/>
    <col min="12" max="16384" width="9.125" style="77" customWidth="1"/>
  </cols>
  <sheetData>
    <row r="1" ht="5.25" customHeight="1"/>
    <row r="2" spans="1:13" ht="16.5" customHeight="1">
      <c r="A2" s="61" t="s">
        <v>143</v>
      </c>
      <c r="D2" s="165"/>
      <c r="E2" s="165"/>
      <c r="F2" s="165"/>
      <c r="G2" s="165"/>
      <c r="H2" s="165"/>
      <c r="I2" s="165"/>
      <c r="J2" s="165"/>
      <c r="K2" s="146" t="str">
        <f>Исх!C10</f>
        <v>тыс.тг.</v>
      </c>
      <c r="M2" s="246">
        <f>'1-Ф3'!$B$2</f>
        <v>0</v>
      </c>
    </row>
    <row r="3" spans="1:11" ht="8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42" customHeight="1">
      <c r="A4" s="149" t="s">
        <v>36</v>
      </c>
      <c r="B4" s="150" t="s">
        <v>37</v>
      </c>
      <c r="C4" s="218" t="s">
        <v>38</v>
      </c>
      <c r="D4" s="151" t="s">
        <v>96</v>
      </c>
      <c r="E4" s="151" t="s">
        <v>97</v>
      </c>
      <c r="F4" s="151" t="s">
        <v>47</v>
      </c>
      <c r="G4" s="151" t="s">
        <v>48</v>
      </c>
      <c r="H4" s="151" t="s">
        <v>49</v>
      </c>
      <c r="I4" s="151" t="s">
        <v>50</v>
      </c>
      <c r="J4" s="151" t="s">
        <v>51</v>
      </c>
      <c r="K4" s="151" t="s">
        <v>45</v>
      </c>
    </row>
    <row r="5" spans="1:11" s="61" customFormat="1" ht="12.75">
      <c r="A5" s="142"/>
      <c r="B5" s="152" t="s">
        <v>95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2.75">
      <c r="A6" s="80">
        <v>1</v>
      </c>
      <c r="B6" s="80" t="s">
        <v>242</v>
      </c>
      <c r="C6" s="306">
        <v>1</v>
      </c>
      <c r="D6" s="144">
        <v>250</v>
      </c>
      <c r="E6" s="153">
        <f aca="true" t="shared" si="0" ref="E6:E11">C6*D6</f>
        <v>250</v>
      </c>
      <c r="F6" s="153">
        <f aca="true" t="shared" si="1" ref="F6:F11">E6*$C$36</f>
        <v>25</v>
      </c>
      <c r="G6" s="153">
        <f aca="true" t="shared" si="2" ref="G6:G11">(E6-$C$40-F6)*$C$38</f>
        <v>20.634</v>
      </c>
      <c r="H6" s="153">
        <f aca="true" t="shared" si="3" ref="H6:H11">(E6-F6)*$C$37</f>
        <v>11.25</v>
      </c>
      <c r="I6" s="153">
        <f aca="true" t="shared" si="4" ref="I6:I11">(E6-F6)*$C$39-H6</f>
        <v>13.5</v>
      </c>
      <c r="J6" s="153">
        <f aca="true" t="shared" si="5" ref="J6:J11">E6-F6-G6</f>
        <v>204.36599999999999</v>
      </c>
      <c r="K6" s="154">
        <f aca="true" t="shared" si="6" ref="K6:K11">SUM(F6:J6)</f>
        <v>274.75</v>
      </c>
    </row>
    <row r="7" spans="1:11" ht="12.75">
      <c r="A7" s="80">
        <v>2</v>
      </c>
      <c r="B7" s="80" t="s">
        <v>243</v>
      </c>
      <c r="C7" s="306">
        <v>1</v>
      </c>
      <c r="D7" s="144">
        <v>150</v>
      </c>
      <c r="E7" s="153">
        <f t="shared" si="0"/>
        <v>150</v>
      </c>
      <c r="F7" s="153">
        <f t="shared" si="1"/>
        <v>15</v>
      </c>
      <c r="G7" s="153">
        <f t="shared" si="2"/>
        <v>11.634</v>
      </c>
      <c r="H7" s="153">
        <f t="shared" si="3"/>
        <v>6.75</v>
      </c>
      <c r="I7" s="153">
        <f t="shared" si="4"/>
        <v>8.1</v>
      </c>
      <c r="J7" s="153">
        <f t="shared" si="5"/>
        <v>123.366</v>
      </c>
      <c r="K7" s="154">
        <f t="shared" si="6"/>
        <v>164.85</v>
      </c>
    </row>
    <row r="8" spans="1:11" ht="12.75">
      <c r="A8" s="80">
        <v>3</v>
      </c>
      <c r="B8" s="80" t="s">
        <v>374</v>
      </c>
      <c r="C8" s="306">
        <v>1</v>
      </c>
      <c r="D8" s="144">
        <v>150</v>
      </c>
      <c r="E8" s="153">
        <f t="shared" si="0"/>
        <v>150</v>
      </c>
      <c r="F8" s="153">
        <f t="shared" si="1"/>
        <v>15</v>
      </c>
      <c r="G8" s="153">
        <f t="shared" si="2"/>
        <v>11.634</v>
      </c>
      <c r="H8" s="153">
        <f t="shared" si="3"/>
        <v>6.75</v>
      </c>
      <c r="I8" s="153">
        <f t="shared" si="4"/>
        <v>8.1</v>
      </c>
      <c r="J8" s="153">
        <f t="shared" si="5"/>
        <v>123.366</v>
      </c>
      <c r="K8" s="154">
        <f t="shared" si="6"/>
        <v>164.85</v>
      </c>
    </row>
    <row r="9" spans="1:11" ht="12.75">
      <c r="A9" s="80">
        <v>4</v>
      </c>
      <c r="B9" s="80" t="s">
        <v>375</v>
      </c>
      <c r="C9" s="306">
        <v>1</v>
      </c>
      <c r="D9" s="144">
        <v>140</v>
      </c>
      <c r="E9" s="153">
        <f t="shared" si="0"/>
        <v>140</v>
      </c>
      <c r="F9" s="153">
        <f t="shared" si="1"/>
        <v>14</v>
      </c>
      <c r="G9" s="153">
        <f t="shared" si="2"/>
        <v>10.734000000000002</v>
      </c>
      <c r="H9" s="153">
        <f t="shared" si="3"/>
        <v>6.300000000000001</v>
      </c>
      <c r="I9" s="153">
        <f t="shared" si="4"/>
        <v>7.559999999999999</v>
      </c>
      <c r="J9" s="153">
        <f t="shared" si="5"/>
        <v>115.26599999999999</v>
      </c>
      <c r="K9" s="154">
        <f t="shared" si="6"/>
        <v>153.85999999999999</v>
      </c>
    </row>
    <row r="10" spans="1:11" ht="12.75">
      <c r="A10" s="80">
        <v>5</v>
      </c>
      <c r="B10" s="80" t="s">
        <v>376</v>
      </c>
      <c r="C10" s="306">
        <v>1</v>
      </c>
      <c r="D10" s="144">
        <v>100</v>
      </c>
      <c r="E10" s="153">
        <f t="shared" si="0"/>
        <v>100</v>
      </c>
      <c r="F10" s="153">
        <f t="shared" si="1"/>
        <v>10</v>
      </c>
      <c r="G10" s="153">
        <f t="shared" si="2"/>
        <v>7.134</v>
      </c>
      <c r="H10" s="153">
        <f t="shared" si="3"/>
        <v>4.5</v>
      </c>
      <c r="I10" s="153">
        <f t="shared" si="4"/>
        <v>5.4</v>
      </c>
      <c r="J10" s="153">
        <f t="shared" si="5"/>
        <v>82.866</v>
      </c>
      <c r="K10" s="154">
        <f t="shared" si="6"/>
        <v>109.9</v>
      </c>
    </row>
    <row r="11" spans="1:11" ht="12.75">
      <c r="A11" s="80">
        <v>6</v>
      </c>
      <c r="B11" s="80" t="s">
        <v>323</v>
      </c>
      <c r="C11" s="306">
        <v>1</v>
      </c>
      <c r="D11" s="144">
        <v>100</v>
      </c>
      <c r="E11" s="153">
        <f t="shared" si="0"/>
        <v>100</v>
      </c>
      <c r="F11" s="153">
        <f t="shared" si="1"/>
        <v>10</v>
      </c>
      <c r="G11" s="153">
        <f t="shared" si="2"/>
        <v>7.134</v>
      </c>
      <c r="H11" s="153">
        <f t="shared" si="3"/>
        <v>4.5</v>
      </c>
      <c r="I11" s="153">
        <f t="shared" si="4"/>
        <v>5.4</v>
      </c>
      <c r="J11" s="153">
        <f t="shared" si="5"/>
        <v>82.866</v>
      </c>
      <c r="K11" s="154">
        <f t="shared" si="6"/>
        <v>109.9</v>
      </c>
    </row>
    <row r="12" spans="1:11" s="61" customFormat="1" ht="12.75">
      <c r="A12" s="155"/>
      <c r="B12" s="155" t="s">
        <v>0</v>
      </c>
      <c r="C12" s="31">
        <f aca="true" t="shared" si="7" ref="C12:K12">SUM(C6:C11)</f>
        <v>6</v>
      </c>
      <c r="D12" s="31">
        <f t="shared" si="7"/>
        <v>890</v>
      </c>
      <c r="E12" s="31">
        <f t="shared" si="7"/>
        <v>890</v>
      </c>
      <c r="F12" s="31">
        <f t="shared" si="7"/>
        <v>89</v>
      </c>
      <c r="G12" s="31">
        <f t="shared" si="7"/>
        <v>68.904</v>
      </c>
      <c r="H12" s="31">
        <f t="shared" si="7"/>
        <v>40.05</v>
      </c>
      <c r="I12" s="31">
        <f t="shared" si="7"/>
        <v>48.06</v>
      </c>
      <c r="J12" s="31">
        <f t="shared" si="7"/>
        <v>732.0959999999999</v>
      </c>
      <c r="K12" s="31">
        <f t="shared" si="7"/>
        <v>978.11</v>
      </c>
    </row>
    <row r="13" spans="1:12" s="61" customFormat="1" ht="12.75">
      <c r="A13" s="142"/>
      <c r="B13" s="142" t="s">
        <v>312</v>
      </c>
      <c r="C13" s="142"/>
      <c r="D13" s="143"/>
      <c r="E13" s="143"/>
      <c r="F13" s="143"/>
      <c r="G13" s="143"/>
      <c r="H13" s="143"/>
      <c r="I13" s="143"/>
      <c r="J13" s="143"/>
      <c r="K13" s="143"/>
      <c r="L13" s="77"/>
    </row>
    <row r="14" spans="1:11" ht="12.75">
      <c r="A14" s="80">
        <v>1</v>
      </c>
      <c r="B14" s="80" t="s">
        <v>331</v>
      </c>
      <c r="C14" s="144">
        <v>1</v>
      </c>
      <c r="D14" s="144">
        <v>120</v>
      </c>
      <c r="E14" s="153">
        <f aca="true" t="shared" si="8" ref="E14:E20">C14*D14</f>
        <v>120</v>
      </c>
      <c r="F14" s="153">
        <f aca="true" t="shared" si="9" ref="F14:F20">E14*$C$36</f>
        <v>12</v>
      </c>
      <c r="G14" s="153">
        <f aca="true" t="shared" si="10" ref="G14:G20">(E14-$C$40-F14)*$C$38</f>
        <v>8.934000000000001</v>
      </c>
      <c r="H14" s="153">
        <f aca="true" t="shared" si="11" ref="H14:H20">(E14-F14)*$C$37</f>
        <v>5.4</v>
      </c>
      <c r="I14" s="153">
        <f aca="true" t="shared" si="12" ref="I14:I20">(E14-F14)*$C$39-H14</f>
        <v>6.48</v>
      </c>
      <c r="J14" s="153">
        <f aca="true" t="shared" si="13" ref="J14:J20">E14-F14-G14</f>
        <v>99.066</v>
      </c>
      <c r="K14" s="154">
        <f aca="true" t="shared" si="14" ref="K14:K20">SUM(F14:J14)</f>
        <v>131.88</v>
      </c>
    </row>
    <row r="15" spans="1:11" ht="12.75">
      <c r="A15" s="80">
        <v>2</v>
      </c>
      <c r="B15" s="80" t="s">
        <v>332</v>
      </c>
      <c r="C15" s="144">
        <v>1</v>
      </c>
      <c r="D15" s="144">
        <v>120</v>
      </c>
      <c r="E15" s="153">
        <f t="shared" si="8"/>
        <v>120</v>
      </c>
      <c r="F15" s="153">
        <f t="shared" si="9"/>
        <v>12</v>
      </c>
      <c r="G15" s="153">
        <f t="shared" si="10"/>
        <v>8.934000000000001</v>
      </c>
      <c r="H15" s="153">
        <f t="shared" si="11"/>
        <v>5.4</v>
      </c>
      <c r="I15" s="153">
        <f t="shared" si="12"/>
        <v>6.48</v>
      </c>
      <c r="J15" s="153">
        <f t="shared" si="13"/>
        <v>99.066</v>
      </c>
      <c r="K15" s="154">
        <f t="shared" si="14"/>
        <v>131.88</v>
      </c>
    </row>
    <row r="16" spans="1:11" ht="12.75">
      <c r="A16" s="80">
        <v>3</v>
      </c>
      <c r="B16" s="80" t="s">
        <v>372</v>
      </c>
      <c r="C16" s="144">
        <v>5</v>
      </c>
      <c r="D16" s="144">
        <v>80</v>
      </c>
      <c r="E16" s="153">
        <f>C16*D16</f>
        <v>400</v>
      </c>
      <c r="F16" s="153">
        <f t="shared" si="9"/>
        <v>40</v>
      </c>
      <c r="G16" s="153">
        <f t="shared" si="10"/>
        <v>34.134</v>
      </c>
      <c r="H16" s="153">
        <f t="shared" si="11"/>
        <v>18</v>
      </c>
      <c r="I16" s="153">
        <f t="shared" si="12"/>
        <v>21.6</v>
      </c>
      <c r="J16" s="153">
        <f>E16-F16-G16</f>
        <v>325.866</v>
      </c>
      <c r="K16" s="154">
        <f>SUM(F16:J16)</f>
        <v>439.6</v>
      </c>
    </row>
    <row r="17" spans="1:11" ht="12.75">
      <c r="A17" s="80">
        <v>4</v>
      </c>
      <c r="B17" s="80" t="s">
        <v>333</v>
      </c>
      <c r="C17" s="144">
        <v>1</v>
      </c>
      <c r="D17" s="144">
        <v>80</v>
      </c>
      <c r="E17" s="153">
        <f t="shared" si="8"/>
        <v>80</v>
      </c>
      <c r="F17" s="153">
        <f t="shared" si="9"/>
        <v>8</v>
      </c>
      <c r="G17" s="153">
        <f t="shared" si="10"/>
        <v>5.3340000000000005</v>
      </c>
      <c r="H17" s="153">
        <f t="shared" si="11"/>
        <v>3.6</v>
      </c>
      <c r="I17" s="153">
        <f t="shared" si="12"/>
        <v>4.32</v>
      </c>
      <c r="J17" s="153">
        <f t="shared" si="13"/>
        <v>66.666</v>
      </c>
      <c r="K17" s="154">
        <f t="shared" si="14"/>
        <v>87.92</v>
      </c>
    </row>
    <row r="18" spans="1:11" ht="12.75">
      <c r="A18" s="80">
        <v>5</v>
      </c>
      <c r="B18" s="80" t="s">
        <v>334</v>
      </c>
      <c r="C18" s="144">
        <v>1</v>
      </c>
      <c r="D18" s="144">
        <v>80</v>
      </c>
      <c r="E18" s="153">
        <f t="shared" si="8"/>
        <v>80</v>
      </c>
      <c r="F18" s="153">
        <f t="shared" si="9"/>
        <v>8</v>
      </c>
      <c r="G18" s="153">
        <f t="shared" si="10"/>
        <v>5.3340000000000005</v>
      </c>
      <c r="H18" s="153">
        <f t="shared" si="11"/>
        <v>3.6</v>
      </c>
      <c r="I18" s="153">
        <f t="shared" si="12"/>
        <v>4.32</v>
      </c>
      <c r="J18" s="153">
        <f t="shared" si="13"/>
        <v>66.666</v>
      </c>
      <c r="K18" s="154">
        <f t="shared" si="14"/>
        <v>87.92</v>
      </c>
    </row>
    <row r="19" spans="1:11" ht="12.75">
      <c r="A19" s="80">
        <v>6</v>
      </c>
      <c r="B19" s="80" t="s">
        <v>335</v>
      </c>
      <c r="C19" s="144">
        <v>1</v>
      </c>
      <c r="D19" s="144">
        <v>80</v>
      </c>
      <c r="E19" s="153">
        <f t="shared" si="8"/>
        <v>80</v>
      </c>
      <c r="F19" s="153">
        <f t="shared" si="9"/>
        <v>8</v>
      </c>
      <c r="G19" s="153">
        <f t="shared" si="10"/>
        <v>5.3340000000000005</v>
      </c>
      <c r="H19" s="153">
        <f t="shared" si="11"/>
        <v>3.6</v>
      </c>
      <c r="I19" s="153">
        <f t="shared" si="12"/>
        <v>4.32</v>
      </c>
      <c r="J19" s="153">
        <f t="shared" si="13"/>
        <v>66.666</v>
      </c>
      <c r="K19" s="154">
        <f t="shared" si="14"/>
        <v>87.92</v>
      </c>
    </row>
    <row r="20" spans="1:11" ht="12.75">
      <c r="A20" s="80">
        <v>7</v>
      </c>
      <c r="B20" s="80" t="s">
        <v>378</v>
      </c>
      <c r="C20" s="144">
        <v>10</v>
      </c>
      <c r="D20" s="144">
        <v>80</v>
      </c>
      <c r="E20" s="153">
        <f t="shared" si="8"/>
        <v>800</v>
      </c>
      <c r="F20" s="153">
        <f t="shared" si="9"/>
        <v>80</v>
      </c>
      <c r="G20" s="153">
        <f t="shared" si="10"/>
        <v>70.134</v>
      </c>
      <c r="H20" s="153">
        <f t="shared" si="11"/>
        <v>36</v>
      </c>
      <c r="I20" s="153">
        <f t="shared" si="12"/>
        <v>43.2</v>
      </c>
      <c r="J20" s="153">
        <f t="shared" si="13"/>
        <v>649.866</v>
      </c>
      <c r="K20" s="154">
        <f t="shared" si="14"/>
        <v>879.2</v>
      </c>
    </row>
    <row r="21" spans="1:11" s="61" customFormat="1" ht="12.75">
      <c r="A21" s="155"/>
      <c r="B21" s="156" t="s">
        <v>0</v>
      </c>
      <c r="C21" s="273">
        <f aca="true" t="shared" si="15" ref="C21:K21">SUM(C14:C20)</f>
        <v>20</v>
      </c>
      <c r="D21" s="273">
        <f t="shared" si="15"/>
        <v>640</v>
      </c>
      <c r="E21" s="273">
        <f t="shared" si="15"/>
        <v>1680</v>
      </c>
      <c r="F21" s="273">
        <f t="shared" si="15"/>
        <v>168</v>
      </c>
      <c r="G21" s="273">
        <f t="shared" si="15"/>
        <v>138.138</v>
      </c>
      <c r="H21" s="273">
        <f t="shared" si="15"/>
        <v>75.6</v>
      </c>
      <c r="I21" s="273">
        <f t="shared" si="15"/>
        <v>90.72</v>
      </c>
      <c r="J21" s="273">
        <f t="shared" si="15"/>
        <v>1373.8619999999999</v>
      </c>
      <c r="K21" s="273">
        <f t="shared" si="15"/>
        <v>1846.32</v>
      </c>
    </row>
    <row r="22" spans="1:11" s="61" customFormat="1" ht="12.75" hidden="1">
      <c r="A22" s="142"/>
      <c r="B22" s="142" t="s">
        <v>298</v>
      </c>
      <c r="C22" s="142"/>
      <c r="D22" s="143"/>
      <c r="E22" s="143"/>
      <c r="F22" s="143"/>
      <c r="G22" s="143"/>
      <c r="H22" s="143"/>
      <c r="I22" s="143"/>
      <c r="J22" s="143"/>
      <c r="K22" s="143"/>
    </row>
    <row r="23" spans="1:11" ht="12.75" hidden="1">
      <c r="A23" s="80"/>
      <c r="B23" s="80"/>
      <c r="C23" s="306"/>
      <c r="D23" s="144"/>
      <c r="E23" s="153">
        <f>C23*D23</f>
        <v>0</v>
      </c>
      <c r="F23" s="153">
        <f>E23*$C$36</f>
        <v>0</v>
      </c>
      <c r="G23" s="153">
        <f>(E23-$C$40-F23)*$C$38*0</f>
        <v>0</v>
      </c>
      <c r="H23" s="153">
        <f>(E23-F23)*$C$37</f>
        <v>0</v>
      </c>
      <c r="I23" s="153">
        <f>(E23-F23)*$C$39-H23</f>
        <v>0</v>
      </c>
      <c r="J23" s="153">
        <f>E23-F23-G23</f>
        <v>0</v>
      </c>
      <c r="K23" s="154">
        <f>SUM(F23:J23)</f>
        <v>0</v>
      </c>
    </row>
    <row r="24" spans="1:11" ht="12.75" hidden="1">
      <c r="A24" s="80"/>
      <c r="B24" s="80"/>
      <c r="C24" s="306"/>
      <c r="D24" s="144"/>
      <c r="E24" s="153">
        <f>C24*D24</f>
        <v>0</v>
      </c>
      <c r="F24" s="153">
        <f>E24*$C$36</f>
        <v>0</v>
      </c>
      <c r="G24" s="153">
        <f>(E24-$C$40-F24)*$C$38*0</f>
        <v>0</v>
      </c>
      <c r="H24" s="153">
        <f>(E24-F24)*$C$37</f>
        <v>0</v>
      </c>
      <c r="I24" s="153">
        <f>(E24-F24)*$C$39-H24</f>
        <v>0</v>
      </c>
      <c r="J24" s="153">
        <f>E24-F24-G24</f>
        <v>0</v>
      </c>
      <c r="K24" s="154">
        <f>SUM(F24:J24)</f>
        <v>0</v>
      </c>
    </row>
    <row r="25" spans="1:11" s="61" customFormat="1" ht="12.75" hidden="1">
      <c r="A25" s="155"/>
      <c r="B25" s="156" t="s">
        <v>0</v>
      </c>
      <c r="C25" s="155">
        <f aca="true" t="shared" si="16" ref="C25:K25">SUM(C23:C24)</f>
        <v>0</v>
      </c>
      <c r="D25" s="154">
        <f t="shared" si="16"/>
        <v>0</v>
      </c>
      <c r="E25" s="154">
        <f t="shared" si="16"/>
        <v>0</v>
      </c>
      <c r="F25" s="154">
        <f t="shared" si="16"/>
        <v>0</v>
      </c>
      <c r="G25" s="154">
        <f t="shared" si="16"/>
        <v>0</v>
      </c>
      <c r="H25" s="154">
        <f t="shared" si="16"/>
        <v>0</v>
      </c>
      <c r="I25" s="154">
        <f t="shared" si="16"/>
        <v>0</v>
      </c>
      <c r="J25" s="154">
        <f t="shared" si="16"/>
        <v>0</v>
      </c>
      <c r="K25" s="154">
        <f t="shared" si="16"/>
        <v>0</v>
      </c>
    </row>
    <row r="26" spans="1:11" s="61" customFormat="1" ht="12.75">
      <c r="A26" s="142"/>
      <c r="B26" s="142" t="s">
        <v>107</v>
      </c>
      <c r="C26" s="142"/>
      <c r="D26" s="143"/>
      <c r="E26" s="143"/>
      <c r="F26" s="143"/>
      <c r="G26" s="143"/>
      <c r="H26" s="143"/>
      <c r="I26" s="143"/>
      <c r="J26" s="143"/>
      <c r="K26" s="143"/>
    </row>
    <row r="27" spans="1:13" ht="12.75">
      <c r="A27" s="80">
        <v>1</v>
      </c>
      <c r="B27" s="80" t="s">
        <v>336</v>
      </c>
      <c r="C27" s="306">
        <v>1</v>
      </c>
      <c r="D27" s="144">
        <v>80</v>
      </c>
      <c r="E27" s="153">
        <f>C27*D27</f>
        <v>80</v>
      </c>
      <c r="F27" s="153">
        <f>E27*$C$36</f>
        <v>8</v>
      </c>
      <c r="G27" s="153">
        <f>(E27-$C$40-F27)*$C$38</f>
        <v>5.3340000000000005</v>
      </c>
      <c r="H27" s="153">
        <f>(E27-F27)*$C$37</f>
        <v>3.6</v>
      </c>
      <c r="I27" s="153">
        <f>(E27-F27)*$C$39-H27</f>
        <v>4.32</v>
      </c>
      <c r="J27" s="153">
        <f>E27-F27-G27</f>
        <v>66.666</v>
      </c>
      <c r="K27" s="154">
        <f>SUM(F27:J27)</f>
        <v>87.92</v>
      </c>
      <c r="M27" s="157"/>
    </row>
    <row r="28" spans="1:11" ht="12.75">
      <c r="A28" s="80">
        <v>2</v>
      </c>
      <c r="B28" s="80" t="s">
        <v>337</v>
      </c>
      <c r="C28" s="306">
        <v>3</v>
      </c>
      <c r="D28" s="144">
        <v>80</v>
      </c>
      <c r="E28" s="153">
        <f>C28*D28</f>
        <v>240</v>
      </c>
      <c r="F28" s="153">
        <f>E28*$C$36</f>
        <v>24</v>
      </c>
      <c r="G28" s="153">
        <f>(E28-$C$40-F28)*$C$38</f>
        <v>19.734</v>
      </c>
      <c r="H28" s="153">
        <f>(E28-F28)*$C$37</f>
        <v>10.8</v>
      </c>
      <c r="I28" s="153">
        <f>(E28-F28)*$C$39-H28</f>
        <v>12.96</v>
      </c>
      <c r="J28" s="153">
        <f>E28-F28-G28</f>
        <v>196.266</v>
      </c>
      <c r="K28" s="154">
        <f>SUM(F28:J28)</f>
        <v>263.76</v>
      </c>
    </row>
    <row r="29" spans="1:11" ht="12.75">
      <c r="A29" s="80">
        <v>3</v>
      </c>
      <c r="B29" s="80" t="s">
        <v>373</v>
      </c>
      <c r="C29" s="306">
        <v>1</v>
      </c>
      <c r="D29" s="144">
        <v>80</v>
      </c>
      <c r="E29" s="153">
        <f>C29*D29</f>
        <v>80</v>
      </c>
      <c r="F29" s="153">
        <f>E29*$C$36</f>
        <v>8</v>
      </c>
      <c r="G29" s="153">
        <f>(E29-$C$40-F29)*$C$38</f>
        <v>5.3340000000000005</v>
      </c>
      <c r="H29" s="153">
        <f>(E29-F29)*$C$37</f>
        <v>3.6</v>
      </c>
      <c r="I29" s="153">
        <f>(E29-F29)*$C$39-H29</f>
        <v>4.32</v>
      </c>
      <c r="J29" s="153">
        <f>E29-F29-G29</f>
        <v>66.666</v>
      </c>
      <c r="K29" s="154">
        <f>SUM(F29:J29)</f>
        <v>87.92</v>
      </c>
    </row>
    <row r="30" spans="1:11" ht="12.75">
      <c r="A30" s="80">
        <v>4</v>
      </c>
      <c r="B30" s="80" t="s">
        <v>377</v>
      </c>
      <c r="C30" s="306">
        <v>1</v>
      </c>
      <c r="D30" s="144">
        <v>120</v>
      </c>
      <c r="E30" s="153">
        <f>C30*D30</f>
        <v>120</v>
      </c>
      <c r="F30" s="153">
        <f>E30*$C$36</f>
        <v>12</v>
      </c>
      <c r="G30" s="153">
        <f>(E30-$C$40-F30)*$C$38</f>
        <v>8.934000000000001</v>
      </c>
      <c r="H30" s="153">
        <f>(E30-F30)*$C$37</f>
        <v>5.4</v>
      </c>
      <c r="I30" s="153">
        <f>(E30-F30)*$C$39-H30</f>
        <v>6.48</v>
      </c>
      <c r="J30" s="153">
        <f>E30-F30-G30</f>
        <v>99.066</v>
      </c>
      <c r="K30" s="154">
        <f>SUM(F30:J30)</f>
        <v>131.88</v>
      </c>
    </row>
    <row r="31" spans="1:11" ht="12.75">
      <c r="A31" s="80">
        <v>5</v>
      </c>
      <c r="B31" s="80" t="s">
        <v>379</v>
      </c>
      <c r="C31" s="306">
        <v>1</v>
      </c>
      <c r="D31" s="144">
        <v>60</v>
      </c>
      <c r="E31" s="153">
        <f>C31*D31</f>
        <v>60</v>
      </c>
      <c r="F31" s="153">
        <f>E31*$C$36</f>
        <v>6</v>
      </c>
      <c r="G31" s="153">
        <f>(E31-$C$40-F31)*$C$38</f>
        <v>3.5340000000000007</v>
      </c>
      <c r="H31" s="153">
        <f>(E31-F31)*$C$37</f>
        <v>2.7</v>
      </c>
      <c r="I31" s="153">
        <f>(E31-F31)*$C$39-H31</f>
        <v>3.24</v>
      </c>
      <c r="J31" s="153">
        <f>E31-F31-G31</f>
        <v>50.466</v>
      </c>
      <c r="K31" s="154">
        <f>SUM(F31:J31)</f>
        <v>65.94</v>
      </c>
    </row>
    <row r="32" spans="1:11" s="61" customFormat="1" ht="12.75">
      <c r="A32" s="155"/>
      <c r="B32" s="156" t="s">
        <v>0</v>
      </c>
      <c r="C32" s="155">
        <f aca="true" t="shared" si="17" ref="C32:K32">SUM(C27:C31)</f>
        <v>7</v>
      </c>
      <c r="D32" s="154">
        <f t="shared" si="17"/>
        <v>420</v>
      </c>
      <c r="E32" s="154">
        <f t="shared" si="17"/>
        <v>580</v>
      </c>
      <c r="F32" s="154">
        <f t="shared" si="17"/>
        <v>58</v>
      </c>
      <c r="G32" s="154">
        <f t="shared" si="17"/>
        <v>42.87</v>
      </c>
      <c r="H32" s="154">
        <f t="shared" si="17"/>
        <v>26.099999999999998</v>
      </c>
      <c r="I32" s="154">
        <f t="shared" si="17"/>
        <v>31.32</v>
      </c>
      <c r="J32" s="154">
        <f t="shared" si="17"/>
        <v>479.13</v>
      </c>
      <c r="K32" s="154">
        <f t="shared" si="17"/>
        <v>637.4200000000001</v>
      </c>
    </row>
    <row r="33" spans="1:11" ht="12.75">
      <c r="A33" s="80"/>
      <c r="B33" s="80"/>
      <c r="C33" s="80"/>
      <c r="D33" s="153"/>
      <c r="E33" s="153"/>
      <c r="F33" s="153"/>
      <c r="G33" s="153"/>
      <c r="H33" s="153"/>
      <c r="I33" s="153"/>
      <c r="J33" s="153"/>
      <c r="K33" s="153"/>
    </row>
    <row r="34" spans="1:13" s="61" customFormat="1" ht="12.75">
      <c r="A34" s="155"/>
      <c r="B34" s="155" t="s">
        <v>108</v>
      </c>
      <c r="C34" s="154">
        <f aca="true" t="shared" si="18" ref="C34:K34">C12+C21+C25+C32</f>
        <v>33</v>
      </c>
      <c r="D34" s="154">
        <f t="shared" si="18"/>
        <v>1950</v>
      </c>
      <c r="E34" s="154">
        <f t="shared" si="18"/>
        <v>3150</v>
      </c>
      <c r="F34" s="154">
        <f t="shared" si="18"/>
        <v>315</v>
      </c>
      <c r="G34" s="154">
        <f t="shared" si="18"/>
        <v>249.912</v>
      </c>
      <c r="H34" s="154">
        <f t="shared" si="18"/>
        <v>141.75</v>
      </c>
      <c r="I34" s="154">
        <f t="shared" si="18"/>
        <v>170.1</v>
      </c>
      <c r="J34" s="154">
        <f t="shared" si="18"/>
        <v>2585.0879999999997</v>
      </c>
      <c r="K34" s="158">
        <f t="shared" si="18"/>
        <v>3461.85</v>
      </c>
      <c r="M34" s="246"/>
    </row>
    <row r="36" spans="2:10" ht="12.75" hidden="1">
      <c r="B36" s="80" t="s">
        <v>47</v>
      </c>
      <c r="C36" s="159">
        <f>Исх!C12</f>
        <v>0.1</v>
      </c>
      <c r="D36" s="160"/>
      <c r="E36" s="160"/>
      <c r="F36" s="160"/>
      <c r="G36" s="379"/>
      <c r="H36" s="379"/>
      <c r="I36" s="379"/>
      <c r="J36" s="379"/>
    </row>
    <row r="37" spans="2:10" ht="12.75" hidden="1">
      <c r="B37" s="80" t="s">
        <v>52</v>
      </c>
      <c r="C37" s="159">
        <f>Исх!C13</f>
        <v>0.05</v>
      </c>
      <c r="D37" s="160"/>
      <c r="E37" s="160"/>
      <c r="F37" s="160"/>
      <c r="G37" s="160"/>
      <c r="H37" s="160"/>
      <c r="I37" s="161"/>
      <c r="J37" s="162"/>
    </row>
    <row r="38" spans="2:10" ht="12.75" hidden="1">
      <c r="B38" s="80" t="s">
        <v>48</v>
      </c>
      <c r="C38" s="159">
        <f>Исх!C14</f>
        <v>0.1</v>
      </c>
      <c r="D38" s="160"/>
      <c r="E38" s="160"/>
      <c r="F38" s="160"/>
      <c r="G38" s="160"/>
      <c r="H38" s="160"/>
      <c r="I38" s="161"/>
      <c r="J38" s="162"/>
    </row>
    <row r="39" spans="2:10" ht="12.75" hidden="1">
      <c r="B39" s="80" t="s">
        <v>50</v>
      </c>
      <c r="C39" s="159">
        <f>Исх!C15</f>
        <v>0.11</v>
      </c>
      <c r="D39" s="163"/>
      <c r="E39" s="163"/>
      <c r="F39" s="160"/>
      <c r="G39" s="160"/>
      <c r="H39" s="160"/>
      <c r="I39" s="161"/>
      <c r="J39" s="162"/>
    </row>
    <row r="40" spans="2:3" ht="12.75" hidden="1">
      <c r="B40" s="80" t="s">
        <v>112</v>
      </c>
      <c r="C40" s="164">
        <f>Исх!C16</f>
        <v>18.66</v>
      </c>
    </row>
    <row r="41" spans="7:10" ht="12.75">
      <c r="G41" s="160"/>
      <c r="H41" s="160"/>
      <c r="I41" s="161"/>
      <c r="J41" s="162"/>
    </row>
    <row r="42" ht="12.75">
      <c r="C42" s="200"/>
    </row>
  </sheetData>
  <sheetProtection/>
  <mergeCells count="1">
    <mergeCell ref="G36:J36"/>
  </mergeCells>
  <printOptions/>
  <pageMargins left="0.2755905511811024" right="0.2755905511811024" top="0.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50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K26" sqref="K26"/>
    </sheetView>
  </sheetViews>
  <sheetFormatPr defaultColWidth="8.875" defaultRowHeight="12.75" outlineLevelRow="1"/>
  <cols>
    <col min="1" max="1" width="33.625" style="77" customWidth="1"/>
    <col min="2" max="2" width="5.125" style="77" customWidth="1"/>
    <col min="3" max="3" width="9.125" style="77" customWidth="1"/>
    <col min="4" max="6" width="9.125" style="77" bestFit="1" customWidth="1"/>
    <col min="7" max="9" width="7.625" style="77" bestFit="1" customWidth="1"/>
    <col min="10" max="10" width="7.25390625" style="77" customWidth="1"/>
    <col min="11" max="11" width="34.00390625" style="77" customWidth="1"/>
    <col min="12" max="12" width="8.75390625" style="77" customWidth="1"/>
    <col min="13" max="13" width="36.625" style="77" customWidth="1"/>
    <col min="14" max="14" width="5.25390625" style="77" bestFit="1" customWidth="1"/>
    <col min="15" max="22" width="8.25390625" style="77" customWidth="1"/>
    <col min="23" max="16384" width="8.875" style="77" customWidth="1"/>
  </cols>
  <sheetData>
    <row r="1" spans="1:23" ht="12.75">
      <c r="A1" s="61" t="s">
        <v>147</v>
      </c>
      <c r="M1" s="61" t="s">
        <v>255</v>
      </c>
      <c r="W1" s="61"/>
    </row>
    <row r="2" spans="1:23" ht="12.75">
      <c r="A2" s="61"/>
      <c r="B2" s="61"/>
      <c r="C2" s="313" t="s">
        <v>283</v>
      </c>
      <c r="D2" s="313"/>
      <c r="E2" s="314">
        <v>0.05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0" ht="12.75">
      <c r="A3" s="147" t="s">
        <v>43</v>
      </c>
      <c r="C3" s="139"/>
      <c r="D3" s="139"/>
      <c r="E3" s="139"/>
      <c r="F3" s="139"/>
      <c r="G3" s="139"/>
      <c r="H3" s="139"/>
      <c r="J3" s="146" t="str">
        <f>Исх!C10</f>
        <v>тыс.тг.</v>
      </c>
      <c r="O3" s="139"/>
      <c r="P3" s="139"/>
      <c r="Q3" s="139"/>
      <c r="R3" s="139"/>
      <c r="S3" s="139"/>
      <c r="T3" s="139"/>
    </row>
    <row r="4" spans="1:23" ht="12.75">
      <c r="A4" s="216" t="s">
        <v>44</v>
      </c>
      <c r="B4" s="232"/>
      <c r="C4" s="232" t="s">
        <v>8</v>
      </c>
      <c r="D4" s="232">
        <v>2015</v>
      </c>
      <c r="E4" s="232">
        <f aca="true" t="shared" si="0" ref="E4:J4">D4+1</f>
        <v>2016</v>
      </c>
      <c r="F4" s="232">
        <f t="shared" si="0"/>
        <v>2017</v>
      </c>
      <c r="G4" s="232">
        <f t="shared" si="0"/>
        <v>2018</v>
      </c>
      <c r="H4" s="232">
        <f t="shared" si="0"/>
        <v>2019</v>
      </c>
      <c r="I4" s="232">
        <f t="shared" si="0"/>
        <v>2020</v>
      </c>
      <c r="J4" s="232">
        <f t="shared" si="0"/>
        <v>2021</v>
      </c>
      <c r="K4" s="232" t="s">
        <v>205</v>
      </c>
      <c r="M4" s="216" t="str">
        <f aca="true" t="shared" si="1" ref="M4:M16">A4</f>
        <v>Затраты</v>
      </c>
      <c r="N4" s="232"/>
      <c r="O4" s="232" t="str">
        <f aca="true" t="shared" si="2" ref="O4:V4">C4</f>
        <v>Значение</v>
      </c>
      <c r="P4" s="232">
        <f t="shared" si="2"/>
        <v>2015</v>
      </c>
      <c r="Q4" s="232">
        <f t="shared" si="2"/>
        <v>2016</v>
      </c>
      <c r="R4" s="232">
        <f t="shared" si="2"/>
        <v>2017</v>
      </c>
      <c r="S4" s="232">
        <f t="shared" si="2"/>
        <v>2018</v>
      </c>
      <c r="T4" s="232">
        <f t="shared" si="2"/>
        <v>2019</v>
      </c>
      <c r="U4" s="232">
        <f t="shared" si="2"/>
        <v>2020</v>
      </c>
      <c r="V4" s="232">
        <f t="shared" si="2"/>
        <v>2021</v>
      </c>
      <c r="W4" s="246"/>
    </row>
    <row r="5" spans="1:22" ht="12.75">
      <c r="A5" s="80" t="s">
        <v>45</v>
      </c>
      <c r="B5" s="145"/>
      <c r="C5" s="153">
        <f>ФОТ!$K$34</f>
        <v>3461.85</v>
      </c>
      <c r="D5" s="153">
        <f>ФОТ!$K$34</f>
        <v>3461.85</v>
      </c>
      <c r="E5" s="153">
        <f aca="true" t="shared" si="3" ref="E5:E15">D5+D5*$E$2</f>
        <v>3634.9425</v>
      </c>
      <c r="F5" s="153">
        <f aca="true" t="shared" si="4" ref="F5:J7">E5+E5*$E$2</f>
        <v>3816.689625</v>
      </c>
      <c r="G5" s="153">
        <f t="shared" si="4"/>
        <v>4007.52410625</v>
      </c>
      <c r="H5" s="153">
        <f t="shared" si="4"/>
        <v>4207.9003115625</v>
      </c>
      <c r="I5" s="153">
        <f t="shared" si="4"/>
        <v>4418.295327140625</v>
      </c>
      <c r="J5" s="153">
        <f t="shared" si="4"/>
        <v>4639.210093497656</v>
      </c>
      <c r="K5" s="153"/>
      <c r="M5" s="80" t="str">
        <f t="shared" si="1"/>
        <v>ФОТ</v>
      </c>
      <c r="N5" s="145"/>
      <c r="O5" s="153">
        <f aca="true" t="shared" si="5" ref="O5:O15">C5*12</f>
        <v>41542.2</v>
      </c>
      <c r="P5" s="153">
        <f aca="true" t="shared" si="6" ref="P5:P15">D5*12</f>
        <v>41542.2</v>
      </c>
      <c r="Q5" s="153">
        <f aca="true" t="shared" si="7" ref="Q5:Q15">E5*12</f>
        <v>43619.31</v>
      </c>
      <c r="R5" s="153">
        <f aca="true" t="shared" si="8" ref="R5:R15">F5*12</f>
        <v>45800.2755</v>
      </c>
      <c r="S5" s="153">
        <f aca="true" t="shared" si="9" ref="S5:S15">G5*12</f>
        <v>48090.289275</v>
      </c>
      <c r="T5" s="153">
        <f aca="true" t="shared" si="10" ref="T5:T15">H5*12</f>
        <v>50494.80373875</v>
      </c>
      <c r="U5" s="153">
        <f aca="true" t="shared" si="11" ref="U5:U15">I5*12</f>
        <v>53019.543925687496</v>
      </c>
      <c r="V5" s="153">
        <f aca="true" t="shared" si="12" ref="V5:V15">J5*12</f>
        <v>55670.52112197188</v>
      </c>
    </row>
    <row r="6" spans="1:22" ht="12.75">
      <c r="A6" s="166" t="s">
        <v>211</v>
      </c>
      <c r="B6" s="231"/>
      <c r="C6" s="144">
        <v>500</v>
      </c>
      <c r="D6" s="153">
        <f>C6</f>
        <v>500</v>
      </c>
      <c r="E6" s="153">
        <f>D6+D6*$E$2</f>
        <v>525</v>
      </c>
      <c r="F6" s="153">
        <f t="shared" si="4"/>
        <v>551.25</v>
      </c>
      <c r="G6" s="153">
        <f t="shared" si="4"/>
        <v>578.8125</v>
      </c>
      <c r="H6" s="153">
        <f t="shared" si="4"/>
        <v>607.753125</v>
      </c>
      <c r="I6" s="153">
        <f t="shared" si="4"/>
        <v>638.1407812499999</v>
      </c>
      <c r="J6" s="153">
        <f t="shared" si="4"/>
        <v>670.0478203124999</v>
      </c>
      <c r="K6" s="288" t="s">
        <v>380</v>
      </c>
      <c r="M6" s="80" t="str">
        <f t="shared" si="1"/>
        <v>Коммунальные расходы</v>
      </c>
      <c r="N6" s="231"/>
      <c r="O6" s="153">
        <f t="shared" si="5"/>
        <v>6000</v>
      </c>
      <c r="P6" s="153">
        <f t="shared" si="6"/>
        <v>6000</v>
      </c>
      <c r="Q6" s="153">
        <f t="shared" si="7"/>
        <v>6300</v>
      </c>
      <c r="R6" s="153">
        <f t="shared" si="8"/>
        <v>6615</v>
      </c>
      <c r="S6" s="153">
        <f t="shared" si="9"/>
        <v>6945.75</v>
      </c>
      <c r="T6" s="153">
        <f t="shared" si="10"/>
        <v>7293.037499999999</v>
      </c>
      <c r="U6" s="153">
        <f t="shared" si="11"/>
        <v>7657.689374999999</v>
      </c>
      <c r="V6" s="153">
        <f t="shared" si="12"/>
        <v>8040.573843749999</v>
      </c>
    </row>
    <row r="7" spans="1:22" ht="12.75">
      <c r="A7" s="166" t="s">
        <v>382</v>
      </c>
      <c r="B7" s="231"/>
      <c r="C7" s="144">
        <v>25</v>
      </c>
      <c r="D7" s="153">
        <f aca="true" t="shared" si="13" ref="D7:D15">C7</f>
        <v>25</v>
      </c>
      <c r="E7" s="153">
        <f t="shared" si="3"/>
        <v>26.25</v>
      </c>
      <c r="F7" s="153">
        <f t="shared" si="4"/>
        <v>27.5625</v>
      </c>
      <c r="G7" s="153">
        <f t="shared" si="4"/>
        <v>28.940625</v>
      </c>
      <c r="H7" s="153">
        <f t="shared" si="4"/>
        <v>30.38765625</v>
      </c>
      <c r="I7" s="153">
        <f t="shared" si="4"/>
        <v>31.907039062499997</v>
      </c>
      <c r="J7" s="153">
        <f t="shared" si="4"/>
        <v>33.502391015624994</v>
      </c>
      <c r="K7" s="153" t="s">
        <v>383</v>
      </c>
      <c r="M7" s="80" t="str">
        <f t="shared" si="1"/>
        <v>Электроэнергия (цеховые расходы)</v>
      </c>
      <c r="N7" s="231"/>
      <c r="O7" s="153">
        <f t="shared" si="5"/>
        <v>300</v>
      </c>
      <c r="P7" s="153">
        <f t="shared" si="6"/>
        <v>300</v>
      </c>
      <c r="Q7" s="153">
        <f t="shared" si="7"/>
        <v>315</v>
      </c>
      <c r="R7" s="153">
        <f t="shared" si="8"/>
        <v>330.75</v>
      </c>
      <c r="S7" s="153">
        <f t="shared" si="9"/>
        <v>347.2875</v>
      </c>
      <c r="T7" s="153">
        <f t="shared" si="10"/>
        <v>364.651875</v>
      </c>
      <c r="U7" s="153">
        <f t="shared" si="11"/>
        <v>382.88446875</v>
      </c>
      <c r="V7" s="153">
        <f t="shared" si="12"/>
        <v>402.0286921874999</v>
      </c>
    </row>
    <row r="8" spans="1:22" ht="12.75">
      <c r="A8" s="289" t="s">
        <v>286</v>
      </c>
      <c r="B8" s="290"/>
      <c r="C8" s="260">
        <f>175</f>
        <v>175</v>
      </c>
      <c r="D8" s="115">
        <f t="shared" si="13"/>
        <v>175</v>
      </c>
      <c r="E8" s="115">
        <f t="shared" si="3"/>
        <v>183.75</v>
      </c>
      <c r="F8" s="115">
        <f aca="true" t="shared" si="14" ref="F8:J12">E8+E8*$E$2</f>
        <v>192.9375</v>
      </c>
      <c r="G8" s="115">
        <f t="shared" si="14"/>
        <v>202.584375</v>
      </c>
      <c r="H8" s="115">
        <f t="shared" si="14"/>
        <v>212.71359375</v>
      </c>
      <c r="I8" s="115">
        <f t="shared" si="14"/>
        <v>223.34927343750002</v>
      </c>
      <c r="J8" s="115">
        <f t="shared" si="14"/>
        <v>234.51673710937501</v>
      </c>
      <c r="K8" s="288" t="s">
        <v>381</v>
      </c>
      <c r="M8" s="114" t="str">
        <f t="shared" si="1"/>
        <v>Услуги охранной фирмы</v>
      </c>
      <c r="N8" s="290"/>
      <c r="O8" s="153">
        <f t="shared" si="5"/>
        <v>2100</v>
      </c>
      <c r="P8" s="153">
        <f t="shared" si="6"/>
        <v>2100</v>
      </c>
      <c r="Q8" s="153">
        <f t="shared" si="7"/>
        <v>2205</v>
      </c>
      <c r="R8" s="153">
        <f t="shared" si="8"/>
        <v>2315.25</v>
      </c>
      <c r="S8" s="153">
        <f t="shared" si="9"/>
        <v>2431.0125</v>
      </c>
      <c r="T8" s="153">
        <f t="shared" si="10"/>
        <v>2552.563125</v>
      </c>
      <c r="U8" s="153">
        <f t="shared" si="11"/>
        <v>2680.1912812500004</v>
      </c>
      <c r="V8" s="153">
        <f t="shared" si="12"/>
        <v>2814.2008453125</v>
      </c>
    </row>
    <row r="9" spans="1:22" ht="12.75">
      <c r="A9" s="166" t="s">
        <v>245</v>
      </c>
      <c r="B9" s="145"/>
      <c r="C9" s="144">
        <v>50</v>
      </c>
      <c r="D9" s="153">
        <f t="shared" si="13"/>
        <v>50</v>
      </c>
      <c r="E9" s="153">
        <f t="shared" si="3"/>
        <v>52.5</v>
      </c>
      <c r="F9" s="153">
        <f t="shared" si="14"/>
        <v>55.125</v>
      </c>
      <c r="G9" s="153">
        <f t="shared" si="14"/>
        <v>57.88125</v>
      </c>
      <c r="H9" s="153">
        <f t="shared" si="14"/>
        <v>60.7753125</v>
      </c>
      <c r="I9" s="153">
        <f t="shared" si="14"/>
        <v>63.814078124999995</v>
      </c>
      <c r="J9" s="153">
        <f t="shared" si="14"/>
        <v>67.00478203124999</v>
      </c>
      <c r="K9" s="153"/>
      <c r="M9" s="80" t="str">
        <f t="shared" si="1"/>
        <v>Спецодежда, перчатки, хоз.товары</v>
      </c>
      <c r="N9" s="145"/>
      <c r="O9" s="153">
        <f t="shared" si="5"/>
        <v>600</v>
      </c>
      <c r="P9" s="153">
        <f t="shared" si="6"/>
        <v>600</v>
      </c>
      <c r="Q9" s="153">
        <f t="shared" si="7"/>
        <v>630</v>
      </c>
      <c r="R9" s="153">
        <f t="shared" si="8"/>
        <v>661.5</v>
      </c>
      <c r="S9" s="153">
        <f t="shared" si="9"/>
        <v>694.575</v>
      </c>
      <c r="T9" s="153">
        <f t="shared" si="10"/>
        <v>729.30375</v>
      </c>
      <c r="U9" s="153">
        <f t="shared" si="11"/>
        <v>765.7689375</v>
      </c>
      <c r="V9" s="153">
        <f t="shared" si="12"/>
        <v>804.0573843749999</v>
      </c>
    </row>
    <row r="10" spans="1:22" ht="12.75">
      <c r="A10" s="80" t="s">
        <v>100</v>
      </c>
      <c r="B10" s="145"/>
      <c r="C10" s="144">
        <v>100</v>
      </c>
      <c r="D10" s="153">
        <f t="shared" si="13"/>
        <v>100</v>
      </c>
      <c r="E10" s="153">
        <f t="shared" si="3"/>
        <v>105</v>
      </c>
      <c r="F10" s="153">
        <f t="shared" si="14"/>
        <v>110.25</v>
      </c>
      <c r="G10" s="153">
        <f t="shared" si="14"/>
        <v>115.7625</v>
      </c>
      <c r="H10" s="153">
        <f t="shared" si="14"/>
        <v>121.550625</v>
      </c>
      <c r="I10" s="153">
        <f t="shared" si="14"/>
        <v>127.62815624999999</v>
      </c>
      <c r="J10" s="153">
        <f t="shared" si="14"/>
        <v>134.00956406249998</v>
      </c>
      <c r="K10" s="153"/>
      <c r="M10" s="80" t="str">
        <f t="shared" si="1"/>
        <v>Обслуживание и ремонт ОС</v>
      </c>
      <c r="N10" s="145"/>
      <c r="O10" s="153">
        <f t="shared" si="5"/>
        <v>1200</v>
      </c>
      <c r="P10" s="153">
        <f t="shared" si="6"/>
        <v>1200</v>
      </c>
      <c r="Q10" s="153">
        <f t="shared" si="7"/>
        <v>1260</v>
      </c>
      <c r="R10" s="153">
        <f t="shared" si="8"/>
        <v>1323</v>
      </c>
      <c r="S10" s="153">
        <f t="shared" si="9"/>
        <v>1389.15</v>
      </c>
      <c r="T10" s="153">
        <f t="shared" si="10"/>
        <v>1458.6075</v>
      </c>
      <c r="U10" s="153">
        <f t="shared" si="11"/>
        <v>1531.537875</v>
      </c>
      <c r="V10" s="153">
        <f t="shared" si="12"/>
        <v>1608.1147687499997</v>
      </c>
    </row>
    <row r="11" spans="1:22" ht="12.75">
      <c r="A11" s="80" t="s">
        <v>246</v>
      </c>
      <c r="B11" s="145"/>
      <c r="C11" s="144">
        <v>15</v>
      </c>
      <c r="D11" s="153">
        <f t="shared" si="13"/>
        <v>15</v>
      </c>
      <c r="E11" s="153">
        <f t="shared" si="3"/>
        <v>15.75</v>
      </c>
      <c r="F11" s="153">
        <f t="shared" si="14"/>
        <v>16.5375</v>
      </c>
      <c r="G11" s="153">
        <f t="shared" si="14"/>
        <v>17.364375000000003</v>
      </c>
      <c r="H11" s="153">
        <f t="shared" si="14"/>
        <v>18.232593750000003</v>
      </c>
      <c r="I11" s="153">
        <f t="shared" si="14"/>
        <v>19.144223437500003</v>
      </c>
      <c r="J11" s="153">
        <f t="shared" si="14"/>
        <v>20.101434609375</v>
      </c>
      <c r="K11" s="153" t="s">
        <v>284</v>
      </c>
      <c r="M11" s="80" t="str">
        <f t="shared" si="1"/>
        <v>Услуги банка</v>
      </c>
      <c r="N11" s="145"/>
      <c r="O11" s="153">
        <f t="shared" si="5"/>
        <v>180</v>
      </c>
      <c r="P11" s="153">
        <f t="shared" si="6"/>
        <v>180</v>
      </c>
      <c r="Q11" s="153">
        <f t="shared" si="7"/>
        <v>189</v>
      </c>
      <c r="R11" s="153">
        <f t="shared" si="8"/>
        <v>198.45000000000002</v>
      </c>
      <c r="S11" s="153">
        <f t="shared" si="9"/>
        <v>208.37250000000003</v>
      </c>
      <c r="T11" s="153">
        <f t="shared" si="10"/>
        <v>218.79112500000002</v>
      </c>
      <c r="U11" s="153">
        <f t="shared" si="11"/>
        <v>229.73068125000003</v>
      </c>
      <c r="V11" s="153">
        <f t="shared" si="12"/>
        <v>241.2172153125</v>
      </c>
    </row>
    <row r="12" spans="1:22" ht="12.75">
      <c r="A12" s="80" t="s">
        <v>247</v>
      </c>
      <c r="B12" s="145"/>
      <c r="C12" s="144">
        <v>10</v>
      </c>
      <c r="D12" s="153">
        <f t="shared" si="13"/>
        <v>10</v>
      </c>
      <c r="E12" s="153">
        <f t="shared" si="3"/>
        <v>10.5</v>
      </c>
      <c r="F12" s="153">
        <f t="shared" si="14"/>
        <v>11.025</v>
      </c>
      <c r="G12" s="153">
        <f t="shared" si="14"/>
        <v>11.57625</v>
      </c>
      <c r="H12" s="153">
        <f t="shared" si="14"/>
        <v>12.1550625</v>
      </c>
      <c r="I12" s="153">
        <f t="shared" si="14"/>
        <v>12.762815625</v>
      </c>
      <c r="J12" s="153">
        <f t="shared" si="14"/>
        <v>13.40095640625</v>
      </c>
      <c r="K12" s="153"/>
      <c r="M12" s="80" t="str">
        <f t="shared" si="1"/>
        <v>Канц.товары</v>
      </c>
      <c r="N12" s="145"/>
      <c r="O12" s="153">
        <f t="shared" si="5"/>
        <v>120</v>
      </c>
      <c r="P12" s="153">
        <f t="shared" si="6"/>
        <v>120</v>
      </c>
      <c r="Q12" s="153">
        <f t="shared" si="7"/>
        <v>126</v>
      </c>
      <c r="R12" s="153">
        <f t="shared" si="8"/>
        <v>132.3</v>
      </c>
      <c r="S12" s="153">
        <f t="shared" si="9"/>
        <v>138.915</v>
      </c>
      <c r="T12" s="153">
        <f t="shared" si="10"/>
        <v>145.86075</v>
      </c>
      <c r="U12" s="153">
        <f t="shared" si="11"/>
        <v>153.1537875</v>
      </c>
      <c r="V12" s="153">
        <f t="shared" si="12"/>
        <v>160.81147687499998</v>
      </c>
    </row>
    <row r="13" spans="1:22" ht="12.75">
      <c r="A13" s="80" t="s">
        <v>239</v>
      </c>
      <c r="B13" s="145"/>
      <c r="C13" s="144">
        <f>20*25*110/1000/1.12*4</f>
        <v>196.42857142857142</v>
      </c>
      <c r="D13" s="153">
        <f t="shared" si="13"/>
        <v>196.42857142857142</v>
      </c>
      <c r="E13" s="153">
        <f t="shared" si="3"/>
        <v>206.25</v>
      </c>
      <c r="F13" s="153">
        <f>E13+E13*$E$2</f>
        <v>216.5625</v>
      </c>
      <c r="G13" s="153">
        <f>F13+F13*$E$2</f>
        <v>227.390625</v>
      </c>
      <c r="H13" s="153">
        <f>G13+G13*$E$2</f>
        <v>238.76015625</v>
      </c>
      <c r="I13" s="153">
        <f>H13+H13*$E$2</f>
        <v>250.69816406249998</v>
      </c>
      <c r="J13" s="153">
        <f>I13+I13*$E$2</f>
        <v>263.23307226562497</v>
      </c>
      <c r="K13" s="153" t="s">
        <v>322</v>
      </c>
      <c r="M13" s="80" t="str">
        <f t="shared" si="1"/>
        <v>ГСМ</v>
      </c>
      <c r="N13" s="145"/>
      <c r="O13" s="153">
        <f t="shared" si="5"/>
        <v>2357.142857142857</v>
      </c>
      <c r="P13" s="153">
        <f t="shared" si="6"/>
        <v>2357.142857142857</v>
      </c>
      <c r="Q13" s="153">
        <f t="shared" si="7"/>
        <v>2475</v>
      </c>
      <c r="R13" s="153">
        <f t="shared" si="8"/>
        <v>2598.75</v>
      </c>
      <c r="S13" s="153">
        <f t="shared" si="9"/>
        <v>2728.6875</v>
      </c>
      <c r="T13" s="153">
        <f t="shared" si="10"/>
        <v>2865.121875</v>
      </c>
      <c r="U13" s="153">
        <f t="shared" si="11"/>
        <v>3008.37796875</v>
      </c>
      <c r="V13" s="153">
        <f t="shared" si="12"/>
        <v>3158.7968671874996</v>
      </c>
    </row>
    <row r="14" spans="1:22" ht="12.75">
      <c r="A14" s="80" t="s">
        <v>79</v>
      </c>
      <c r="B14" s="145"/>
      <c r="C14" s="144">
        <v>150</v>
      </c>
      <c r="D14" s="153">
        <f t="shared" si="13"/>
        <v>150</v>
      </c>
      <c r="E14" s="153">
        <f t="shared" si="3"/>
        <v>157.5</v>
      </c>
      <c r="F14" s="153">
        <f aca="true" t="shared" si="15" ref="F14:J15">E14+E14*$E$2</f>
        <v>165.375</v>
      </c>
      <c r="G14" s="153">
        <f t="shared" si="15"/>
        <v>173.64375</v>
      </c>
      <c r="H14" s="153">
        <f t="shared" si="15"/>
        <v>182.3259375</v>
      </c>
      <c r="I14" s="153">
        <f t="shared" si="15"/>
        <v>191.442234375</v>
      </c>
      <c r="J14" s="153">
        <f t="shared" si="15"/>
        <v>201.01434609375</v>
      </c>
      <c r="K14" s="153" t="s">
        <v>285</v>
      </c>
      <c r="M14" s="80" t="str">
        <f t="shared" si="1"/>
        <v>Расходы на рекламу</v>
      </c>
      <c r="N14" s="145"/>
      <c r="O14" s="153">
        <f t="shared" si="5"/>
        <v>1800</v>
      </c>
      <c r="P14" s="153">
        <f t="shared" si="6"/>
        <v>1800</v>
      </c>
      <c r="Q14" s="153">
        <f t="shared" si="7"/>
        <v>1890</v>
      </c>
      <c r="R14" s="153">
        <f t="shared" si="8"/>
        <v>1984.5</v>
      </c>
      <c r="S14" s="153">
        <f t="shared" si="9"/>
        <v>2083.7250000000004</v>
      </c>
      <c r="T14" s="153">
        <f t="shared" si="10"/>
        <v>2187.91125</v>
      </c>
      <c r="U14" s="153">
        <f t="shared" si="11"/>
        <v>2297.3068125</v>
      </c>
      <c r="V14" s="153">
        <f t="shared" si="12"/>
        <v>2412.172153125</v>
      </c>
    </row>
    <row r="15" spans="1:22" ht="12.75">
      <c r="A15" s="80" t="s">
        <v>46</v>
      </c>
      <c r="B15" s="153"/>
      <c r="C15" s="144">
        <v>150</v>
      </c>
      <c r="D15" s="153">
        <f t="shared" si="13"/>
        <v>150</v>
      </c>
      <c r="E15" s="153">
        <f t="shared" si="3"/>
        <v>157.5</v>
      </c>
      <c r="F15" s="153">
        <f t="shared" si="15"/>
        <v>165.375</v>
      </c>
      <c r="G15" s="153">
        <f t="shared" si="15"/>
        <v>173.64375</v>
      </c>
      <c r="H15" s="153">
        <f t="shared" si="15"/>
        <v>182.3259375</v>
      </c>
      <c r="I15" s="153">
        <f t="shared" si="15"/>
        <v>191.442234375</v>
      </c>
      <c r="J15" s="153">
        <f t="shared" si="15"/>
        <v>201.01434609375</v>
      </c>
      <c r="K15" s="153"/>
      <c r="M15" s="80" t="str">
        <f t="shared" si="1"/>
        <v>Прочие непредвиденные расходы</v>
      </c>
      <c r="N15" s="153"/>
      <c r="O15" s="153">
        <f t="shared" si="5"/>
        <v>1800</v>
      </c>
      <c r="P15" s="153">
        <f t="shared" si="6"/>
        <v>1800</v>
      </c>
      <c r="Q15" s="153">
        <f t="shared" si="7"/>
        <v>1890</v>
      </c>
      <c r="R15" s="153">
        <f t="shared" si="8"/>
        <v>1984.5</v>
      </c>
      <c r="S15" s="153">
        <f t="shared" si="9"/>
        <v>2083.7250000000004</v>
      </c>
      <c r="T15" s="153">
        <f t="shared" si="10"/>
        <v>2187.91125</v>
      </c>
      <c r="U15" s="153">
        <f t="shared" si="11"/>
        <v>2297.3068125</v>
      </c>
      <c r="V15" s="153">
        <f t="shared" si="12"/>
        <v>2412.172153125</v>
      </c>
    </row>
    <row r="16" spans="1:24" ht="12.75">
      <c r="A16" s="216" t="s">
        <v>0</v>
      </c>
      <c r="B16" s="217"/>
      <c r="C16" s="217">
        <f aca="true" t="shared" si="16" ref="C16:J16">SUM(C5:C15)</f>
        <v>4833.278571428572</v>
      </c>
      <c r="D16" s="217">
        <f t="shared" si="16"/>
        <v>4833.278571428572</v>
      </c>
      <c r="E16" s="217">
        <f t="shared" si="16"/>
        <v>5074.9425</v>
      </c>
      <c r="F16" s="217">
        <f t="shared" si="16"/>
        <v>5328.689625</v>
      </c>
      <c r="G16" s="217">
        <f t="shared" si="16"/>
        <v>5595.124106250001</v>
      </c>
      <c r="H16" s="217">
        <f t="shared" si="16"/>
        <v>5874.8803115625</v>
      </c>
      <c r="I16" s="217">
        <f t="shared" si="16"/>
        <v>6168.6243271406265</v>
      </c>
      <c r="J16" s="217">
        <f t="shared" si="16"/>
        <v>6477.055543497655</v>
      </c>
      <c r="K16" s="217"/>
      <c r="M16" s="216" t="str">
        <f t="shared" si="1"/>
        <v>Итого</v>
      </c>
      <c r="N16" s="217"/>
      <c r="O16" s="217">
        <f aca="true" t="shared" si="17" ref="O16:V16">SUM(O5:O15)</f>
        <v>57999.34285714285</v>
      </c>
      <c r="P16" s="217">
        <f t="shared" si="17"/>
        <v>57999.34285714285</v>
      </c>
      <c r="Q16" s="217">
        <f t="shared" si="17"/>
        <v>60899.31</v>
      </c>
      <c r="R16" s="217">
        <f t="shared" si="17"/>
        <v>63944.2755</v>
      </c>
      <c r="S16" s="217">
        <f t="shared" si="17"/>
        <v>67141.489275</v>
      </c>
      <c r="T16" s="217">
        <f t="shared" si="17"/>
        <v>70498.56373875002</v>
      </c>
      <c r="U16" s="217">
        <f t="shared" si="17"/>
        <v>74023.49192568751</v>
      </c>
      <c r="V16" s="217">
        <f t="shared" si="17"/>
        <v>77724.66652197186</v>
      </c>
      <c r="X16" s="246"/>
    </row>
    <row r="18" spans="1:22" ht="12.75">
      <c r="A18" s="61" t="s">
        <v>80</v>
      </c>
      <c r="C18" s="200">
        <f aca="true" t="shared" si="18" ref="C18:J18">SUM(C19:C19)</f>
        <v>20.7711</v>
      </c>
      <c r="D18" s="200">
        <f t="shared" si="18"/>
        <v>20.7711</v>
      </c>
      <c r="E18" s="200">
        <f t="shared" si="18"/>
        <v>21.809655</v>
      </c>
      <c r="F18" s="200">
        <f t="shared" si="18"/>
        <v>22.90013775</v>
      </c>
      <c r="G18" s="200">
        <f t="shared" si="18"/>
        <v>24.0451446375</v>
      </c>
      <c r="H18" s="200">
        <f t="shared" si="18"/>
        <v>25.247401869375</v>
      </c>
      <c r="I18" s="200">
        <f t="shared" si="18"/>
        <v>26.50977196284375</v>
      </c>
      <c r="J18" s="200">
        <f t="shared" si="18"/>
        <v>27.835260560985937</v>
      </c>
      <c r="M18" s="61" t="str">
        <f>A18</f>
        <v>Страхование</v>
      </c>
      <c r="O18" s="200">
        <f aca="true" t="shared" si="19" ref="O18:V18">SUM(O19:O19)</f>
        <v>249.2532</v>
      </c>
      <c r="P18" s="200">
        <f t="shared" si="19"/>
        <v>249.2532</v>
      </c>
      <c r="Q18" s="200">
        <f t="shared" si="19"/>
        <v>261.71586</v>
      </c>
      <c r="R18" s="200">
        <f t="shared" si="19"/>
        <v>274.801653</v>
      </c>
      <c r="S18" s="200">
        <f t="shared" si="19"/>
        <v>288.54173565</v>
      </c>
      <c r="T18" s="200">
        <f t="shared" si="19"/>
        <v>302.9688224325</v>
      </c>
      <c r="U18" s="200">
        <f t="shared" si="19"/>
        <v>318.117263554125</v>
      </c>
      <c r="V18" s="200">
        <f t="shared" si="19"/>
        <v>334.0231267318312</v>
      </c>
    </row>
    <row r="19" spans="1:22" ht="25.5">
      <c r="A19" s="166" t="s">
        <v>81</v>
      </c>
      <c r="B19" s="169">
        <v>0.006</v>
      </c>
      <c r="C19" s="153">
        <f aca="true" t="shared" si="20" ref="C19:J19">C5*$B$19</f>
        <v>20.7711</v>
      </c>
      <c r="D19" s="153">
        <f t="shared" si="20"/>
        <v>20.7711</v>
      </c>
      <c r="E19" s="153">
        <f t="shared" si="20"/>
        <v>21.809655</v>
      </c>
      <c r="F19" s="153">
        <f t="shared" si="20"/>
        <v>22.90013775</v>
      </c>
      <c r="G19" s="153">
        <f t="shared" si="20"/>
        <v>24.0451446375</v>
      </c>
      <c r="H19" s="153">
        <f t="shared" si="20"/>
        <v>25.247401869375</v>
      </c>
      <c r="I19" s="153">
        <f t="shared" si="20"/>
        <v>26.50977196284375</v>
      </c>
      <c r="J19" s="153">
        <f t="shared" si="20"/>
        <v>27.835260560985937</v>
      </c>
      <c r="M19" s="166" t="s">
        <v>81</v>
      </c>
      <c r="N19" s="169">
        <f>B19</f>
        <v>0.006</v>
      </c>
      <c r="O19" s="153">
        <f aca="true" t="shared" si="21" ref="O19:V19">C19*12</f>
        <v>249.2532</v>
      </c>
      <c r="P19" s="153">
        <f t="shared" si="21"/>
        <v>249.2532</v>
      </c>
      <c r="Q19" s="153">
        <f t="shared" si="21"/>
        <v>261.71586</v>
      </c>
      <c r="R19" s="153">
        <f t="shared" si="21"/>
        <v>274.801653</v>
      </c>
      <c r="S19" s="153">
        <f t="shared" si="21"/>
        <v>288.54173565</v>
      </c>
      <c r="T19" s="153">
        <f t="shared" si="21"/>
        <v>302.9688224325</v>
      </c>
      <c r="U19" s="153">
        <f t="shared" si="21"/>
        <v>318.117263554125</v>
      </c>
      <c r="V19" s="153">
        <f t="shared" si="21"/>
        <v>334.0231267318312</v>
      </c>
    </row>
    <row r="21" spans="1:22" ht="12.75">
      <c r="A21" s="61" t="s">
        <v>82</v>
      </c>
      <c r="C21" s="200">
        <f>SUM(C22:C23)</f>
        <v>381.4876302083333</v>
      </c>
      <c r="D21" s="200">
        <f aca="true" t="shared" si="22" ref="D21:I21">SUM(D22:D23)</f>
        <v>732.8316406250001</v>
      </c>
      <c r="E21" s="200">
        <f t="shared" si="22"/>
        <v>682.957734375</v>
      </c>
      <c r="F21" s="200">
        <f t="shared" si="22"/>
        <v>633.097828125</v>
      </c>
      <c r="G21" s="200">
        <f t="shared" si="22"/>
        <v>583.252621875</v>
      </c>
      <c r="H21" s="200">
        <f t="shared" si="22"/>
        <v>533.4228506249999</v>
      </c>
      <c r="I21" s="200">
        <f t="shared" si="22"/>
        <v>483.6092861249999</v>
      </c>
      <c r="J21" s="200">
        <f>SUM(J22:J23)</f>
        <v>433.81273871250005</v>
      </c>
      <c r="M21" s="61" t="str">
        <f>A21</f>
        <v>Налоги (кроме налогов на ФЗП)</v>
      </c>
      <c r="O21" s="200">
        <f>SUM(O22:O23)</f>
        <v>4577.8515625</v>
      </c>
      <c r="P21" s="200">
        <f aca="true" t="shared" si="23" ref="P21:U21">SUM(P22:P23)</f>
        <v>8793.979687500001</v>
      </c>
      <c r="Q21" s="200">
        <f t="shared" si="23"/>
        <v>8195.492812499999</v>
      </c>
      <c r="R21" s="200">
        <f t="shared" si="23"/>
        <v>7597.1739375</v>
      </c>
      <c r="S21" s="200">
        <f t="shared" si="23"/>
        <v>6999.031462500001</v>
      </c>
      <c r="T21" s="200">
        <f t="shared" si="23"/>
        <v>6401.0742075</v>
      </c>
      <c r="U21" s="200">
        <f t="shared" si="23"/>
        <v>5803.311433499999</v>
      </c>
      <c r="V21" s="200">
        <f>SUM(V22:V23)</f>
        <v>5205.752864550001</v>
      </c>
    </row>
    <row r="22" spans="1:22" ht="12.75">
      <c r="A22" s="80" t="s">
        <v>2</v>
      </c>
      <c r="B22" s="171">
        <f>Исх!C17</f>
        <v>0.015</v>
      </c>
      <c r="C22" s="153">
        <f>(C35+C38)/2*$B$22/12</f>
        <v>376.154296875</v>
      </c>
      <c r="D22" s="153">
        <f aca="true" t="shared" si="24" ref="D22:I22">(D35+D38)/2*$B$22/12</f>
        <v>727.2316406250001</v>
      </c>
      <c r="E22" s="153">
        <f>(E35+E38)/2*$B$22/12</f>
        <v>677.077734375</v>
      </c>
      <c r="F22" s="153">
        <f t="shared" si="24"/>
        <v>626.923828125</v>
      </c>
      <c r="G22" s="153">
        <f t="shared" si="24"/>
        <v>576.769921875</v>
      </c>
      <c r="H22" s="153">
        <f t="shared" si="24"/>
        <v>526.6160156249999</v>
      </c>
      <c r="I22" s="153">
        <f t="shared" si="24"/>
        <v>476.46210937499995</v>
      </c>
      <c r="J22" s="153">
        <f>(J35+J38)/2*$B$22/12</f>
        <v>426.30820312500003</v>
      </c>
      <c r="M22" s="80" t="s">
        <v>2</v>
      </c>
      <c r="N22" s="171">
        <f>B22</f>
        <v>0.015</v>
      </c>
      <c r="O22" s="153">
        <f aca="true" t="shared" si="25" ref="O22:V23">C22*12</f>
        <v>4513.8515625</v>
      </c>
      <c r="P22" s="153">
        <f t="shared" si="25"/>
        <v>8726.7796875</v>
      </c>
      <c r="Q22" s="153">
        <f t="shared" si="25"/>
        <v>8124.932812499999</v>
      </c>
      <c r="R22" s="153">
        <f t="shared" si="25"/>
        <v>7523.0859375</v>
      </c>
      <c r="S22" s="153">
        <f t="shared" si="25"/>
        <v>6921.239062500001</v>
      </c>
      <c r="T22" s="153">
        <f t="shared" si="25"/>
        <v>6319.3921875</v>
      </c>
      <c r="U22" s="153">
        <f t="shared" si="25"/>
        <v>5717.545312499999</v>
      </c>
      <c r="V22" s="153">
        <f t="shared" si="25"/>
        <v>5115.6984375</v>
      </c>
    </row>
    <row r="23" spans="1:22" ht="12.75">
      <c r="A23" s="80" t="s">
        <v>101</v>
      </c>
      <c r="B23" s="80"/>
      <c r="C23" s="144">
        <f>16/12*4</f>
        <v>5.333333333333333</v>
      </c>
      <c r="D23" s="153">
        <f aca="true" t="shared" si="26" ref="D23:J23">C23+C23*$E$2</f>
        <v>5.6</v>
      </c>
      <c r="E23" s="153">
        <f t="shared" si="26"/>
        <v>5.88</v>
      </c>
      <c r="F23" s="153">
        <f t="shared" si="26"/>
        <v>6.1739999999999995</v>
      </c>
      <c r="G23" s="153">
        <f t="shared" si="26"/>
        <v>6.4826999999999995</v>
      </c>
      <c r="H23" s="153">
        <f t="shared" si="26"/>
        <v>6.8068349999999995</v>
      </c>
      <c r="I23" s="153">
        <f t="shared" si="26"/>
        <v>7.14717675</v>
      </c>
      <c r="J23" s="153">
        <f t="shared" si="26"/>
        <v>7.5045355874999995</v>
      </c>
      <c r="M23" s="80" t="s">
        <v>101</v>
      </c>
      <c r="N23" s="80"/>
      <c r="O23" s="153">
        <f t="shared" si="25"/>
        <v>64</v>
      </c>
      <c r="P23" s="153">
        <f t="shared" si="25"/>
        <v>67.19999999999999</v>
      </c>
      <c r="Q23" s="153">
        <f t="shared" si="25"/>
        <v>70.56</v>
      </c>
      <c r="R23" s="153">
        <f t="shared" si="25"/>
        <v>74.088</v>
      </c>
      <c r="S23" s="153">
        <f t="shared" si="25"/>
        <v>77.79239999999999</v>
      </c>
      <c r="T23" s="153">
        <f t="shared" si="25"/>
        <v>81.68202</v>
      </c>
      <c r="U23" s="153">
        <f t="shared" si="25"/>
        <v>85.766121</v>
      </c>
      <c r="V23" s="153">
        <f t="shared" si="25"/>
        <v>90.05442704999999</v>
      </c>
    </row>
    <row r="25" ht="12.75">
      <c r="C25" s="172"/>
    </row>
    <row r="26" spans="1:10" ht="12.75">
      <c r="A26" s="303" t="s">
        <v>83</v>
      </c>
      <c r="B26" s="303"/>
      <c r="C26" s="303"/>
      <c r="D26" s="303"/>
      <c r="E26" s="303"/>
      <c r="F26" s="303"/>
      <c r="G26" s="160"/>
      <c r="H26" s="160"/>
      <c r="I26" s="160"/>
      <c r="J26" s="160"/>
    </row>
    <row r="27" spans="1:10" ht="12.75">
      <c r="A27" s="140" t="s">
        <v>89</v>
      </c>
      <c r="B27" s="80"/>
      <c r="C27" s="141">
        <v>2014</v>
      </c>
      <c r="D27" s="141">
        <f aca="true" t="shared" si="27" ref="D27:J27">D4</f>
        <v>2015</v>
      </c>
      <c r="E27" s="141">
        <f t="shared" si="27"/>
        <v>2016</v>
      </c>
      <c r="F27" s="141">
        <f t="shared" si="27"/>
        <v>2017</v>
      </c>
      <c r="G27" s="141">
        <f t="shared" si="27"/>
        <v>2018</v>
      </c>
      <c r="H27" s="141">
        <f t="shared" si="27"/>
        <v>2019</v>
      </c>
      <c r="I27" s="141">
        <f t="shared" si="27"/>
        <v>2020</v>
      </c>
      <c r="J27" s="141">
        <f t="shared" si="27"/>
        <v>2021</v>
      </c>
    </row>
    <row r="28" spans="1:10" ht="12.75">
      <c r="A28" s="80" t="s">
        <v>84</v>
      </c>
      <c r="B28" s="173"/>
      <c r="C28" s="80"/>
      <c r="D28" s="80"/>
      <c r="E28" s="80"/>
      <c r="F28" s="80"/>
      <c r="G28" s="80"/>
      <c r="H28" s="80"/>
      <c r="I28" s="80"/>
      <c r="J28" s="80"/>
    </row>
    <row r="29" spans="1:10" ht="12.75">
      <c r="A29" s="80" t="s">
        <v>85</v>
      </c>
      <c r="B29" s="174"/>
      <c r="C29" s="153">
        <f>C35+C41+C47</f>
        <v>0</v>
      </c>
      <c r="D29" s="153">
        <f aca="true" t="shared" si="28" ref="D29:I29">D35+D41+D47</f>
        <v>1300228.1219142857</v>
      </c>
      <c r="E29" s="153">
        <f t="shared" si="28"/>
        <v>1185389.7221428573</v>
      </c>
      <c r="F29" s="153">
        <f t="shared" si="28"/>
        <v>1082744.1975714287</v>
      </c>
      <c r="G29" s="153">
        <f t="shared" si="28"/>
        <v>980098.673</v>
      </c>
      <c r="H29" s="153">
        <f t="shared" si="28"/>
        <v>877453.1484285714</v>
      </c>
      <c r="I29" s="153">
        <f t="shared" si="28"/>
        <v>774807.6238571429</v>
      </c>
      <c r="J29" s="153">
        <f>J35+J41+J47</f>
        <v>672162.0992857143</v>
      </c>
    </row>
    <row r="30" spans="1:10" ht="12.75">
      <c r="A30" s="80" t="s">
        <v>86</v>
      </c>
      <c r="B30" s="174"/>
      <c r="C30" s="153">
        <f>C36+C42+C48</f>
        <v>1227070.8707142856</v>
      </c>
      <c r="D30" s="153">
        <f aca="true" t="shared" si="29" ref="D30:I30">D36+D42+D48</f>
        <v>0</v>
      </c>
      <c r="E30" s="153">
        <f t="shared" si="29"/>
        <v>0</v>
      </c>
      <c r="F30" s="153">
        <f t="shared" si="29"/>
        <v>0</v>
      </c>
      <c r="G30" s="153">
        <f t="shared" si="29"/>
        <v>0</v>
      </c>
      <c r="H30" s="153">
        <f t="shared" si="29"/>
        <v>0</v>
      </c>
      <c r="I30" s="153">
        <f t="shared" si="29"/>
        <v>0</v>
      </c>
      <c r="J30" s="153">
        <f>J36+J42+J48</f>
        <v>0</v>
      </c>
    </row>
    <row r="31" spans="1:10" ht="12.75">
      <c r="A31" s="155" t="s">
        <v>87</v>
      </c>
      <c r="B31" s="155"/>
      <c r="C31" s="154">
        <f>C37+C43+C49</f>
        <v>0</v>
      </c>
      <c r="D31" s="154">
        <f aca="true" t="shared" si="30" ref="D31:I31">D37+D43+D49</f>
        <v>102645.52457142857</v>
      </c>
      <c r="E31" s="154">
        <f>E37+E43+E49</f>
        <v>102645.52457142857</v>
      </c>
      <c r="F31" s="154">
        <f t="shared" si="30"/>
        <v>102645.52457142857</v>
      </c>
      <c r="G31" s="154">
        <f t="shared" si="30"/>
        <v>102645.52457142857</v>
      </c>
      <c r="H31" s="154">
        <f t="shared" si="30"/>
        <v>102645.52457142857</v>
      </c>
      <c r="I31" s="154">
        <f t="shared" si="30"/>
        <v>102645.52457142857</v>
      </c>
      <c r="J31" s="154">
        <f>J37+J43+J49</f>
        <v>102645.52457142857</v>
      </c>
    </row>
    <row r="32" spans="1:10" ht="12.75">
      <c r="A32" s="80" t="s">
        <v>88</v>
      </c>
      <c r="B32" s="174"/>
      <c r="C32" s="153">
        <f aca="true" t="shared" si="31" ref="C32:I32">C29+C30-C31</f>
        <v>1227070.8707142856</v>
      </c>
      <c r="D32" s="153">
        <f t="shared" si="31"/>
        <v>1197582.5973428572</v>
      </c>
      <c r="E32" s="153">
        <f t="shared" si="31"/>
        <v>1082744.1975714287</v>
      </c>
      <c r="F32" s="153">
        <f t="shared" si="31"/>
        <v>980098.6730000002</v>
      </c>
      <c r="G32" s="153">
        <f t="shared" si="31"/>
        <v>877453.1484285714</v>
      </c>
      <c r="H32" s="153">
        <f t="shared" si="31"/>
        <v>774807.6238571429</v>
      </c>
      <c r="I32" s="153">
        <f t="shared" si="31"/>
        <v>672162.0992857143</v>
      </c>
      <c r="J32" s="153">
        <f>J29+J30-J31</f>
        <v>569516.5747142858</v>
      </c>
    </row>
    <row r="33" spans="1:10" ht="12.75" hidden="1" outlineLevel="1">
      <c r="A33" s="78" t="s">
        <v>109</v>
      </c>
      <c r="C33" s="141"/>
      <c r="D33" s="141"/>
      <c r="E33" s="141"/>
      <c r="F33" s="141"/>
      <c r="G33" s="141"/>
      <c r="H33" s="141"/>
      <c r="I33" s="141"/>
      <c r="J33" s="141"/>
    </row>
    <row r="34" spans="1:10" ht="12.75" hidden="1" outlineLevel="1">
      <c r="A34" s="80" t="s">
        <v>84</v>
      </c>
      <c r="B34" s="175">
        <f>1/15</f>
        <v>0.06666666666666667</v>
      </c>
      <c r="C34" s="80"/>
      <c r="D34" s="80"/>
      <c r="E34" s="80"/>
      <c r="F34" s="80"/>
      <c r="G34" s="80"/>
      <c r="H34" s="80"/>
      <c r="I34" s="80"/>
      <c r="J34" s="80"/>
    </row>
    <row r="35" spans="1:10" ht="12.75" hidden="1" outlineLevel="1">
      <c r="A35" s="80" t="s">
        <v>85</v>
      </c>
      <c r="B35" s="174"/>
      <c r="C35" s="145"/>
      <c r="D35" s="153">
        <f aca="true" t="shared" si="32" ref="D35:J35">C38</f>
        <v>601846.875</v>
      </c>
      <c r="E35" s="153">
        <f t="shared" si="32"/>
        <v>561723.75</v>
      </c>
      <c r="F35" s="153">
        <f t="shared" si="32"/>
        <v>521600.625</v>
      </c>
      <c r="G35" s="153">
        <f t="shared" si="32"/>
        <v>481477.5</v>
      </c>
      <c r="H35" s="153">
        <f t="shared" si="32"/>
        <v>441354.375</v>
      </c>
      <c r="I35" s="153">
        <f t="shared" si="32"/>
        <v>401231.25</v>
      </c>
      <c r="J35" s="153">
        <f t="shared" si="32"/>
        <v>361108.125</v>
      </c>
    </row>
    <row r="36" spans="1:10" ht="12.75" hidden="1" outlineLevel="1">
      <c r="A36" s="80" t="s">
        <v>86</v>
      </c>
      <c r="B36" s="174"/>
      <c r="C36" s="153">
        <f>Инв!Q5/Исх!$C$19</f>
        <v>601846.875</v>
      </c>
      <c r="D36" s="153"/>
      <c r="E36" s="153"/>
      <c r="F36" s="153"/>
      <c r="G36" s="153"/>
      <c r="H36" s="153"/>
      <c r="I36" s="153"/>
      <c r="J36" s="153"/>
    </row>
    <row r="37" spans="1:10" ht="12.75" hidden="1" outlineLevel="1">
      <c r="A37" s="155" t="s">
        <v>87</v>
      </c>
      <c r="B37" s="155"/>
      <c r="C37" s="154">
        <f>$C36*$B34/12*0</f>
        <v>0</v>
      </c>
      <c r="D37" s="154">
        <f>$C36*$B34</f>
        <v>40123.125</v>
      </c>
      <c r="E37" s="154">
        <f aca="true" t="shared" si="33" ref="E37:J37">$C36*$B34</f>
        <v>40123.125</v>
      </c>
      <c r="F37" s="154">
        <f t="shared" si="33"/>
        <v>40123.125</v>
      </c>
      <c r="G37" s="154">
        <f t="shared" si="33"/>
        <v>40123.125</v>
      </c>
      <c r="H37" s="154">
        <f t="shared" si="33"/>
        <v>40123.125</v>
      </c>
      <c r="I37" s="154">
        <f t="shared" si="33"/>
        <v>40123.125</v>
      </c>
      <c r="J37" s="154">
        <f t="shared" si="33"/>
        <v>40123.125</v>
      </c>
    </row>
    <row r="38" spans="1:10" ht="12.75" hidden="1" outlineLevel="1">
      <c r="A38" s="80" t="s">
        <v>88</v>
      </c>
      <c r="B38" s="174"/>
      <c r="C38" s="153">
        <f aca="true" t="shared" si="34" ref="C38:I38">C35+C36-C37</f>
        <v>601846.875</v>
      </c>
      <c r="D38" s="153">
        <f t="shared" si="34"/>
        <v>561723.75</v>
      </c>
      <c r="E38" s="153">
        <f t="shared" si="34"/>
        <v>521600.625</v>
      </c>
      <c r="F38" s="153">
        <f t="shared" si="34"/>
        <v>481477.5</v>
      </c>
      <c r="G38" s="153">
        <f t="shared" si="34"/>
        <v>441354.375</v>
      </c>
      <c r="H38" s="153">
        <f t="shared" si="34"/>
        <v>401231.25</v>
      </c>
      <c r="I38" s="153">
        <f t="shared" si="34"/>
        <v>361108.125</v>
      </c>
      <c r="J38" s="153">
        <f>J35+J36-J37</f>
        <v>320985</v>
      </c>
    </row>
    <row r="39" spans="1:10" ht="12.75" hidden="1" outlineLevel="1">
      <c r="A39" s="78" t="s">
        <v>105</v>
      </c>
      <c r="C39" s="141"/>
      <c r="D39" s="141"/>
      <c r="E39" s="141"/>
      <c r="F39" s="141"/>
      <c r="G39" s="141"/>
      <c r="H39" s="141"/>
      <c r="I39" s="141"/>
      <c r="J39" s="141"/>
    </row>
    <row r="40" spans="1:10" ht="12.75" hidden="1" outlineLevel="1">
      <c r="A40" s="80" t="s">
        <v>84</v>
      </c>
      <c r="B40" s="175">
        <f>1/10</f>
        <v>0.1</v>
      </c>
      <c r="C40" s="80"/>
      <c r="D40" s="80"/>
      <c r="E40" s="80"/>
      <c r="F40" s="80"/>
      <c r="G40" s="80"/>
      <c r="H40" s="80"/>
      <c r="I40" s="80"/>
      <c r="J40" s="80"/>
    </row>
    <row r="41" spans="1:10" ht="12.75" hidden="1" outlineLevel="1">
      <c r="A41" s="80" t="s">
        <v>85</v>
      </c>
      <c r="B41" s="174"/>
      <c r="C41" s="153"/>
      <c r="D41" s="153">
        <f>Инв!B18</f>
        <v>682801.0112000001</v>
      </c>
      <c r="E41" s="153">
        <f>Инв!C18</f>
        <v>609643.76</v>
      </c>
      <c r="F41" s="153">
        <f>E44</f>
        <v>548679.384</v>
      </c>
      <c r="G41" s="153">
        <f>F44</f>
        <v>487715.008</v>
      </c>
      <c r="H41" s="153">
        <f>G44</f>
        <v>426750.632</v>
      </c>
      <c r="I41" s="153">
        <f>H44</f>
        <v>365786.256</v>
      </c>
      <c r="J41" s="153">
        <f>I44</f>
        <v>304821.88</v>
      </c>
    </row>
    <row r="42" spans="1:10" ht="12.75" hidden="1" outlineLevel="1">
      <c r="A42" s="80" t="s">
        <v>86</v>
      </c>
      <c r="B42" s="174"/>
      <c r="C42" s="153">
        <f>Инв!Q8/Исх!$C$19</f>
        <v>609643.76</v>
      </c>
      <c r="D42" s="153"/>
      <c r="E42" s="153"/>
      <c r="F42" s="153"/>
      <c r="G42" s="153"/>
      <c r="H42" s="153"/>
      <c r="I42" s="153"/>
      <c r="J42" s="153"/>
    </row>
    <row r="43" spans="1:10" ht="12.75" hidden="1" outlineLevel="1">
      <c r="A43" s="155" t="s">
        <v>87</v>
      </c>
      <c r="B43" s="155"/>
      <c r="C43" s="154">
        <f>$C42*$B40/12*0</f>
        <v>0</v>
      </c>
      <c r="D43" s="154">
        <f aca="true" t="shared" si="35" ref="D43:J43">$C42*$B40</f>
        <v>60964.376000000004</v>
      </c>
      <c r="E43" s="154">
        <f t="shared" si="35"/>
        <v>60964.376000000004</v>
      </c>
      <c r="F43" s="154">
        <f t="shared" si="35"/>
        <v>60964.376000000004</v>
      </c>
      <c r="G43" s="154">
        <f t="shared" si="35"/>
        <v>60964.376000000004</v>
      </c>
      <c r="H43" s="154">
        <f t="shared" si="35"/>
        <v>60964.376000000004</v>
      </c>
      <c r="I43" s="154">
        <f t="shared" si="35"/>
        <v>60964.376000000004</v>
      </c>
      <c r="J43" s="154">
        <f t="shared" si="35"/>
        <v>60964.376000000004</v>
      </c>
    </row>
    <row r="44" spans="1:10" ht="12.75" hidden="1" outlineLevel="1">
      <c r="A44" s="80" t="s">
        <v>88</v>
      </c>
      <c r="B44" s="174"/>
      <c r="C44" s="153">
        <f aca="true" t="shared" si="36" ref="C44:I44">C41+C42-C43</f>
        <v>609643.76</v>
      </c>
      <c r="D44" s="153">
        <f t="shared" si="36"/>
        <v>621836.6352</v>
      </c>
      <c r="E44" s="153">
        <f t="shared" si="36"/>
        <v>548679.384</v>
      </c>
      <c r="F44" s="153">
        <f t="shared" si="36"/>
        <v>487715.008</v>
      </c>
      <c r="G44" s="153">
        <f t="shared" si="36"/>
        <v>426750.632</v>
      </c>
      <c r="H44" s="153">
        <f t="shared" si="36"/>
        <v>365786.256</v>
      </c>
      <c r="I44" s="153">
        <f t="shared" si="36"/>
        <v>304821.88</v>
      </c>
      <c r="J44" s="153">
        <f>J41+J42-J43</f>
        <v>243857.50400000002</v>
      </c>
    </row>
    <row r="45" spans="1:10" ht="12.75" hidden="1" outlineLevel="1">
      <c r="A45" s="78" t="s">
        <v>190</v>
      </c>
      <c r="C45" s="141"/>
      <c r="D45" s="141"/>
      <c r="E45" s="141"/>
      <c r="F45" s="141"/>
      <c r="G45" s="141"/>
      <c r="H45" s="141"/>
      <c r="I45" s="141"/>
      <c r="J45" s="141"/>
    </row>
    <row r="46" spans="1:10" ht="12.75" hidden="1" outlineLevel="1">
      <c r="A46" s="80" t="s">
        <v>84</v>
      </c>
      <c r="B46" s="175">
        <f>1/10</f>
        <v>0.1</v>
      </c>
      <c r="C46" s="80"/>
      <c r="D46" s="80"/>
      <c r="E46" s="80"/>
      <c r="F46" s="80"/>
      <c r="G46" s="80"/>
      <c r="H46" s="80"/>
      <c r="I46" s="80"/>
      <c r="J46" s="80"/>
    </row>
    <row r="47" spans="1:10" ht="12.75" hidden="1" outlineLevel="1">
      <c r="A47" s="80" t="s">
        <v>85</v>
      </c>
      <c r="B47" s="174"/>
      <c r="C47" s="153"/>
      <c r="D47" s="153">
        <f aca="true" t="shared" si="37" ref="D47:J47">C50</f>
        <v>15580.235714285714</v>
      </c>
      <c r="E47" s="153">
        <f t="shared" si="37"/>
        <v>14022.212142857143</v>
      </c>
      <c r="F47" s="153">
        <f t="shared" si="37"/>
        <v>12464.18857142857</v>
      </c>
      <c r="G47" s="153">
        <f t="shared" si="37"/>
        <v>10906.164999999999</v>
      </c>
      <c r="H47" s="153">
        <f t="shared" si="37"/>
        <v>9348.141428571427</v>
      </c>
      <c r="I47" s="153">
        <f t="shared" si="37"/>
        <v>7790.117857142855</v>
      </c>
      <c r="J47" s="153">
        <f t="shared" si="37"/>
        <v>6232.094285714284</v>
      </c>
    </row>
    <row r="48" spans="1:10" ht="12.75" hidden="1" outlineLevel="1">
      <c r="A48" s="80" t="s">
        <v>86</v>
      </c>
      <c r="B48" s="174"/>
      <c r="C48" s="153">
        <f>Инв!Q11/Исх!$C$19</f>
        <v>15580.235714285714</v>
      </c>
      <c r="D48" s="153"/>
      <c r="E48" s="153"/>
      <c r="F48" s="153"/>
      <c r="G48" s="153"/>
      <c r="H48" s="153"/>
      <c r="I48" s="153"/>
      <c r="J48" s="153"/>
    </row>
    <row r="49" spans="1:10" ht="12.75" hidden="1" outlineLevel="1">
      <c r="A49" s="155" t="s">
        <v>87</v>
      </c>
      <c r="B49" s="155"/>
      <c r="C49" s="154">
        <f>$C48*$B46/12*0</f>
        <v>0</v>
      </c>
      <c r="D49" s="154">
        <f aca="true" t="shared" si="38" ref="D49:J49">$C48*$B46</f>
        <v>1558.0235714285716</v>
      </c>
      <c r="E49" s="154">
        <f t="shared" si="38"/>
        <v>1558.0235714285716</v>
      </c>
      <c r="F49" s="154">
        <f t="shared" si="38"/>
        <v>1558.0235714285716</v>
      </c>
      <c r="G49" s="154">
        <f t="shared" si="38"/>
        <v>1558.0235714285716</v>
      </c>
      <c r="H49" s="154">
        <f t="shared" si="38"/>
        <v>1558.0235714285716</v>
      </c>
      <c r="I49" s="154">
        <f t="shared" si="38"/>
        <v>1558.0235714285716</v>
      </c>
      <c r="J49" s="154">
        <f t="shared" si="38"/>
        <v>1558.0235714285716</v>
      </c>
    </row>
    <row r="50" spans="1:10" ht="12.75" hidden="1" outlineLevel="1">
      <c r="A50" s="80" t="s">
        <v>88</v>
      </c>
      <c r="B50" s="174"/>
      <c r="C50" s="153">
        <f aca="true" t="shared" si="39" ref="C50:I50">C47+C48-C49</f>
        <v>15580.235714285714</v>
      </c>
      <c r="D50" s="153">
        <f t="shared" si="39"/>
        <v>14022.212142857143</v>
      </c>
      <c r="E50" s="153">
        <f t="shared" si="39"/>
        <v>12464.18857142857</v>
      </c>
      <c r="F50" s="153">
        <f t="shared" si="39"/>
        <v>10906.164999999999</v>
      </c>
      <c r="G50" s="153">
        <f t="shared" si="39"/>
        <v>9348.141428571427</v>
      </c>
      <c r="H50" s="153">
        <f t="shared" si="39"/>
        <v>7790.117857142855</v>
      </c>
      <c r="I50" s="153">
        <f t="shared" si="39"/>
        <v>6232.094285714284</v>
      </c>
      <c r="J50" s="153">
        <f>J47+J48-J49</f>
        <v>4674.070714285712</v>
      </c>
    </row>
    <row r="51" ht="12.75" collapsed="1"/>
  </sheetData>
  <sheetProtection/>
  <printOptions/>
  <pageMargins left="0.44" right="0.4" top="0.51" bottom="0.3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2013-09-27T10:43:28Z</cp:lastPrinted>
  <dcterms:created xsi:type="dcterms:W3CDTF">2006-03-01T15:11:19Z</dcterms:created>
  <dcterms:modified xsi:type="dcterms:W3CDTF">2013-09-29T05:59:01Z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