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4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'1-Ф3'!$A$1:$AU$34</definedName>
    <definedName name="_xlnm.Print_Area" localSheetId="1">'2-ф2'!$A$1:$AU$27</definedName>
    <definedName name="_xlnm.Print_Area" localSheetId="2">'3-Баланс'!$A$1:$AU$26</definedName>
    <definedName name="_xlnm.Print_Area" localSheetId="10">'Инв'!$A$1:$R$25</definedName>
    <definedName name="_xlnm.Print_Area" localSheetId="3">'Исх'!$A$1:$M$39</definedName>
    <definedName name="_xlnm.Print_Area" localSheetId="9">'кр'!$A$1:$DO$29</definedName>
    <definedName name="_xlnm.Print_Area" localSheetId="12">'Осн.пок-ли'!$A$1:$J$66</definedName>
    <definedName name="_xlnm.Print_Area" localSheetId="8">'Пост'!$A$1:$V$50</definedName>
    <definedName name="_xlnm.Print_Area" localSheetId="5">'Производство'!$A$1:$AU$13</definedName>
    <definedName name="_xlnm.Print_Area" localSheetId="6">'Расх перем'!$A$1:$H$32</definedName>
    <definedName name="_xlnm.Print_Area" localSheetId="7">'ФОТ'!$A$1:$K$29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2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1,5-2 месяца</t>
        </r>
      </text>
    </comment>
  </commentList>
</comments>
</file>

<file path=xl/sharedStrings.xml><?xml version="1.0" encoding="utf-8"?>
<sst xmlns="http://schemas.openxmlformats.org/spreadsheetml/2006/main" count="643" uniqueCount="410">
  <si>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</si>
  <si>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</si>
  <si>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</si>
  <si>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</si>
  <si>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</si>
  <si>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</si>
  <si>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</si>
  <si>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</si>
  <si>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</si>
  <si>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</si>
  <si>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</si>
  <si>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</si>
  <si>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</si>
  <si>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</si>
  <si>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</si>
  <si>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</si>
  <si>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</si>
  <si>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</si>
  <si>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</si>
  <si>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</si>
  <si>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</si>
  <si>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</si>
  <si>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</si>
  <si>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</si>
  <si>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</si>
  <si>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</si>
  <si>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</si>
  <si>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</si>
  <si>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</si>
  <si>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</si>
  <si>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</si>
  <si>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</si>
  <si>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</si>
  <si>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</si>
  <si>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</si>
  <si>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</si>
  <si>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</si>
  <si>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</si>
  <si>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</si>
  <si>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</si>
  <si>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</si>
  <si>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</si>
  <si>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</si>
  <si>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</si>
  <si>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</si>
  <si>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</si>
  <si>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</si>
  <si>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</si>
  <si>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</si>
  <si>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</si>
  <si>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</si>
  <si>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</si>
  <si>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</si>
  <si>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</si>
  <si>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</si>
  <si>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</si>
  <si>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</si>
  <si>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</si>
  <si>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</si>
  <si>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</si>
  <si>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</si>
  <si>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</si>
  <si>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</si>
  <si>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</si>
  <si>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</si>
  <si>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</si>
  <si>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</si>
  <si>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</si>
  <si>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</si>
  <si>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</si>
  <si>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</si>
  <si>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</si>
  <si>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</si>
  <si>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</si>
  <si>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</si>
  <si>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</si>
  <si>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</si>
  <si>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</si>
  <si>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</si>
  <si>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</si>
  <si>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</si>
  <si>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</si>
  <si>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</si>
  <si>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</si>
  <si>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</si>
  <si>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</si>
  <si>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</si>
  <si>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</si>
  <si>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</si>
  <si>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</si>
  <si>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</si>
  <si>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</si>
  <si>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</si>
  <si>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</si>
  <si>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</si>
  <si>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</si>
  <si>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</si>
  <si>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</si>
  <si>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</si>
  <si>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</si>
  <si>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</si>
  <si>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</si>
  <si>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</si>
  <si>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</si>
  <si>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</si>
  <si>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</si>
  <si>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</si>
  <si>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</si>
  <si>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</si>
  <si>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</si>
  <si>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</si>
  <si>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</si>
  <si>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</si>
  <si>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</si>
  <si>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</si>
  <si>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</si>
  <si>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</si>
  <si>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</si>
  <si>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</si>
  <si>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</si>
  <si>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</si>
  <si>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</si>
  <si>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</si>
  <si>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</si>
  <si>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</si>
  <si>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</si>
  <si>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</si>
  <si>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</si>
  <si>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</si>
  <si>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</si>
  <si>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</si>
  <si>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</si>
  <si>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</si>
  <si>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</si>
  <si>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</si>
  <si>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</si>
  <si>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</si>
  <si>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</si>
  <si>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</si>
  <si>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</si>
  <si>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</si>
  <si>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</si>
  <si>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</si>
  <si>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</si>
  <si>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</si>
  <si>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</si>
  <si>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</si>
  <si>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</si>
  <si>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</si>
  <si>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</si>
  <si>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</si>
  <si>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</si>
  <si>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</si>
  <si>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</si>
  <si>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</si>
  <si>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</si>
  <si>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</si>
  <si>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</si>
  <si>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</si>
  <si>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</si>
  <si>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</si>
  <si>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</si>
  <si>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</si>
  <si>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</si>
  <si>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</si>
  <si>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</si>
  <si>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</si>
  <si>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</si>
  <si>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</si>
  <si>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</si>
  <si>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</si>
  <si>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</si>
  <si>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</si>
  <si>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</si>
  <si>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</si>
  <si>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</si>
  <si>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</si>
  <si>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</si>
  <si>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</si>
  <si>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</si>
  <si>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</si>
  <si>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</si>
  <si>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</si>
  <si>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</si>
  <si>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</si>
  <si>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</si>
  <si>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</si>
  <si>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</si>
  <si>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</si>
  <si>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</si>
  <si>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</si>
  <si>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</si>
  <si>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</si>
  <si>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</si>
  <si>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</si>
  <si>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</si>
  <si>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</si>
  <si>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</si>
  <si>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</si>
  <si>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</si>
  <si>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</si>
  <si>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</si>
  <si>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</si>
  <si>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</si>
  <si>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</si>
  <si>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</si>
  <si>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</si>
  <si>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</si>
  <si>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</si>
  <si>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</si>
  <si>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</si>
  <si>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</si>
  <si>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</si>
  <si>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</si>
  <si>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</si>
  <si>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</si>
  <si>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</si>
  <si>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</si>
  <si>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</si>
  <si>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</si>
  <si>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</si>
  <si>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</si>
  <si>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</si>
  <si>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</si>
  <si>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</si>
  <si>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</si>
  <si>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</si>
  <si>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</si>
  <si>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</si>
  <si>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</si>
  <si>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</si>
  <si>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</si>
  <si>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</si>
  <si>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Производство и реализация</t>
  </si>
  <si>
    <t>Реализация</t>
  </si>
  <si>
    <t>контроль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</si>
  <si>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</si>
  <si>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</si>
  <si>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</si>
  <si>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</si>
  <si>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</si>
  <si>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</si>
  <si>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кВт</t>
  </si>
  <si>
    <t>Фактор сезонности продаж</t>
  </si>
  <si>
    <t>Директор</t>
  </si>
  <si>
    <t>Главный бухгалтер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</si>
  <si>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</si>
  <si>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</si>
  <si>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</si>
  <si>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</si>
  <si>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</si>
  <si>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</si>
  <si>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</si>
  <si>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</si>
  <si>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</si>
  <si>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</si>
  <si>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</si>
  <si>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</si>
  <si>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</si>
  <si>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Продолжительность 1 смены</t>
  </si>
  <si>
    <t>час</t>
  </si>
  <si>
    <t>Прибыль, тг./ед.</t>
  </si>
  <si>
    <t>Количество смен</t>
  </si>
  <si>
    <t>смен/сутки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</si>
  <si>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</si>
  <si>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</si>
  <si>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</si>
  <si>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</si>
  <si>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</si>
  <si>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</si>
  <si>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</si>
  <si>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</si>
  <si>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</si>
  <si>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</si>
  <si>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</si>
  <si>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</si>
  <si>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</si>
  <si>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</si>
  <si>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июл</t>
  </si>
  <si>
    <t>авг</t>
  </si>
  <si>
    <t>сен</t>
  </si>
  <si>
    <t>окт</t>
  </si>
  <si>
    <t>ноя</t>
  </si>
  <si>
    <t>дек</t>
  </si>
  <si>
    <t>янв</t>
  </si>
  <si>
    <t>2013 год</t>
  </si>
  <si>
    <t>% повышения</t>
  </si>
  <si>
    <t>ведение счета + снятие наличных</t>
  </si>
  <si>
    <t>буклеты, флаера</t>
  </si>
  <si>
    <t>Услуги охранной фирмы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</si>
  <si>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</si>
  <si>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</si>
  <si>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</si>
  <si>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</si>
  <si>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</si>
  <si>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</si>
  <si>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</si>
  <si>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</si>
  <si>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</si>
  <si>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Ввод ОС (без НДС)</t>
  </si>
  <si>
    <t>Нормы, нормативы</t>
  </si>
  <si>
    <t>Обслуживающий персонал</t>
  </si>
  <si>
    <t>Мощность оборудования</t>
  </si>
  <si>
    <t>Расход электроэнергии</t>
  </si>
  <si>
    <t>кВт*ч/мес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</si>
  <si>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</si>
  <si>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</si>
  <si>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</si>
  <si>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</si>
  <si>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</si>
  <si>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</si>
  <si>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</si>
  <si>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Оплата за оборудование</t>
  </si>
  <si>
    <t>Начало производства</t>
  </si>
  <si>
    <t>Начало продаж</t>
  </si>
  <si>
    <t>Поставка оборудования</t>
  </si>
  <si>
    <t>Производственный персонал</t>
  </si>
  <si>
    <t>Остаток продукции</t>
  </si>
  <si>
    <t>кВт*ч</t>
  </si>
  <si>
    <t>Аренда помещения</t>
  </si>
  <si>
    <t>теплоэнергия</t>
  </si>
  <si>
    <t>тревожная кнопка</t>
  </si>
  <si>
    <t>Налог на транспорт, прочие налоги и сборы</t>
  </si>
  <si>
    <t>Приобретение техники</t>
  </si>
  <si>
    <t>Поиск и найм персонала</t>
  </si>
  <si>
    <t>Поиск и аренда помещения</t>
  </si>
  <si>
    <t>Основные параметры проекта</t>
  </si>
  <si>
    <t>http://www.avtogaz.ru/evroplatforma/</t>
  </si>
  <si>
    <t>м</t>
  </si>
  <si>
    <t>кг</t>
  </si>
  <si>
    <t>5-дневная рабочая неделя</t>
  </si>
  <si>
    <t>из расчета 20 л в день</t>
  </si>
  <si>
    <t>Менеджер по продажам</t>
  </si>
  <si>
    <t>Показатель (5 год реализации проекта)</t>
  </si>
  <si>
    <t>Доход от реализации</t>
  </si>
  <si>
    <t>Полная себестоимость</t>
  </si>
  <si>
    <t>Тип погашения основного долга</t>
  </si>
  <si>
    <t>Доход от реализации продукции</t>
  </si>
  <si>
    <t>Себестоимость реализ. продукции</t>
  </si>
  <si>
    <t>Стул офисный</t>
  </si>
  <si>
    <t>шт/час</t>
  </si>
  <si>
    <t>шт/мес</t>
  </si>
  <si>
    <t>Транспорт</t>
  </si>
  <si>
    <t>Газель</t>
  </si>
  <si>
    <t>Гидравлический трубогиб ТГ-20</t>
  </si>
  <si>
    <t>Обдирочный шлифовальный станок 3В-853</t>
  </si>
  <si>
    <t>Вертик. сверлильный станок 2Н-125</t>
  </si>
  <si>
    <t>Электросварочный аппарат</t>
  </si>
  <si>
    <t>Верстак столярный</t>
  </si>
  <si>
    <t>Верстак слесарный</t>
  </si>
  <si>
    <t>Компьютер</t>
  </si>
  <si>
    <t>http://nsk.pulscen.ru/products/trubogib_gidravlicheski_tg_1_14308224</t>
  </si>
  <si>
    <t>http://www.metalweb.ru/Урал/Цены/Сверлильные_станки/</t>
  </si>
  <si>
    <t>http://astana.satu.kz/p64240-svarochnyj-apparat-tdm.html</t>
  </si>
  <si>
    <t>Погрузчик ДВ-1792 б/у</t>
  </si>
  <si>
    <t>http://www.agroserver.ru/b/bolgarskiy-pogruzchik-dv1792-3-5-tn-2006g-v-akpp-162422.htm</t>
  </si>
  <si>
    <t>на ед.изделия</t>
  </si>
  <si>
    <t>Норма расхода на 1 ед</t>
  </si>
  <si>
    <t>Сумма на 1 ед, тг.</t>
  </si>
  <si>
    <t>Основные материалы</t>
  </si>
  <si>
    <t>Назначение</t>
  </si>
  <si>
    <t>Труба 25*2,6*6, сталь 12х18Н10</t>
  </si>
  <si>
    <t>каркас стула</t>
  </si>
  <si>
    <t>Винилискожа</t>
  </si>
  <si>
    <t>покрытие</t>
  </si>
  <si>
    <t>Поролон 20</t>
  </si>
  <si>
    <t>прокладка сиденья, спинки, подлокотников</t>
  </si>
  <si>
    <t>Фанера (или ДСП)</t>
  </si>
  <si>
    <t>основа сиденья, спинки, подлокотников</t>
  </si>
  <si>
    <t>Сварочная проволока</t>
  </si>
  <si>
    <t>обработка швов</t>
  </si>
  <si>
    <t>Рулон 3*1100, стать 08КП</t>
  </si>
  <si>
    <t>кронштейны соединения</t>
  </si>
  <si>
    <t>погон. метр</t>
  </si>
  <si>
    <t>кв.м</t>
  </si>
  <si>
    <t>п.м</t>
  </si>
  <si>
    <t>куб.м</t>
  </si>
  <si>
    <t>Вспомогательные материалы</t>
  </si>
  <si>
    <t>Препарат моющий КМ-1</t>
  </si>
  <si>
    <t>покрытие каркаса перед окраской</t>
  </si>
  <si>
    <t>Спирт бутиловый</t>
  </si>
  <si>
    <t>Концентрат фосфат КФ-1</t>
  </si>
  <si>
    <t>Грунт ВКФ-93 черный</t>
  </si>
  <si>
    <t>окраска каркаса</t>
  </si>
  <si>
    <t>Бумага оберточная</t>
  </si>
  <si>
    <t>Покупные комплектующие</t>
  </si>
  <si>
    <t>Болт 41143</t>
  </si>
  <si>
    <t>крепление, сборка</t>
  </si>
  <si>
    <t>Гайка закладная</t>
  </si>
  <si>
    <t>Гайка М8</t>
  </si>
  <si>
    <t>Спецгайка</t>
  </si>
  <si>
    <t>Шурупы</t>
  </si>
  <si>
    <t>Скрепка мебельная</t>
  </si>
  <si>
    <t>крепление покрытия</t>
  </si>
  <si>
    <t>шт</t>
  </si>
  <si>
    <t>Инженер-технолог</t>
  </si>
  <si>
    <t>Бригадир</t>
  </si>
  <si>
    <t>Слесарь</t>
  </si>
  <si>
    <t>Шлифовальщик</t>
  </si>
  <si>
    <t>Сварщик</t>
  </si>
  <si>
    <t>Столяр</t>
  </si>
  <si>
    <t>Закройщик</t>
  </si>
  <si>
    <t>Слесарь-ремонтник</t>
  </si>
  <si>
    <t>Водитель а/м “Газель”</t>
  </si>
  <si>
    <t>Уборщик-кладовщик</t>
  </si>
  <si>
    <t>винилискожа</t>
  </si>
  <si>
    <t>тг/ед (с НДС)</t>
  </si>
  <si>
    <t>200 м2 * 1 700 тг/м2</t>
  </si>
  <si>
    <t>Производство стульев и сидений для офисов, студий, гостиниц, ресторанов и общественных мест</t>
  </si>
  <si>
    <t>Стул офисный, шт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</si>
</sst>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8"/>
      <color theme="0" tint="-0.4999699890613556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8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9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/>
    </xf>
    <xf numFmtId="172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1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 wrapText="1"/>
    </xf>
    <xf numFmtId="4" fontId="5" fillId="35" borderId="10" xfId="0" applyNumberFormat="1" applyFont="1" applyFill="1" applyBorder="1" applyAlignment="1">
      <alignment/>
    </xf>
    <xf numFmtId="185" fontId="5" fillId="35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9" fontId="70" fillId="35" borderId="10" xfId="0" applyNumberFormat="1" applyFont="1" applyFill="1" applyBorder="1" applyAlignment="1">
      <alignment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sk.pulscen.ru/products/trubogib_gidravlicheski_tg_1_14308224" TargetMode="External" /><Relationship Id="rId2" Type="http://schemas.openxmlformats.org/officeDocument/2006/relationships/hyperlink" Target="http://www.metalweb.ru/&#1059;&#1088;&#1072;&#1083;/&#1062;&#1077;&#1085;&#1099;/&#1057;&#1074;&#1077;&#1088;&#1083;&#1080;&#1083;&#1100;&#1085;&#1099;&#1077;_&#1089;&#1090;&#1072;&#1085;&#1082;&#1080;/" TargetMode="External" /><Relationship Id="rId3" Type="http://schemas.openxmlformats.org/officeDocument/2006/relationships/hyperlink" Target="http://astana.satu.kz/p64240-svarochnyj-apparat-tdm.html" TargetMode="External" /><Relationship Id="rId4" Type="http://schemas.openxmlformats.org/officeDocument/2006/relationships/hyperlink" Target="http://www.avtogaz.ru/evroplatforma/" TargetMode="External" /><Relationship Id="rId5" Type="http://schemas.openxmlformats.org/officeDocument/2006/relationships/hyperlink" Target="http://www.agroserver.ru/b/bolgarskiy-pogruzchik-dv1792-3-5-tn-2006g-v-akpp-162422.htm" TargetMode="Externa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1"/>
  <sheetViews>
    <sheetView showGridLines="0" showZeros="0" zoomScalePageLayoutView="0" workbookViewId="0" topLeftCell="A1">
      <pane xSplit="3" ySplit="6" topLeftCell="D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0" sqref="B50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MAX(K34:AR34)</f>
        <v>23755.739490970926</v>
      </c>
      <c r="B2" s="10">
        <f>MIN(L34:AU34)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22" t="s">
        <v>3</v>
      </c>
      <c r="B5" s="324" t="s">
        <v>89</v>
      </c>
      <c r="C5" s="15"/>
      <c r="D5" s="324">
        <v>2013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>
        <v>2014</v>
      </c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5">
        <v>2015</v>
      </c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7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23"/>
      <c r="B6" s="324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306</v>
      </c>
      <c r="B7" s="18">
        <f>P7</f>
        <v>0</v>
      </c>
      <c r="C7" s="19"/>
      <c r="D7" s="20">
        <f>C34</f>
        <v>0</v>
      </c>
      <c r="E7" s="20">
        <f aca="true" t="shared" si="3" ref="E7:K7">D34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5050.79024</v>
      </c>
      <c r="P7" s="20">
        <f>D7</f>
        <v>0</v>
      </c>
      <c r="Q7" s="20">
        <f>P34</f>
        <v>0</v>
      </c>
      <c r="R7" s="20">
        <f aca="true" t="shared" si="4" ref="R7:AA7">Q34</f>
        <v>266.6792066666666</v>
      </c>
      <c r="S7" s="20">
        <f t="shared" si="4"/>
        <v>1064.264147746333</v>
      </c>
      <c r="T7" s="20">
        <f t="shared" si="4"/>
        <v>1264.7948850556659</v>
      </c>
      <c r="U7" s="20">
        <f t="shared" si="4"/>
        <v>1401.8630399649987</v>
      </c>
      <c r="V7" s="20">
        <f t="shared" si="4"/>
        <v>1538.9311948743316</v>
      </c>
      <c r="W7" s="20">
        <f t="shared" si="4"/>
        <v>1607.0047252693794</v>
      </c>
      <c r="X7" s="20">
        <f t="shared" si="4"/>
        <v>1483.3507589215696</v>
      </c>
      <c r="Y7" s="20">
        <f t="shared" si="4"/>
        <v>1355.638616617621</v>
      </c>
      <c r="Z7" s="20">
        <f t="shared" si="4"/>
        <v>1173.1073442879474</v>
      </c>
      <c r="AA7" s="20">
        <f t="shared" si="4"/>
        <v>877.2500319582737</v>
      </c>
      <c r="AB7" s="20">
        <f>AA34</f>
        <v>581.3927196286</v>
      </c>
      <c r="AC7" s="20">
        <f>Q7</f>
        <v>0</v>
      </c>
      <c r="AD7" s="20">
        <f aca="true" t="shared" si="5" ref="AD7:AO7">AC34</f>
        <v>285.5354072989266</v>
      </c>
      <c r="AE7" s="20">
        <f t="shared" si="5"/>
        <v>937.4793606835392</v>
      </c>
      <c r="AF7" s="20">
        <f t="shared" si="5"/>
        <v>1589.423314068152</v>
      </c>
      <c r="AG7" s="20">
        <f t="shared" si="5"/>
        <v>2241.3672674527647</v>
      </c>
      <c r="AH7" s="20">
        <f t="shared" si="5"/>
        <v>2893.3112208373777</v>
      </c>
      <c r="AI7" s="20">
        <f t="shared" si="5"/>
        <v>3428.040759273255</v>
      </c>
      <c r="AJ7" s="20">
        <f t="shared" si="5"/>
        <v>3953.7545491305855</v>
      </c>
      <c r="AK7" s="20">
        <f t="shared" si="5"/>
        <v>4422.732908159344</v>
      </c>
      <c r="AL7" s="20">
        <f t="shared" si="5"/>
        <v>4891.638433963031</v>
      </c>
      <c r="AM7" s="20">
        <f t="shared" si="5"/>
        <v>5360.470701681168</v>
      </c>
      <c r="AN7" s="20">
        <f t="shared" si="5"/>
        <v>5772.566263974921</v>
      </c>
      <c r="AO7" s="20">
        <f t="shared" si="5"/>
        <v>6184.587711012648</v>
      </c>
      <c r="AP7" s="20">
        <f>AD7</f>
        <v>285.5354072989266</v>
      </c>
      <c r="AQ7" s="20">
        <f>AP34</f>
        <v>6596.5346104553555</v>
      </c>
      <c r="AR7" s="20">
        <f>AQ34</f>
        <v>14382.48232142341</v>
      </c>
      <c r="AS7" s="20">
        <f>AR34</f>
        <v>23755.739490970926</v>
      </c>
      <c r="AT7" s="20">
        <f>AS34</f>
        <v>34715.468805336604</v>
      </c>
      <c r="AU7" s="20">
        <f>AT34</f>
        <v>47260.77242127967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SUM(B10:B10)</f>
        <v>343385.625</v>
      </c>
      <c r="C9" s="27"/>
      <c r="D9" s="27">
        <f aca="true" t="shared" si="6" ref="D9:AU9">SUM(D10:D10)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1588.75</v>
      </c>
      <c r="R9" s="27">
        <f t="shared" si="6"/>
        <v>1921.8749999999998</v>
      </c>
      <c r="S9" s="27">
        <f t="shared" si="6"/>
        <v>2562.4999999999995</v>
      </c>
      <c r="T9" s="27">
        <f t="shared" si="6"/>
        <v>2562.4999999999995</v>
      </c>
      <c r="U9" s="27">
        <f t="shared" si="6"/>
        <v>2562.4999999999995</v>
      </c>
      <c r="V9" s="27">
        <f t="shared" si="6"/>
        <v>2562.4999999999995</v>
      </c>
      <c r="W9" s="27">
        <f t="shared" si="6"/>
        <v>2562.4999999999995</v>
      </c>
      <c r="X9" s="27">
        <f t="shared" si="6"/>
        <v>2562.4999999999995</v>
      </c>
      <c r="Y9" s="27">
        <f t="shared" si="6"/>
        <v>2562.4999999999995</v>
      </c>
      <c r="Z9" s="27">
        <f t="shared" si="6"/>
        <v>2562.4999999999995</v>
      </c>
      <c r="AA9" s="27">
        <f t="shared" si="6"/>
        <v>2562.4999999999995</v>
      </c>
      <c r="AB9" s="27">
        <f t="shared" si="6"/>
        <v>2562.4999999999995</v>
      </c>
      <c r="AC9" s="27">
        <f t="shared" si="6"/>
        <v>29135.625</v>
      </c>
      <c r="AD9" s="27">
        <f t="shared" si="6"/>
        <v>3687.5000000000005</v>
      </c>
      <c r="AE9" s="27">
        <f t="shared" si="6"/>
        <v>3687.5000000000005</v>
      </c>
      <c r="AF9" s="27">
        <f t="shared" si="6"/>
        <v>3687.5000000000005</v>
      </c>
      <c r="AG9" s="27">
        <f t="shared" si="6"/>
        <v>3687.5000000000005</v>
      </c>
      <c r="AH9" s="27">
        <f t="shared" si="6"/>
        <v>3687.5000000000005</v>
      </c>
      <c r="AI9" s="27">
        <f t="shared" si="6"/>
        <v>3687.5000000000005</v>
      </c>
      <c r="AJ9" s="27">
        <f t="shared" si="6"/>
        <v>3687.5000000000005</v>
      </c>
      <c r="AK9" s="27">
        <f t="shared" si="6"/>
        <v>3687.5000000000005</v>
      </c>
      <c r="AL9" s="27">
        <f t="shared" si="6"/>
        <v>3687.5000000000005</v>
      </c>
      <c r="AM9" s="27">
        <f t="shared" si="6"/>
        <v>3687.5000000000005</v>
      </c>
      <c r="AN9" s="27">
        <f t="shared" si="6"/>
        <v>3687.5000000000005</v>
      </c>
      <c r="AO9" s="27">
        <f t="shared" si="6"/>
        <v>3687.5000000000005</v>
      </c>
      <c r="AP9" s="27">
        <f t="shared" si="6"/>
        <v>44250.00000000001</v>
      </c>
      <c r="AQ9" s="27">
        <f t="shared" si="6"/>
        <v>47999.99999999999</v>
      </c>
      <c r="AR9" s="27">
        <f t="shared" si="6"/>
        <v>51000</v>
      </c>
      <c r="AS9" s="27">
        <f t="shared" si="6"/>
        <v>54000</v>
      </c>
      <c r="AT9" s="27">
        <f t="shared" si="6"/>
        <v>57000</v>
      </c>
      <c r="AU9" s="27">
        <f t="shared" si="6"/>
        <v>60000</v>
      </c>
    </row>
    <row r="10" spans="1:47" ht="12.75">
      <c r="A10" s="28" t="str">
        <f>'2-ф2'!A6</f>
        <v>Стул офисный</v>
      </c>
      <c r="B10" s="27">
        <f>P10+AC10+AP10+AQ10+AR10+AS10+AT10+AU10</f>
        <v>343385.625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1588.75</v>
      </c>
      <c r="R10" s="29">
        <f>'2-ф2'!R6*Исх!$C$19</f>
        <v>1921.8749999999998</v>
      </c>
      <c r="S10" s="29">
        <f>'2-ф2'!S6*Исх!$C$19</f>
        <v>2562.4999999999995</v>
      </c>
      <c r="T10" s="29">
        <f>'2-ф2'!T6*Исх!$C$19</f>
        <v>2562.4999999999995</v>
      </c>
      <c r="U10" s="29">
        <f>'2-ф2'!U6*Исх!$C$19</f>
        <v>2562.4999999999995</v>
      </c>
      <c r="V10" s="29">
        <f>'2-ф2'!V6*Исх!$C$19</f>
        <v>2562.4999999999995</v>
      </c>
      <c r="W10" s="29">
        <f>'2-ф2'!W6*Исх!$C$19</f>
        <v>2562.4999999999995</v>
      </c>
      <c r="X10" s="29">
        <f>'2-ф2'!X6*Исх!$C$19</f>
        <v>2562.4999999999995</v>
      </c>
      <c r="Y10" s="29">
        <f>'2-ф2'!Y6*Исх!$C$19</f>
        <v>2562.4999999999995</v>
      </c>
      <c r="Z10" s="29">
        <f>'2-ф2'!Z6*Исх!$C$19</f>
        <v>2562.4999999999995</v>
      </c>
      <c r="AA10" s="29">
        <f>'2-ф2'!AA6*Исх!$C$19</f>
        <v>2562.4999999999995</v>
      </c>
      <c r="AB10" s="29">
        <f>'2-ф2'!AB6*Исх!$C$19</f>
        <v>2562.4999999999995</v>
      </c>
      <c r="AC10" s="27">
        <f>SUM(Q10:AB10)</f>
        <v>29135.625</v>
      </c>
      <c r="AD10" s="29">
        <f>'2-ф2'!AD6*Исх!$C$19</f>
        <v>3687.5000000000005</v>
      </c>
      <c r="AE10" s="29">
        <f>'2-ф2'!AE6*Исх!$C$19</f>
        <v>3687.5000000000005</v>
      </c>
      <c r="AF10" s="29">
        <f>'2-ф2'!AF6*Исх!$C$19</f>
        <v>3687.5000000000005</v>
      </c>
      <c r="AG10" s="29">
        <f>'2-ф2'!AG6*Исх!$C$19</f>
        <v>3687.5000000000005</v>
      </c>
      <c r="AH10" s="29">
        <f>'2-ф2'!AH6*Исх!$C$19</f>
        <v>3687.5000000000005</v>
      </c>
      <c r="AI10" s="29">
        <f>'2-ф2'!AI6*Исх!$C$19</f>
        <v>3687.5000000000005</v>
      </c>
      <c r="AJ10" s="29">
        <f>'2-ф2'!AJ6*Исх!$C$19</f>
        <v>3687.5000000000005</v>
      </c>
      <c r="AK10" s="29">
        <f>'2-ф2'!AK6*Исх!$C$19</f>
        <v>3687.5000000000005</v>
      </c>
      <c r="AL10" s="29">
        <f>'2-ф2'!AL6*Исх!$C$19</f>
        <v>3687.5000000000005</v>
      </c>
      <c r="AM10" s="29">
        <f>'2-ф2'!AM6*Исх!$C$19</f>
        <v>3687.5000000000005</v>
      </c>
      <c r="AN10" s="29">
        <f>'2-ф2'!AN6*Исх!$C$19</f>
        <v>3687.5000000000005</v>
      </c>
      <c r="AO10" s="29">
        <f>'2-ф2'!AO6*Исх!$C$19</f>
        <v>3687.5000000000005</v>
      </c>
      <c r="AP10" s="27">
        <f>SUM(AD10:AO10)</f>
        <v>44250.00000000001</v>
      </c>
      <c r="AQ10" s="29">
        <f>'2-ф2'!AQ6*Исх!$C$19</f>
        <v>47999.99999999999</v>
      </c>
      <c r="AR10" s="29">
        <f>'2-ф2'!AR6*Исх!$C$19</f>
        <v>51000</v>
      </c>
      <c r="AS10" s="29">
        <f>'2-ф2'!AS6*Исх!$C$19</f>
        <v>54000</v>
      </c>
      <c r="AT10" s="29">
        <f>'2-ф2'!AT6*Исх!$C$19</f>
        <v>57000</v>
      </c>
      <c r="AU10" s="29">
        <f>'2-ф2'!AU6*Исх!$C$19</f>
        <v>60000</v>
      </c>
    </row>
    <row r="11" spans="1:47" s="21" customFormat="1" ht="12.75">
      <c r="A11" s="30" t="s">
        <v>5</v>
      </c>
      <c r="B11" s="27">
        <f>SUM(B12:B16)</f>
        <v>279354.90523703705</v>
      </c>
      <c r="C11" s="27"/>
      <c r="D11" s="31">
        <f aca="true" t="shared" si="7" ref="D11:AU11">SUM(D12:D16)</f>
        <v>0</v>
      </c>
      <c r="E11" s="31">
        <f t="shared" si="7"/>
        <v>0</v>
      </c>
      <c r="F11" s="31">
        <f t="shared" si="7"/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761.5509888000001</v>
      </c>
      <c r="P11" s="31">
        <f t="shared" si="7"/>
        <v>761.5509888000001</v>
      </c>
      <c r="Q11" s="31">
        <f t="shared" si="7"/>
        <v>2329.7714525333336</v>
      </c>
      <c r="R11" s="31">
        <f t="shared" si="7"/>
        <v>2331.9907181203334</v>
      </c>
      <c r="S11" s="31">
        <f t="shared" si="7"/>
        <v>2361.9692626906667</v>
      </c>
      <c r="T11" s="31">
        <f t="shared" si="7"/>
        <v>2425.4318450906667</v>
      </c>
      <c r="U11" s="31">
        <f t="shared" si="7"/>
        <v>2425.4318450906667</v>
      </c>
      <c r="V11" s="31">
        <f t="shared" si="7"/>
        <v>2494.4264696049518</v>
      </c>
      <c r="W11" s="31">
        <f t="shared" si="7"/>
        <v>2686.1539663478093</v>
      </c>
      <c r="X11" s="31">
        <f t="shared" si="7"/>
        <v>2686.1539663478093</v>
      </c>
      <c r="Y11" s="31">
        <f t="shared" si="7"/>
        <v>2686.130293654732</v>
      </c>
      <c r="Z11" s="31">
        <f t="shared" si="7"/>
        <v>2799.112744612462</v>
      </c>
      <c r="AA11" s="31">
        <f t="shared" si="7"/>
        <v>2798.767151300778</v>
      </c>
      <c r="AB11" s="31">
        <f t="shared" si="7"/>
        <v>2798.4195420281094</v>
      </c>
      <c r="AC11" s="31">
        <f t="shared" si="7"/>
        <v>30823.75925742232</v>
      </c>
      <c r="AD11" s="31">
        <f t="shared" si="7"/>
        <v>2975.2686393203985</v>
      </c>
      <c r="AE11" s="31">
        <f t="shared" si="7"/>
        <v>2974.916962777844</v>
      </c>
      <c r="AF11" s="31">
        <f t="shared" si="7"/>
        <v>2974.563234788792</v>
      </c>
      <c r="AG11" s="31">
        <f t="shared" si="7"/>
        <v>2974.20744338647</v>
      </c>
      <c r="AH11" s="31">
        <f t="shared" si="7"/>
        <v>3091.0639914830367</v>
      </c>
      <c r="AI11" s="31">
        <f t="shared" si="7"/>
        <v>3099.7197856527773</v>
      </c>
      <c r="AJ11" s="31">
        <f t="shared" si="7"/>
        <v>3156.0931623384913</v>
      </c>
      <c r="AK11" s="31">
        <f t="shared" si="7"/>
        <v>3155.801829438205</v>
      </c>
      <c r="AL11" s="31">
        <f t="shared" si="7"/>
        <v>3155.5087970960003</v>
      </c>
      <c r="AM11" s="31">
        <f t="shared" si="7"/>
        <v>3211.8770753984663</v>
      </c>
      <c r="AN11" s="31">
        <f t="shared" si="7"/>
        <v>3211.580614374363</v>
      </c>
      <c r="AO11" s="31">
        <f t="shared" si="7"/>
        <v>3211.282423994286</v>
      </c>
      <c r="AP11" s="31">
        <f t="shared" si="7"/>
        <v>37191.88396004912</v>
      </c>
      <c r="AQ11" s="31">
        <f t="shared" si="7"/>
        <v>39412.92631569657</v>
      </c>
      <c r="AR11" s="31">
        <f t="shared" si="7"/>
        <v>40767.70339572867</v>
      </c>
      <c r="AS11" s="31">
        <f t="shared" si="7"/>
        <v>42119.13122071563</v>
      </c>
      <c r="AT11" s="31">
        <f t="shared" si="7"/>
        <v>43466.9676727394</v>
      </c>
      <c r="AU11" s="31">
        <f t="shared" si="7"/>
        <v>44810.982425885326</v>
      </c>
    </row>
    <row r="12" spans="1:47" ht="12.75">
      <c r="A12" s="28" t="str">
        <f>'2-ф2'!A8</f>
        <v>Сырье и материалы</v>
      </c>
      <c r="B12" s="27">
        <f>P12+AC12+AP12+AQ12+AR12+AS12+AT12+AU12</f>
        <v>88339.91470080001</v>
      </c>
      <c r="C12" s="32"/>
      <c r="D12" s="29">
        <f>'2-ф2'!D8/2*Исх!$C$19+'2-ф2'!D8/2</f>
        <v>0</v>
      </c>
      <c r="E12" s="29">
        <f>'2-ф2'!E8/2*Исх!$C$19+'2-ф2'!E8/2</f>
        <v>0</v>
      </c>
      <c r="F12" s="29"/>
      <c r="G12" s="29">
        <f>'2-ф2'!G8/2*Исх!$C$19+'2-ф2'!G8/2</f>
        <v>0</v>
      </c>
      <c r="H12" s="29">
        <f>'2-ф2'!H8/2*Исх!$C$19+'2-ф2'!H8/2</f>
        <v>0</v>
      </c>
      <c r="I12" s="29">
        <f>'2-ф2'!I8/2*Исх!$C$19+'2-ф2'!I8/2</f>
        <v>0</v>
      </c>
      <c r="J12" s="29">
        <f>'2-ф2'!J8*Исх!$C$19</f>
        <v>0</v>
      </c>
      <c r="K12" s="29">
        <f>'2-ф2'!K8*Исх!$C$19</f>
        <v>0</v>
      </c>
      <c r="L12" s="29">
        <f>'2-ф2'!L8*Исх!$C$19</f>
        <v>0</v>
      </c>
      <c r="M12" s="29">
        <f>'2-ф2'!M8*Исх!$C$19</f>
        <v>0</v>
      </c>
      <c r="N12" s="29">
        <f>'2-ф2'!N8*Исх!$C$19</f>
        <v>0</v>
      </c>
      <c r="O12" s="29">
        <f>Q12*1.5</f>
        <v>761.5509888000001</v>
      </c>
      <c r="P12" s="27">
        <f>SUM(D12:O12)</f>
        <v>761.5509888000001</v>
      </c>
      <c r="Q12" s="29">
        <f>Производство!Q7*'Расх перем'!$F$27*Исх!$C$19/1000</f>
        <v>507.70065920000013</v>
      </c>
      <c r="R12" s="29">
        <f>Производство!R7*'Расх перем'!$F$27*Исх!$C$19/1000</f>
        <v>507.70065920000013</v>
      </c>
      <c r="S12" s="29">
        <f>Производство!S7*'Расх перем'!$F$27*Исх!$C$19/1000</f>
        <v>507.70065920000013</v>
      </c>
      <c r="T12" s="29">
        <f>Производство!T7*'Расх перем'!$F$27*Исх!$C$19/1000</f>
        <v>571.1632416000001</v>
      </c>
      <c r="U12" s="29">
        <f>Производство!U7*'Расх перем'!$F$27*Исх!$C$19/1000</f>
        <v>571.1632416000001</v>
      </c>
      <c r="V12" s="29">
        <f>Производство!V7*'Расх перем'!$F$27*Исх!$C$19/1000</f>
        <v>571.1632416000001</v>
      </c>
      <c r="W12" s="29">
        <f>Производство!W7*'Расх перем'!$F$27*Исх!$C$19/1000</f>
        <v>698.0884064000002</v>
      </c>
      <c r="X12" s="29">
        <f>Производство!X7*'Расх перем'!$F$27*Исх!$C$19/1000</f>
        <v>698.0884064000002</v>
      </c>
      <c r="Y12" s="29">
        <f>Производство!Y7*'Расх перем'!$F$27*Исх!$C$19/1000</f>
        <v>698.0884064000002</v>
      </c>
      <c r="Z12" s="29">
        <f>Производство!Z7*'Расх перем'!$F$27*Исх!$C$19/1000</f>
        <v>825.0135712000002</v>
      </c>
      <c r="AA12" s="29">
        <f>Производство!AA7*'Расх перем'!$F$27*Исх!$C$19/1000</f>
        <v>825.0135712000002</v>
      </c>
      <c r="AB12" s="29">
        <f>Производство!AB7*'Расх перем'!$F$27*Исх!$C$19/1000</f>
        <v>825.0135712000002</v>
      </c>
      <c r="AC12" s="27">
        <f>SUM(Q12:AB12)</f>
        <v>7805.897635200002</v>
      </c>
      <c r="AD12" s="29">
        <f>Производство!AD7*'Расх перем'!$F$27*Исх!$C$19/1000</f>
        <v>888.4761536000001</v>
      </c>
      <c r="AE12" s="29">
        <f>Производство!AE7*'Расх перем'!$F$27*Исх!$C$19/1000</f>
        <v>888.4761536000001</v>
      </c>
      <c r="AF12" s="29">
        <f>Производство!AF7*'Расх перем'!$F$27*Исх!$C$19/1000</f>
        <v>888.4761536000001</v>
      </c>
      <c r="AG12" s="29">
        <f>Производство!AG7*'Расх перем'!$F$27*Исх!$C$19/1000</f>
        <v>888.4761536000001</v>
      </c>
      <c r="AH12" s="29">
        <f>Производство!AH7*'Расх перем'!$F$27*Исх!$C$19/1000</f>
        <v>888.4761536000001</v>
      </c>
      <c r="AI12" s="29">
        <f>Производство!AI7*'Расх перем'!$F$27*Исх!$C$19/1000</f>
        <v>888.4761536000001</v>
      </c>
      <c r="AJ12" s="29">
        <f>Производство!AJ7*'Расх перем'!$F$27*Исх!$C$19/1000</f>
        <v>951.9387360000002</v>
      </c>
      <c r="AK12" s="29">
        <f>Производство!AK7*'Расх перем'!$F$27*Исх!$C$19/1000</f>
        <v>951.9387360000002</v>
      </c>
      <c r="AL12" s="29">
        <f>Производство!AL7*'Расх перем'!$F$27*Исх!$C$19/1000</f>
        <v>951.9387360000002</v>
      </c>
      <c r="AM12" s="29">
        <f>Производство!AM7*'Расх перем'!$F$27*Исх!$C$19/1000</f>
        <v>1015.4013184000003</v>
      </c>
      <c r="AN12" s="29">
        <f>Производство!AN7*'Расх перем'!$F$27*Исх!$C$19/1000</f>
        <v>1015.4013184000003</v>
      </c>
      <c r="AO12" s="29">
        <f>Производство!AO7*'Расх перем'!$F$27*Исх!$C$19/1000</f>
        <v>1015.4013184000003</v>
      </c>
      <c r="AP12" s="27">
        <f>SUM(AD12:AO12)</f>
        <v>11232.8770848</v>
      </c>
      <c r="AQ12" s="29">
        <f>Производство!AQ7*'Расх перем'!$F$27*Исх!$C$19/1000</f>
        <v>12184.815820800002</v>
      </c>
      <c r="AR12" s="29">
        <f>Производство!AR7*'Расх перем'!$F$27*Исх!$C$19/1000</f>
        <v>12946.366809600004</v>
      </c>
      <c r="AS12" s="29">
        <f>Производство!AS7*'Расх перем'!$F$27*Исх!$C$19/1000</f>
        <v>13707.917798400003</v>
      </c>
      <c r="AT12" s="29">
        <f>Производство!AT7*'Расх перем'!$F$27*Исх!$C$19/1000</f>
        <v>14469.468787200001</v>
      </c>
      <c r="AU12" s="29">
        <f>Производство!AU7*'Расх перем'!$F$27*Исх!$C$19/1000</f>
        <v>15231.019776000003</v>
      </c>
    </row>
    <row r="13" spans="1:47" ht="12.75">
      <c r="A13" s="28" t="s">
        <v>145</v>
      </c>
      <c r="B13" s="27">
        <f>P13+AC13+AP13+AQ13+AR13+AS13+AT13+AU13</f>
        <v>153053.94663999998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7">
        <f>SUM(D13:O13)</f>
        <v>0</v>
      </c>
      <c r="Q13" s="29">
        <f>(Пост!$D$16-Пост!$D$5)*Исх!$C$19+Пост!$D$5+Пост!$D$18+Пост!$D$21</f>
        <v>1822.0707933333335</v>
      </c>
      <c r="R13" s="29">
        <f>(Пост!$D$16-Пост!$D$5)*Исх!$C$19+Пост!$D$5+Пост!$D$18+Пост!$D$21</f>
        <v>1822.0707933333335</v>
      </c>
      <c r="S13" s="29">
        <f>(Пост!$D$16-Пост!$D$5)*Исх!$C$19+Пост!$D$5+Пост!$D$18+Пост!$D$21</f>
        <v>1822.0707933333335</v>
      </c>
      <c r="T13" s="29">
        <f>(Пост!$D$16-Пост!$D$5)*Исх!$C$19+Пост!$D$5+Пост!$D$18+Пост!$D$21</f>
        <v>1822.0707933333335</v>
      </c>
      <c r="U13" s="29">
        <f>(Пост!$D$16-Пост!$D$5)*Исх!$C$19+Пост!$D$5+Пост!$D$18+Пост!$D$21</f>
        <v>1822.0707933333335</v>
      </c>
      <c r="V13" s="29">
        <f>(Пост!$D$16-Пост!$D$5)*Исх!$C$19+Пост!$D$5+Пост!$D$18+Пост!$D$21</f>
        <v>1822.0707933333335</v>
      </c>
      <c r="W13" s="29">
        <f>(Пост!$D$16-Пост!$D$5)*Исх!$C$19+Пост!$D$5+Пост!$D$18+Пост!$D$21</f>
        <v>1822.0707933333335</v>
      </c>
      <c r="X13" s="29">
        <f>(Пост!$D$16-Пост!$D$5)*Исх!$C$19+Пост!$D$5+Пост!$D$18+Пост!$D$21</f>
        <v>1822.0707933333335</v>
      </c>
      <c r="Y13" s="29">
        <f>(Пост!$D$16-Пост!$D$5)*Исх!$C$19+Пост!$D$5+Пост!$D$18+Пост!$D$21</f>
        <v>1822.0707933333335</v>
      </c>
      <c r="Z13" s="29">
        <f>(Пост!$D$16-Пост!$D$5)*Исх!$C$19+Пост!$D$5+Пост!$D$18+Пост!$D$21</f>
        <v>1822.0707933333335</v>
      </c>
      <c r="AA13" s="29">
        <f>(Пост!$D$16-Пост!$D$5)*Исх!$C$19+Пост!$D$5+Пост!$D$18+Пост!$D$21</f>
        <v>1822.0707933333335</v>
      </c>
      <c r="AB13" s="29">
        <f>(Пост!$D$16-Пост!$D$5)*Исх!$C$19+Пост!$D$5+Пост!$D$18+Пост!$D$21</f>
        <v>1822.0707933333335</v>
      </c>
      <c r="AC13" s="27">
        <f>SUM(Q13:AB13)</f>
        <v>21864.84952</v>
      </c>
      <c r="AD13" s="29">
        <f>(Пост!$E$16-Пост!$E$5)*Исх!$C$19+Пост!$E$5+Пост!$E$18+Пост!$E$21</f>
        <v>1822.0707933333335</v>
      </c>
      <c r="AE13" s="29">
        <f>(Пост!$E$16-Пост!$E$5)*Исх!$C$19+Пост!$E$5+Пост!$E$18+Пост!$E$21</f>
        <v>1822.0707933333335</v>
      </c>
      <c r="AF13" s="29">
        <f>(Пост!$E$16-Пост!$E$5)*Исх!$C$19+Пост!$E$5+Пост!$E$18+Пост!$E$21</f>
        <v>1822.0707933333335</v>
      </c>
      <c r="AG13" s="29">
        <f>(Пост!$E$16-Пост!$E$5)*Исх!$C$19+Пост!$E$5+Пост!$E$18+Пост!$E$21</f>
        <v>1822.0707933333335</v>
      </c>
      <c r="AH13" s="29">
        <f>(Пост!$E$16-Пост!$E$5)*Исх!$C$19+Пост!$E$5+Пост!$E$18+Пост!$E$21</f>
        <v>1822.0707933333335</v>
      </c>
      <c r="AI13" s="29">
        <f>(Пост!$E$16-Пост!$E$5)*Исх!$C$19+Пост!$E$5+Пост!$E$18+Пост!$E$21</f>
        <v>1822.0707933333335</v>
      </c>
      <c r="AJ13" s="29">
        <f>(Пост!$E$16-Пост!$E$5)*Исх!$C$19+Пост!$E$5+Пост!$E$18+Пост!$E$21</f>
        <v>1822.0707933333335</v>
      </c>
      <c r="AK13" s="29">
        <f>(Пост!$E$16-Пост!$E$5)*Исх!$C$19+Пост!$E$5+Пост!$E$18+Пост!$E$21</f>
        <v>1822.0707933333335</v>
      </c>
      <c r="AL13" s="29">
        <f>(Пост!$E$16-Пост!$E$5)*Исх!$C$19+Пост!$E$5+Пост!$E$18+Пост!$E$21</f>
        <v>1822.0707933333335</v>
      </c>
      <c r="AM13" s="29">
        <f>(Пост!$E$16-Пост!$E$5)*Исх!$C$19+Пост!$E$5+Пост!$E$18+Пост!$E$21</f>
        <v>1822.0707933333335</v>
      </c>
      <c r="AN13" s="29">
        <f>(Пост!$E$16-Пост!$E$5)*Исх!$C$19+Пост!$E$5+Пост!$E$18+Пост!$E$21</f>
        <v>1822.0707933333335</v>
      </c>
      <c r="AO13" s="29">
        <f>(Пост!$E$16-Пост!$E$5)*Исх!$C$19+Пост!$E$5+Пост!$E$18+Пост!$E$21</f>
        <v>1822.0707933333335</v>
      </c>
      <c r="AP13" s="27">
        <f>SUM(AD13:AO13)</f>
        <v>21864.84952</v>
      </c>
      <c r="AQ13" s="29">
        <f>((Пост!F16-Пост!F5)*Исх!$C$19+Пост!F5+Пост!F18+Пост!F21)*12</f>
        <v>21864.849520000003</v>
      </c>
      <c r="AR13" s="29">
        <f>((Пост!G16-Пост!G5)*Исх!$C$19+Пост!G5+Пост!G18+Пост!G21)*12</f>
        <v>21864.849520000003</v>
      </c>
      <c r="AS13" s="29">
        <f>((Пост!H16-Пост!H5)*Исх!$C$19+Пост!H5+Пост!H18+Пост!H21)*12</f>
        <v>21864.849520000003</v>
      </c>
      <c r="AT13" s="29">
        <f>((Пост!I16-Пост!I5)*Исх!$C$19+Пост!I5+Пост!I18+Пост!I21)*12</f>
        <v>21864.849520000003</v>
      </c>
      <c r="AU13" s="29">
        <f>((Пост!J16-Пост!J5)*Исх!$C$19+Пост!J5+Пост!J18+Пост!J21)*12</f>
        <v>21864.849520000003</v>
      </c>
    </row>
    <row r="14" spans="1:47" ht="12.75">
      <c r="A14" s="28" t="s">
        <v>54</v>
      </c>
      <c r="B14" s="27">
        <f>P14+AC14+AP14+AQ14+AR14+AS14+AT14+AU14</f>
        <v>1504.1959729837727</v>
      </c>
      <c r="C14" s="27"/>
      <c r="D14" s="29">
        <f>кр!C26</f>
        <v>0</v>
      </c>
      <c r="E14" s="29">
        <f>кр!D26</f>
        <v>0</v>
      </c>
      <c r="F14" s="29">
        <f>кр!E26</f>
        <v>0</v>
      </c>
      <c r="G14" s="29">
        <f>кр!F26</f>
        <v>0</v>
      </c>
      <c r="H14" s="29">
        <f>кр!G26</f>
        <v>0</v>
      </c>
      <c r="I14" s="29">
        <f>кр!H26</f>
        <v>0</v>
      </c>
      <c r="J14" s="29">
        <f>кр!I26</f>
        <v>0</v>
      </c>
      <c r="K14" s="29">
        <f>кр!J26</f>
        <v>0</v>
      </c>
      <c r="L14" s="29">
        <f>кр!K26</f>
        <v>0</v>
      </c>
      <c r="M14" s="29">
        <f>кр!L26</f>
        <v>0</v>
      </c>
      <c r="N14" s="29">
        <f>кр!M26</f>
        <v>0</v>
      </c>
      <c r="O14" s="29">
        <f>кр!N26</f>
        <v>0</v>
      </c>
      <c r="P14" s="27">
        <f>SUM(D14:O14)</f>
        <v>0</v>
      </c>
      <c r="Q14" s="29">
        <f>кр!P26</f>
        <v>0</v>
      </c>
      <c r="R14" s="29">
        <f>кр!Q26</f>
        <v>2.219265587</v>
      </c>
      <c r="S14" s="29">
        <f>кр!R26</f>
        <v>32.19781015733334</v>
      </c>
      <c r="T14" s="29">
        <f>кр!S26</f>
        <v>32.19781015733334</v>
      </c>
      <c r="U14" s="29">
        <f>кр!T26</f>
        <v>32.19781015733334</v>
      </c>
      <c r="V14" s="29">
        <f>кр!U26</f>
        <v>32.19781015733334</v>
      </c>
      <c r="W14" s="29">
        <f>кр!V26</f>
        <v>32.19781015733334</v>
      </c>
      <c r="X14" s="29">
        <f>кр!W26</f>
        <v>32.19781015733334</v>
      </c>
      <c r="Y14" s="29">
        <f>кр!X26</f>
        <v>32.174137464255864</v>
      </c>
      <c r="Z14" s="29">
        <f>кр!Y26</f>
        <v>31.830548421985377</v>
      </c>
      <c r="AA14" s="29">
        <f>кр!Z26</f>
        <v>31.48495511030164</v>
      </c>
      <c r="AB14" s="29">
        <f>кр!AA26</f>
        <v>31.137345837633084</v>
      </c>
      <c r="AC14" s="27">
        <f>SUM(Q14:AB14)</f>
        <v>322.03311336517606</v>
      </c>
      <c r="AD14" s="29">
        <f>кр!AC26</f>
        <v>30.787708844207298</v>
      </c>
      <c r="AE14" s="29">
        <f>кр!AD26</f>
        <v>30.436032301653192</v>
      </c>
      <c r="AF14" s="29">
        <f>кр!AE26</f>
        <v>30.082304312600854</v>
      </c>
      <c r="AG14" s="29">
        <f>кр!AF26</f>
        <v>29.726512910279045</v>
      </c>
      <c r="AH14" s="29">
        <f>кр!AG26</f>
        <v>29.368646058110357</v>
      </c>
      <c r="AI14" s="29">
        <f>кр!AH26</f>
        <v>29.00869164930402</v>
      </c>
      <c r="AJ14" s="29">
        <f>кр!AI26</f>
        <v>28.646637506446314</v>
      </c>
      <c r="AK14" s="29">
        <f>кр!AJ26</f>
        <v>28.282471381088605</v>
      </c>
      <c r="AL14" s="29">
        <f>кр!AK26</f>
        <v>27.916180953332972</v>
      </c>
      <c r="AM14" s="29">
        <f>кр!AL26</f>
        <v>27.547753831415438</v>
      </c>
      <c r="AN14" s="29">
        <f>кр!AM26</f>
        <v>27.17717755128671</v>
      </c>
      <c r="AO14" s="29">
        <f>кр!AN26</f>
        <v>26.804439576190568</v>
      </c>
      <c r="AP14" s="27">
        <f>SUM(AD14:AO14)</f>
        <v>345.7845568759154</v>
      </c>
      <c r="AQ14" s="34">
        <f>кр!BB26</f>
        <v>291.77542033499003</v>
      </c>
      <c r="AR14" s="34">
        <f>кр!BO26</f>
        <v>233.86195894654557</v>
      </c>
      <c r="AS14" s="34">
        <f>кр!CB26</f>
        <v>171.76192875166603</v>
      </c>
      <c r="AT14" s="34">
        <f>кр!CO26</f>
        <v>105.17268235282394</v>
      </c>
      <c r="AU14" s="34">
        <f>кр!DB26</f>
        <v>33.806312356655425</v>
      </c>
    </row>
    <row r="15" spans="1:47" ht="14.25" customHeight="1">
      <c r="A15" s="28" t="s">
        <v>209</v>
      </c>
      <c r="B15" s="27">
        <f>P15+AC15+AP15+AQ15+AR15+AS15+AT15+AU15</f>
        <v>15252.498871196092</v>
      </c>
      <c r="C15" s="27"/>
      <c r="D15" s="29">
        <f>'2-ф2'!D14</f>
        <v>0</v>
      </c>
      <c r="E15" s="29">
        <f>'2-ф2'!E14</f>
        <v>0</v>
      </c>
      <c r="F15" s="29">
        <f>'2-ф2'!F14</f>
        <v>0</v>
      </c>
      <c r="G15" s="29">
        <f>'2-ф2'!G14</f>
        <v>0</v>
      </c>
      <c r="H15" s="29">
        <f>'2-ф2'!H14</f>
        <v>0</v>
      </c>
      <c r="I15" s="29">
        <f>'2-ф2'!I14</f>
        <v>0</v>
      </c>
      <c r="J15" s="29">
        <f>'2-ф2'!J14</f>
        <v>0</v>
      </c>
      <c r="K15" s="29">
        <f>'2-ф2'!K14</f>
        <v>0</v>
      </c>
      <c r="L15" s="29">
        <f>'2-ф2'!L14</f>
        <v>0</v>
      </c>
      <c r="M15" s="29">
        <f>'2-ф2'!M14</f>
        <v>0</v>
      </c>
      <c r="N15" s="29">
        <f>'2-ф2'!N14</f>
        <v>0</v>
      </c>
      <c r="O15" s="29">
        <f>'2-ф2'!O14</f>
        <v>0</v>
      </c>
      <c r="P15" s="27">
        <f>SUM(D15:O15)</f>
        <v>0</v>
      </c>
      <c r="Q15" s="29">
        <f>'2-ф2'!Q14</f>
        <v>0</v>
      </c>
      <c r="R15" s="29">
        <f>'2-ф2'!R14</f>
        <v>0</v>
      </c>
      <c r="S15" s="29">
        <f>'2-ф2'!S14</f>
        <v>0</v>
      </c>
      <c r="T15" s="29">
        <f>'2-ф2'!T14</f>
        <v>0</v>
      </c>
      <c r="U15" s="29">
        <f>'2-ф2'!U14</f>
        <v>0</v>
      </c>
      <c r="V15" s="29">
        <f>'2-ф2'!V14</f>
        <v>0</v>
      </c>
      <c r="W15" s="29">
        <f>'2-ф2'!W14</f>
        <v>0</v>
      </c>
      <c r="X15" s="29">
        <f>'2-ф2'!X14</f>
        <v>0</v>
      </c>
      <c r="Y15" s="29">
        <f>'2-ф2'!Y14</f>
        <v>0</v>
      </c>
      <c r="Z15" s="29">
        <f>'2-ф2'!Z14</f>
        <v>0</v>
      </c>
      <c r="AA15" s="29">
        <f>'2-ф2'!AA14</f>
        <v>0</v>
      </c>
      <c r="AB15" s="29">
        <f>'2-ф2'!AB14</f>
        <v>0</v>
      </c>
      <c r="AC15" s="27">
        <f>SUM(Q15:AB15)</f>
        <v>0</v>
      </c>
      <c r="AD15" s="29">
        <f>'2-ф2'!AD14</f>
        <v>0</v>
      </c>
      <c r="AE15" s="29">
        <f>'2-ф2'!AE14</f>
        <v>0</v>
      </c>
      <c r="AF15" s="29">
        <f>'2-ф2'!AF14</f>
        <v>0</v>
      </c>
      <c r="AG15" s="29">
        <f>'2-ф2'!AG14</f>
        <v>0</v>
      </c>
      <c r="AH15" s="29">
        <f>'2-ф2'!AH14</f>
        <v>117.2144149487353</v>
      </c>
      <c r="AI15" s="29">
        <f>'2-ф2'!AI14</f>
        <v>126.230163527282</v>
      </c>
      <c r="AJ15" s="29">
        <f>'2-ф2'!AJ14</f>
        <v>126.30257435585357</v>
      </c>
      <c r="AK15" s="29">
        <f>'2-ф2'!AK14</f>
        <v>126.3754075809251</v>
      </c>
      <c r="AL15" s="29">
        <f>'2-ф2'!AL14</f>
        <v>126.44866566647623</v>
      </c>
      <c r="AM15" s="29">
        <f>'2-ф2'!AM14</f>
        <v>126.52235109085973</v>
      </c>
      <c r="AN15" s="29">
        <f>'2-ф2'!AN14</f>
        <v>126.59646634688548</v>
      </c>
      <c r="AO15" s="29">
        <f>'2-ф2'!AO14</f>
        <v>126.6710139419047</v>
      </c>
      <c r="AP15" s="27">
        <f>SUM(AD15:AO15)</f>
        <v>1002.361057458922</v>
      </c>
      <c r="AQ15" s="29">
        <f>'2-ф2'!AQ14</f>
        <v>2025.6815353615712</v>
      </c>
      <c r="AR15" s="29">
        <f>'2-ф2'!AR14</f>
        <v>2436.987265353547</v>
      </c>
      <c r="AS15" s="29">
        <f>'2-ф2'!AS14</f>
        <v>2849.1303091068075</v>
      </c>
      <c r="AT15" s="29">
        <f>'2-ф2'!AT14</f>
        <v>3262.171196100863</v>
      </c>
      <c r="AU15" s="29">
        <f>'2-ф2'!AU14</f>
        <v>3676.1675078143803</v>
      </c>
    </row>
    <row r="16" spans="1:47" ht="12.75">
      <c r="A16" s="28" t="s">
        <v>34</v>
      </c>
      <c r="B16" s="27">
        <f>P16+AC16+AP16+AQ16+AR16+AS16+AT16+AU16</f>
        <v>21204.34905205714</v>
      </c>
      <c r="C16" s="27"/>
      <c r="D16" s="29">
        <f>'2-ф2'!D27</f>
        <v>0</v>
      </c>
      <c r="E16" s="29">
        <f>'2-ф2'!E27</f>
        <v>0</v>
      </c>
      <c r="F16" s="29">
        <f>'2-ф2'!F27</f>
        <v>0</v>
      </c>
      <c r="G16" s="29">
        <f>'2-ф2'!G27</f>
        <v>0</v>
      </c>
      <c r="H16" s="29">
        <f>'2-ф2'!H27</f>
        <v>0</v>
      </c>
      <c r="I16" s="29">
        <f>'2-ф2'!I27</f>
        <v>0</v>
      </c>
      <c r="J16" s="29">
        <f>'2-ф2'!J27</f>
        <v>0</v>
      </c>
      <c r="K16" s="29">
        <f>'2-ф2'!K27</f>
        <v>0</v>
      </c>
      <c r="L16" s="29">
        <f>'2-ф2'!L27</f>
        <v>0</v>
      </c>
      <c r="M16" s="29">
        <f>'2-ф2'!M27</f>
        <v>0</v>
      </c>
      <c r="N16" s="29">
        <f>'2-ф2'!N27</f>
        <v>0</v>
      </c>
      <c r="O16" s="29">
        <f>'2-ф2'!O27</f>
        <v>0</v>
      </c>
      <c r="P16" s="27">
        <f>SUM(D16:O16)</f>
        <v>0</v>
      </c>
      <c r="Q16" s="29">
        <f>'2-ф2'!Q27</f>
        <v>0</v>
      </c>
      <c r="R16" s="29">
        <f>'2-ф2'!R27</f>
        <v>0</v>
      </c>
      <c r="S16" s="29">
        <f>'2-ф2'!S27</f>
        <v>0</v>
      </c>
      <c r="T16" s="29">
        <f>'2-ф2'!T27</f>
        <v>0</v>
      </c>
      <c r="U16" s="29">
        <f>'2-ф2'!U27</f>
        <v>0</v>
      </c>
      <c r="V16" s="29">
        <f>'2-ф2'!V27</f>
        <v>68.99462451428508</v>
      </c>
      <c r="W16" s="29">
        <f>'2-ф2'!W27</f>
        <v>133.79695645714276</v>
      </c>
      <c r="X16" s="29">
        <f>'2-ф2'!X27</f>
        <v>133.79695645714276</v>
      </c>
      <c r="Y16" s="29">
        <f>'2-ф2'!Y27</f>
        <v>133.79695645714276</v>
      </c>
      <c r="Z16" s="29">
        <f>'2-ф2'!Z27</f>
        <v>120.19783165714276</v>
      </c>
      <c r="AA16" s="29">
        <f>'2-ф2'!AA27</f>
        <v>120.19783165714276</v>
      </c>
      <c r="AB16" s="29">
        <f>'2-ф2'!AB27</f>
        <v>120.19783165714276</v>
      </c>
      <c r="AC16" s="27">
        <f>SUM(Q16:AB16)</f>
        <v>830.9789888571415</v>
      </c>
      <c r="AD16" s="29">
        <f>'2-ф2'!AD27</f>
        <v>233.9339835428571</v>
      </c>
      <c r="AE16" s="29">
        <f>'2-ф2'!AE27</f>
        <v>233.9339835428571</v>
      </c>
      <c r="AF16" s="29">
        <f>'2-ф2'!AF27</f>
        <v>233.9339835428571</v>
      </c>
      <c r="AG16" s="29">
        <f>'2-ф2'!AG27</f>
        <v>233.9339835428571</v>
      </c>
      <c r="AH16" s="29">
        <f>'2-ф2'!AH27</f>
        <v>233.9339835428571</v>
      </c>
      <c r="AI16" s="29">
        <f>'2-ф2'!AI27</f>
        <v>233.9339835428571</v>
      </c>
      <c r="AJ16" s="29">
        <f>'2-ф2'!AJ27</f>
        <v>227.1344211428571</v>
      </c>
      <c r="AK16" s="29">
        <f>'2-ф2'!AK27</f>
        <v>227.1344211428571</v>
      </c>
      <c r="AL16" s="29">
        <f>'2-ф2'!AL27</f>
        <v>227.1344211428571</v>
      </c>
      <c r="AM16" s="29">
        <f>'2-ф2'!AM27</f>
        <v>220.33485874285705</v>
      </c>
      <c r="AN16" s="29">
        <f>'2-ф2'!AN27</f>
        <v>220.33485874285705</v>
      </c>
      <c r="AO16" s="29">
        <f>'2-ф2'!AO27</f>
        <v>220.33485874285705</v>
      </c>
      <c r="AP16" s="27">
        <f>SUM(AD16:AO16)</f>
        <v>2746.0117409142854</v>
      </c>
      <c r="AQ16" s="29">
        <f>'2-ф2'!AQ27</f>
        <v>3045.804019199999</v>
      </c>
      <c r="AR16" s="29">
        <f>'2-ф2'!AR27</f>
        <v>3285.6378418285703</v>
      </c>
      <c r="AS16" s="29">
        <f>'2-ф2'!AS27</f>
        <v>3525.471664457143</v>
      </c>
      <c r="AT16" s="29">
        <f>'2-ф2'!AT27</f>
        <v>3765.3054870857136</v>
      </c>
      <c r="AU16" s="29">
        <f>'2-ф2'!AU27</f>
        <v>4005.1393097142854</v>
      </c>
    </row>
    <row r="17" spans="1:47" s="21" customFormat="1" ht="25.5">
      <c r="A17" s="35" t="s">
        <v>19</v>
      </c>
      <c r="B17" s="18">
        <f>B9-B11</f>
        <v>64030.71976296295</v>
      </c>
      <c r="C17" s="18"/>
      <c r="D17" s="18">
        <f aca="true" t="shared" si="8" ref="D17:AU17">D9-D11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0</v>
      </c>
      <c r="O17" s="18">
        <f t="shared" si="8"/>
        <v>-761.5509888000001</v>
      </c>
      <c r="P17" s="18">
        <f t="shared" si="8"/>
        <v>-761.5509888000001</v>
      </c>
      <c r="Q17" s="18">
        <f t="shared" si="8"/>
        <v>-741.0214525333336</v>
      </c>
      <c r="R17" s="18">
        <f t="shared" si="8"/>
        <v>-410.11571812033367</v>
      </c>
      <c r="S17" s="18">
        <f t="shared" si="8"/>
        <v>200.53073730933284</v>
      </c>
      <c r="T17" s="18">
        <f t="shared" si="8"/>
        <v>137.06815490933286</v>
      </c>
      <c r="U17" s="18">
        <f t="shared" si="8"/>
        <v>137.06815490933286</v>
      </c>
      <c r="V17" s="18">
        <f t="shared" si="8"/>
        <v>68.07353039504778</v>
      </c>
      <c r="W17" s="18">
        <f t="shared" si="8"/>
        <v>-123.65396634780973</v>
      </c>
      <c r="X17" s="18">
        <f t="shared" si="8"/>
        <v>-123.65396634780973</v>
      </c>
      <c r="Y17" s="18">
        <f t="shared" si="8"/>
        <v>-123.63029365473267</v>
      </c>
      <c r="Z17" s="18">
        <f t="shared" si="8"/>
        <v>-236.6127446124624</v>
      </c>
      <c r="AA17" s="18">
        <f t="shared" si="8"/>
        <v>-236.26715130077855</v>
      </c>
      <c r="AB17" s="18">
        <f t="shared" si="8"/>
        <v>-235.91954202810984</v>
      </c>
      <c r="AC17" s="18">
        <f t="shared" si="8"/>
        <v>-1688.13425742232</v>
      </c>
      <c r="AD17" s="18">
        <f t="shared" si="8"/>
        <v>712.231360679602</v>
      </c>
      <c r="AE17" s="18">
        <f t="shared" si="8"/>
        <v>712.5830372221562</v>
      </c>
      <c r="AF17" s="18">
        <f t="shared" si="8"/>
        <v>712.9367652112082</v>
      </c>
      <c r="AG17" s="18">
        <f t="shared" si="8"/>
        <v>713.2925566135305</v>
      </c>
      <c r="AH17" s="18">
        <f t="shared" si="8"/>
        <v>596.4360085169637</v>
      </c>
      <c r="AI17" s="18">
        <f t="shared" si="8"/>
        <v>587.7802143472231</v>
      </c>
      <c r="AJ17" s="18">
        <f t="shared" si="8"/>
        <v>531.4068376615091</v>
      </c>
      <c r="AK17" s="18">
        <f t="shared" si="8"/>
        <v>531.6981705617955</v>
      </c>
      <c r="AL17" s="18">
        <f t="shared" si="8"/>
        <v>531.9912029040001</v>
      </c>
      <c r="AM17" s="18">
        <f t="shared" si="8"/>
        <v>475.6229246015341</v>
      </c>
      <c r="AN17" s="18">
        <f t="shared" si="8"/>
        <v>475.91938562563746</v>
      </c>
      <c r="AO17" s="18">
        <f t="shared" si="8"/>
        <v>476.21757600571436</v>
      </c>
      <c r="AP17" s="18">
        <f t="shared" si="8"/>
        <v>7058.116039950888</v>
      </c>
      <c r="AQ17" s="18">
        <f t="shared" si="8"/>
        <v>8587.073684303425</v>
      </c>
      <c r="AR17" s="18">
        <f t="shared" si="8"/>
        <v>10232.29660427133</v>
      </c>
      <c r="AS17" s="18">
        <f t="shared" si="8"/>
        <v>11880.86877928437</v>
      </c>
      <c r="AT17" s="18">
        <f t="shared" si="8"/>
        <v>13533.032327260597</v>
      </c>
      <c r="AU17" s="18">
        <f t="shared" si="8"/>
        <v>15189.017574114674</v>
      </c>
    </row>
    <row r="18" spans="1:47" s="21" customFormat="1" ht="12.75">
      <c r="A18" s="22" t="s">
        <v>20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36"/>
      <c r="AQ18" s="36"/>
      <c r="AR18" s="36"/>
      <c r="AS18" s="36"/>
      <c r="AT18" s="36"/>
      <c r="AU18" s="36"/>
    </row>
    <row r="19" spans="1:47" s="21" customFormat="1" ht="12.75">
      <c r="A19" s="26" t="s">
        <v>6</v>
      </c>
      <c r="B19" s="27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2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27"/>
      <c r="AQ19" s="27"/>
      <c r="AR19" s="27"/>
      <c r="AS19" s="27"/>
      <c r="AT19" s="27"/>
      <c r="AU19" s="27"/>
    </row>
    <row r="20" spans="1:47" s="21" customFormat="1" ht="12.75">
      <c r="A20" s="26" t="s">
        <v>7</v>
      </c>
      <c r="B20" s="27">
        <f>SUM(B21:B22)</f>
        <v>5424.692480000001</v>
      </c>
      <c r="C20" s="27"/>
      <c r="D20" s="27">
        <f aca="true" t="shared" si="9" ref="D20:AB20">SUM(D21:D22)</f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>SUM(H21:H22)</f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373.90224</v>
      </c>
      <c r="N20" s="27">
        <f t="shared" si="9"/>
        <v>0</v>
      </c>
      <c r="O20" s="27">
        <f t="shared" si="9"/>
        <v>5050.79024</v>
      </c>
      <c r="P20" s="27">
        <f t="shared" si="9"/>
        <v>5424.692480000001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0</v>
      </c>
      <c r="V20" s="27">
        <f t="shared" si="9"/>
        <v>0</v>
      </c>
      <c r="W20" s="27">
        <f t="shared" si="9"/>
        <v>0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>SUM(AC21:AC22)</f>
        <v>0</v>
      </c>
      <c r="AD20" s="27">
        <f aca="true" t="shared" si="10" ref="AD20:AP20">SUM(AD21:AD22)</f>
        <v>0</v>
      </c>
      <c r="AE20" s="27">
        <f t="shared" si="10"/>
        <v>0</v>
      </c>
      <c r="AF20" s="27">
        <f t="shared" si="10"/>
        <v>0</v>
      </c>
      <c r="AG20" s="27">
        <f t="shared" si="10"/>
        <v>0</v>
      </c>
      <c r="AH20" s="27">
        <f t="shared" si="10"/>
        <v>0</v>
      </c>
      <c r="AI20" s="27">
        <f t="shared" si="10"/>
        <v>0</v>
      </c>
      <c r="AJ20" s="27">
        <f t="shared" si="10"/>
        <v>0</v>
      </c>
      <c r="AK20" s="27">
        <f t="shared" si="10"/>
        <v>0</v>
      </c>
      <c r="AL20" s="27">
        <f t="shared" si="10"/>
        <v>0</v>
      </c>
      <c r="AM20" s="27">
        <f t="shared" si="10"/>
        <v>0</v>
      </c>
      <c r="AN20" s="27">
        <f t="shared" si="10"/>
        <v>0</v>
      </c>
      <c r="AO20" s="27">
        <f t="shared" si="10"/>
        <v>0</v>
      </c>
      <c r="AP20" s="27">
        <f t="shared" si="10"/>
        <v>0</v>
      </c>
      <c r="AQ20" s="27">
        <f>SUM(AQ21:AQ22)</f>
        <v>0</v>
      </c>
      <c r="AR20" s="27">
        <f>SUM(AR21:AR22)</f>
        <v>0</v>
      </c>
      <c r="AS20" s="27">
        <f>SUM(AS21:AS22)</f>
        <v>0</v>
      </c>
      <c r="AT20" s="27">
        <f>SUM(AT21:AT22)</f>
        <v>0</v>
      </c>
      <c r="AU20" s="27">
        <f>SUM(AU21:AU22)</f>
        <v>0</v>
      </c>
    </row>
    <row r="21" spans="1:47" ht="12.75">
      <c r="A21" s="38" t="s">
        <v>21</v>
      </c>
      <c r="B21" s="27">
        <f>P21+AC21+AP21+AQ21+AR21+AS21+AT21+AU21</f>
        <v>5424.692480000001</v>
      </c>
      <c r="C21" s="27"/>
      <c r="D21" s="29">
        <f>Инв!E19</f>
        <v>0</v>
      </c>
      <c r="E21" s="29">
        <f>Инв!F19</f>
        <v>0</v>
      </c>
      <c r="F21" s="29">
        <f>Инв!G19</f>
        <v>0</v>
      </c>
      <c r="G21" s="29">
        <f>Инв!H19</f>
        <v>0</v>
      </c>
      <c r="H21" s="29">
        <f>Инв!I19</f>
        <v>0</v>
      </c>
      <c r="I21" s="29">
        <f>Инв!J19</f>
        <v>0</v>
      </c>
      <c r="J21" s="29">
        <f>Инв!K19</f>
        <v>0</v>
      </c>
      <c r="K21" s="29">
        <f>Инв!L19</f>
        <v>0</v>
      </c>
      <c r="L21" s="29">
        <f>Инв!M19</f>
        <v>0</v>
      </c>
      <c r="M21" s="29">
        <f>Инв!N19</f>
        <v>373.90224</v>
      </c>
      <c r="N21" s="29">
        <f>Инв!O19</f>
        <v>0</v>
      </c>
      <c r="O21" s="29">
        <f>Инв!P19</f>
        <v>5050.79024</v>
      </c>
      <c r="P21" s="27">
        <f>SUM(D21:O21)</f>
        <v>5424.692480000001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>
        <f>SUM(Q21:AB21)</f>
        <v>0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>
        <f>SUM(AD21:AO21)</f>
        <v>0</v>
      </c>
      <c r="AQ21" s="27"/>
      <c r="AR21" s="27"/>
      <c r="AS21" s="27"/>
      <c r="AT21" s="27"/>
      <c r="AU21" s="27"/>
    </row>
    <row r="22" spans="1:47" ht="12.75" outlineLevel="1">
      <c r="A22" s="38"/>
      <c r="B22" s="27">
        <f>P22+AC22+AP22+AQ22+AR22+AS22+AT22+AU22</f>
        <v>0</v>
      </c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</row>
    <row r="23" spans="1:47" s="21" customFormat="1" ht="25.5">
      <c r="A23" s="39" t="s">
        <v>22</v>
      </c>
      <c r="B23" s="18">
        <f>B19-B20</f>
        <v>-5424.692480000001</v>
      </c>
      <c r="C23" s="18"/>
      <c r="D23" s="18">
        <f>D19-D20</f>
        <v>0</v>
      </c>
      <c r="E23" s="18">
        <f aca="true" t="shared" si="11" ref="E23:AB23">E19-E20</f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>J19-J20</f>
        <v>0</v>
      </c>
      <c r="K23" s="18">
        <f t="shared" si="11"/>
        <v>0</v>
      </c>
      <c r="L23" s="18">
        <f t="shared" si="11"/>
        <v>0</v>
      </c>
      <c r="M23" s="18">
        <f t="shared" si="11"/>
        <v>-373.90224</v>
      </c>
      <c r="N23" s="18">
        <f t="shared" si="11"/>
        <v>0</v>
      </c>
      <c r="O23" s="18">
        <f t="shared" si="11"/>
        <v>-5050.79024</v>
      </c>
      <c r="P23" s="18">
        <f>SUM(D23:O23)</f>
        <v>-5424.692480000001</v>
      </c>
      <c r="Q23" s="18">
        <f t="shared" si="11"/>
        <v>0</v>
      </c>
      <c r="R23" s="18">
        <f t="shared" si="11"/>
        <v>0</v>
      </c>
      <c r="S23" s="18">
        <f t="shared" si="11"/>
        <v>0</v>
      </c>
      <c r="T23" s="18">
        <f t="shared" si="11"/>
        <v>0</v>
      </c>
      <c r="U23" s="18">
        <f t="shared" si="11"/>
        <v>0</v>
      </c>
      <c r="V23" s="18">
        <f t="shared" si="11"/>
        <v>0</v>
      </c>
      <c r="W23" s="18">
        <f t="shared" si="11"/>
        <v>0</v>
      </c>
      <c r="X23" s="18">
        <f t="shared" si="11"/>
        <v>0</v>
      </c>
      <c r="Y23" s="18">
        <f t="shared" si="11"/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>SUM(Q23:AB23)</f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f>SUM(AD23:AO23)</f>
        <v>0</v>
      </c>
      <c r="AQ23" s="18"/>
      <c r="AR23" s="18"/>
      <c r="AS23" s="18"/>
      <c r="AT23" s="18"/>
      <c r="AU23" s="18"/>
    </row>
    <row r="24" spans="1:47" s="43" customFormat="1" ht="12.75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</row>
    <row r="25" spans="1:47" s="21" customFormat="1" ht="12.75">
      <c r="A25" s="22" t="s">
        <v>24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6"/>
      <c r="AQ25" s="36"/>
      <c r="AR25" s="36"/>
      <c r="AS25" s="36"/>
      <c r="AT25" s="36"/>
      <c r="AU25" s="36"/>
    </row>
    <row r="26" spans="1:47" s="21" customFormat="1" ht="12.75">
      <c r="A26" s="26" t="s">
        <v>6</v>
      </c>
      <c r="B26" s="27">
        <f>SUM(B27:B28)</f>
        <v>8401.6447872</v>
      </c>
      <c r="C26" s="27"/>
      <c r="D26" s="27">
        <f>SUM(D27:D28)</f>
        <v>0</v>
      </c>
      <c r="E26" s="27">
        <f aca="true" t="shared" si="12" ref="E26:O26">SUM(E27:E28)</f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373.90224</v>
      </c>
      <c r="N26" s="27">
        <f t="shared" si="12"/>
        <v>5050.79024</v>
      </c>
      <c r="O26" s="27">
        <f t="shared" si="12"/>
        <v>761.5509888000001</v>
      </c>
      <c r="P26" s="27">
        <f aca="true" t="shared" si="13" ref="P26:AB26">SUM(P27:P28)</f>
        <v>6186.243468800001</v>
      </c>
      <c r="Q26" s="27">
        <f t="shared" si="13"/>
        <v>1007.7006592000001</v>
      </c>
      <c r="R26" s="27">
        <f t="shared" si="13"/>
        <v>1207.7006592000002</v>
      </c>
      <c r="S26" s="27">
        <f t="shared" si="13"/>
        <v>0</v>
      </c>
      <c r="T26" s="27">
        <f t="shared" si="13"/>
        <v>0</v>
      </c>
      <c r="U26" s="27">
        <f t="shared" si="13"/>
        <v>0</v>
      </c>
      <c r="V26" s="27">
        <f t="shared" si="13"/>
        <v>0</v>
      </c>
      <c r="W26" s="27">
        <f t="shared" si="13"/>
        <v>0</v>
      </c>
      <c r="X26" s="27">
        <f t="shared" si="13"/>
        <v>0</v>
      </c>
      <c r="Y26" s="27">
        <f t="shared" si="13"/>
        <v>0</v>
      </c>
      <c r="Z26" s="27">
        <f t="shared" si="13"/>
        <v>0</v>
      </c>
      <c r="AA26" s="27">
        <f t="shared" si="13"/>
        <v>0</v>
      </c>
      <c r="AB26" s="27">
        <f t="shared" si="13"/>
        <v>0</v>
      </c>
      <c r="AC26" s="27">
        <f>SUM(AC27:AC28)</f>
        <v>2215.4013184000005</v>
      </c>
      <c r="AD26" s="27">
        <f aca="true" t="shared" si="14" ref="AD26:AP26">SUM(AD27:AD28)</f>
        <v>0</v>
      </c>
      <c r="AE26" s="27">
        <f t="shared" si="14"/>
        <v>0</v>
      </c>
      <c r="AF26" s="27">
        <f t="shared" si="14"/>
        <v>0</v>
      </c>
      <c r="AG26" s="27">
        <f t="shared" si="14"/>
        <v>0</v>
      </c>
      <c r="AH26" s="27">
        <f t="shared" si="14"/>
        <v>0</v>
      </c>
      <c r="AI26" s="27">
        <f t="shared" si="14"/>
        <v>0</v>
      </c>
      <c r="AJ26" s="27">
        <f t="shared" si="14"/>
        <v>0</v>
      </c>
      <c r="AK26" s="27">
        <f t="shared" si="14"/>
        <v>0</v>
      </c>
      <c r="AL26" s="27">
        <f t="shared" si="14"/>
        <v>0</v>
      </c>
      <c r="AM26" s="27">
        <f t="shared" si="14"/>
        <v>0</v>
      </c>
      <c r="AN26" s="27">
        <f t="shared" si="14"/>
        <v>0</v>
      </c>
      <c r="AO26" s="27">
        <f t="shared" si="14"/>
        <v>0</v>
      </c>
      <c r="AP26" s="27">
        <f t="shared" si="14"/>
        <v>0</v>
      </c>
      <c r="AQ26" s="27">
        <f>SUM(AQ27:AQ28)</f>
        <v>0</v>
      </c>
      <c r="AR26" s="27">
        <f>SUM(AR27:AR28)</f>
        <v>0</v>
      </c>
      <c r="AS26" s="27">
        <f>SUM(AS27:AS28)</f>
        <v>0</v>
      </c>
      <c r="AT26" s="27">
        <f>SUM(AT27:AT28)</f>
        <v>0</v>
      </c>
      <c r="AU26" s="27">
        <f>SUM(AU27:AU28)</f>
        <v>0</v>
      </c>
    </row>
    <row r="27" spans="1:47" ht="12.75" customHeight="1">
      <c r="A27" s="38" t="s">
        <v>56</v>
      </c>
      <c r="B27" s="27">
        <f>P27+AC27+AP27+AQ27+AR27+AS27+AT27+AU27</f>
        <v>2976.9523072000006</v>
      </c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N12+N13</f>
        <v>0</v>
      </c>
      <c r="O27" s="29">
        <f>O12+O13</f>
        <v>761.5509888000001</v>
      </c>
      <c r="P27" s="27">
        <f>SUM(D27:O27)</f>
        <v>761.5509888000001</v>
      </c>
      <c r="Q27" s="33">
        <f>Q12+500</f>
        <v>1007.7006592000001</v>
      </c>
      <c r="R27" s="33">
        <f>R12+700</f>
        <v>1207.7006592000002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2215.4013184000005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>
        <f>SUM(AD27:AO27)</f>
        <v>0</v>
      </c>
      <c r="AQ27" s="27"/>
      <c r="AR27" s="27"/>
      <c r="AS27" s="27"/>
      <c r="AT27" s="27"/>
      <c r="AU27" s="27"/>
    </row>
    <row r="28" spans="1:47" ht="12.75">
      <c r="A28" s="44" t="s">
        <v>160</v>
      </c>
      <c r="B28" s="27">
        <f>P28+AC28+AP28+AQ28+AR28+AS28+AT28+AU28</f>
        <v>5424.692480000001</v>
      </c>
      <c r="C28" s="27"/>
      <c r="D28" s="29"/>
      <c r="E28" s="29"/>
      <c r="F28" s="29"/>
      <c r="G28" s="29"/>
      <c r="H28" s="29"/>
      <c r="I28" s="29"/>
      <c r="J28" s="29"/>
      <c r="K28" s="29">
        <f>K20</f>
        <v>0</v>
      </c>
      <c r="L28" s="29">
        <f>L20</f>
        <v>0</v>
      </c>
      <c r="M28" s="29">
        <f>M20</f>
        <v>373.90224</v>
      </c>
      <c r="N28" s="29">
        <f>N20+O20</f>
        <v>5050.79024</v>
      </c>
      <c r="O28" s="29"/>
      <c r="P28" s="27">
        <f>SUM(D28:O28)</f>
        <v>5424.692480000001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9"/>
      <c r="AE28" s="29"/>
      <c r="AF28" s="29"/>
      <c r="AG28" s="29"/>
      <c r="AH28" s="29"/>
      <c r="AI28" s="29"/>
      <c r="AJ28" s="45"/>
      <c r="AK28" s="45"/>
      <c r="AL28" s="45"/>
      <c r="AM28" s="45"/>
      <c r="AN28" s="45"/>
      <c r="AO28" s="45"/>
      <c r="AP28" s="27">
        <f>SUM(AD28:AO28)</f>
        <v>0</v>
      </c>
      <c r="AQ28" s="27"/>
      <c r="AR28" s="27"/>
      <c r="AS28" s="27"/>
      <c r="AT28" s="27"/>
      <c r="AU28" s="27"/>
    </row>
    <row r="29" spans="1:47" s="21" customFormat="1" ht="12.75">
      <c r="A29" s="26" t="s">
        <v>7</v>
      </c>
      <c r="B29" s="27">
        <f>SUM(B30:B31)</f>
        <v>5519.624598399979</v>
      </c>
      <c r="C29" s="27"/>
      <c r="D29" s="27">
        <f>SUM(D30:D31)</f>
        <v>0</v>
      </c>
      <c r="E29" s="27">
        <f aca="true" t="shared" si="15" ref="E29:AR29">SUM(E30:E31)</f>
        <v>0</v>
      </c>
      <c r="F29" s="27">
        <f t="shared" si="15"/>
        <v>0</v>
      </c>
      <c r="G29" s="27">
        <f t="shared" si="15"/>
        <v>0</v>
      </c>
      <c r="H29" s="27">
        <f t="shared" si="15"/>
        <v>0</v>
      </c>
      <c r="I29" s="27">
        <f>SUM(I30:I31)</f>
        <v>0</v>
      </c>
      <c r="J29" s="27">
        <f t="shared" si="15"/>
        <v>0</v>
      </c>
      <c r="K29" s="27">
        <f t="shared" si="15"/>
        <v>0</v>
      </c>
      <c r="L29" s="27">
        <f t="shared" si="15"/>
        <v>0</v>
      </c>
      <c r="M29" s="27">
        <f t="shared" si="15"/>
        <v>0</v>
      </c>
      <c r="N29" s="27">
        <f t="shared" si="15"/>
        <v>0</v>
      </c>
      <c r="O29" s="27">
        <f t="shared" si="15"/>
        <v>0</v>
      </c>
      <c r="P29" s="27">
        <f t="shared" si="15"/>
        <v>0</v>
      </c>
      <c r="Q29" s="27">
        <f t="shared" si="15"/>
        <v>0</v>
      </c>
      <c r="R29" s="27">
        <f t="shared" si="15"/>
        <v>0</v>
      </c>
      <c r="S29" s="27">
        <f t="shared" si="15"/>
        <v>0</v>
      </c>
      <c r="T29" s="27">
        <f t="shared" si="15"/>
        <v>0</v>
      </c>
      <c r="U29" s="27">
        <f t="shared" si="15"/>
        <v>0</v>
      </c>
      <c r="V29" s="27">
        <f t="shared" si="15"/>
        <v>0</v>
      </c>
      <c r="W29" s="27">
        <f t="shared" si="15"/>
        <v>0</v>
      </c>
      <c r="X29" s="27">
        <f t="shared" si="15"/>
        <v>4.05817595613901</v>
      </c>
      <c r="Y29" s="27">
        <f t="shared" si="15"/>
        <v>58.90097867494082</v>
      </c>
      <c r="Z29" s="27">
        <f t="shared" si="15"/>
        <v>59.24456771721131</v>
      </c>
      <c r="AA29" s="27">
        <f t="shared" si="15"/>
        <v>59.59016102889505</v>
      </c>
      <c r="AB29" s="27">
        <f t="shared" si="15"/>
        <v>59.9377703015636</v>
      </c>
      <c r="AC29" s="27">
        <f>SUM(AC30:AC31)</f>
        <v>241.73165367874978</v>
      </c>
      <c r="AD29" s="27">
        <f aca="true" t="shared" si="16" ref="AD29:AP29">SUM(AD30:AD31)</f>
        <v>60.287407294989386</v>
      </c>
      <c r="AE29" s="27">
        <f t="shared" si="16"/>
        <v>60.639083837543495</v>
      </c>
      <c r="AF29" s="27">
        <f t="shared" si="16"/>
        <v>60.992811826595826</v>
      </c>
      <c r="AG29" s="27">
        <f t="shared" si="16"/>
        <v>61.34860322891764</v>
      </c>
      <c r="AH29" s="27">
        <f t="shared" si="16"/>
        <v>61.70647008108632</v>
      </c>
      <c r="AI29" s="27">
        <f t="shared" si="16"/>
        <v>62.06642448989267</v>
      </c>
      <c r="AJ29" s="27">
        <f t="shared" si="16"/>
        <v>62.42847863275037</v>
      </c>
      <c r="AK29" s="27">
        <f t="shared" si="16"/>
        <v>62.79264475810808</v>
      </c>
      <c r="AL29" s="27">
        <f t="shared" si="16"/>
        <v>63.15893518586372</v>
      </c>
      <c r="AM29" s="27">
        <f t="shared" si="16"/>
        <v>63.527362307781246</v>
      </c>
      <c r="AN29" s="27">
        <f t="shared" si="16"/>
        <v>63.89793858790998</v>
      </c>
      <c r="AO29" s="27">
        <f t="shared" si="16"/>
        <v>64.27067656300612</v>
      </c>
      <c r="AP29" s="27">
        <f t="shared" si="16"/>
        <v>747.1168367944447</v>
      </c>
      <c r="AQ29" s="27">
        <f t="shared" si="15"/>
        <v>801.1259733353702</v>
      </c>
      <c r="AR29" s="27">
        <f t="shared" si="15"/>
        <v>859.0394347238148</v>
      </c>
      <c r="AS29" s="27">
        <f>SUM(AS30:AS31)</f>
        <v>921.1394649186942</v>
      </c>
      <c r="AT29" s="27">
        <f>SUM(AT30:AT31)</f>
        <v>987.7287113175363</v>
      </c>
      <c r="AU29" s="27">
        <f>SUM(AU30:AU31)</f>
        <v>961.7425236313694</v>
      </c>
    </row>
    <row r="30" spans="1:47" ht="12.75">
      <c r="A30" s="28" t="s">
        <v>33</v>
      </c>
      <c r="B30" s="27">
        <f>P30+AC30+AP30+AQ30+AR30+AS30+AT30+AU30</f>
        <v>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7">
        <f>SUM(D30:O30)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>
        <f>SUM(Q30:AB30)</f>
        <v>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7">
        <f>SUM(AD30:AO30)</f>
        <v>0</v>
      </c>
      <c r="AQ30" s="27"/>
      <c r="AR30" s="27"/>
      <c r="AS30" s="27"/>
      <c r="AT30" s="27"/>
      <c r="AU30" s="27"/>
    </row>
    <row r="31" spans="1:47" ht="13.5" customHeight="1">
      <c r="A31" s="38" t="s">
        <v>159</v>
      </c>
      <c r="B31" s="27">
        <f>P31+AC31+AP31+AQ31+AR31+AS31+AT31+AU31</f>
        <v>5519.624598399979</v>
      </c>
      <c r="C31" s="27"/>
      <c r="D31" s="34">
        <f>кр!C25</f>
        <v>0</v>
      </c>
      <c r="E31" s="34">
        <f>кр!D25</f>
        <v>0</v>
      </c>
      <c r="F31" s="34">
        <f>кр!E25</f>
        <v>0</v>
      </c>
      <c r="G31" s="34">
        <f>кр!F25</f>
        <v>0</v>
      </c>
      <c r="H31" s="34">
        <f>кр!G25</f>
        <v>0</v>
      </c>
      <c r="I31" s="34">
        <f>кр!H25</f>
        <v>0</v>
      </c>
      <c r="J31" s="34">
        <f>кр!I25</f>
        <v>0</v>
      </c>
      <c r="K31" s="34">
        <f>кр!J25</f>
        <v>0</v>
      </c>
      <c r="L31" s="34">
        <f>кр!K25</f>
        <v>0</v>
      </c>
      <c r="M31" s="34">
        <f>кр!L25</f>
        <v>0</v>
      </c>
      <c r="N31" s="34">
        <f>кр!M25</f>
        <v>0</v>
      </c>
      <c r="O31" s="34">
        <f>кр!N25</f>
        <v>0</v>
      </c>
      <c r="P31" s="27">
        <f>SUM(D31:O31)</f>
        <v>0</v>
      </c>
      <c r="Q31" s="34">
        <f>кр!P25</f>
        <v>0</v>
      </c>
      <c r="R31" s="34">
        <f>кр!Q25</f>
        <v>0</v>
      </c>
      <c r="S31" s="34">
        <f>кр!R25</f>
        <v>0</v>
      </c>
      <c r="T31" s="34">
        <f>кр!S25</f>
        <v>0</v>
      </c>
      <c r="U31" s="34">
        <f>кр!T25</f>
        <v>0</v>
      </c>
      <c r="V31" s="34">
        <f>кр!U25</f>
        <v>0</v>
      </c>
      <c r="W31" s="34">
        <f>кр!V25</f>
        <v>0</v>
      </c>
      <c r="X31" s="34">
        <f>кр!W25</f>
        <v>4.05817595613901</v>
      </c>
      <c r="Y31" s="34">
        <f>кр!X25</f>
        <v>58.90097867494082</v>
      </c>
      <c r="Z31" s="34">
        <f>кр!Y25</f>
        <v>59.24456771721131</v>
      </c>
      <c r="AA31" s="34">
        <f>кр!Z25</f>
        <v>59.59016102889505</v>
      </c>
      <c r="AB31" s="34">
        <f>кр!AA25</f>
        <v>59.9377703015636</v>
      </c>
      <c r="AC31" s="27">
        <f>SUM(Q31:AB31)</f>
        <v>241.73165367874978</v>
      </c>
      <c r="AD31" s="34">
        <f>кр!AC25</f>
        <v>60.287407294989386</v>
      </c>
      <c r="AE31" s="34">
        <f>кр!AD25</f>
        <v>60.639083837543495</v>
      </c>
      <c r="AF31" s="34">
        <f>кр!AE25</f>
        <v>60.992811826595826</v>
      </c>
      <c r="AG31" s="34">
        <f>кр!AF25</f>
        <v>61.34860322891764</v>
      </c>
      <c r="AH31" s="34">
        <f>кр!AG25</f>
        <v>61.70647008108632</v>
      </c>
      <c r="AI31" s="34">
        <f>кр!AH25</f>
        <v>62.06642448989267</v>
      </c>
      <c r="AJ31" s="34">
        <f>кр!AI25</f>
        <v>62.42847863275037</v>
      </c>
      <c r="AK31" s="34">
        <f>кр!AJ25</f>
        <v>62.79264475810808</v>
      </c>
      <c r="AL31" s="34">
        <f>кр!AK25</f>
        <v>63.15893518586372</v>
      </c>
      <c r="AM31" s="34">
        <f>кр!AL25</f>
        <v>63.527362307781246</v>
      </c>
      <c r="AN31" s="34">
        <f>кр!AM25</f>
        <v>63.89793858790998</v>
      </c>
      <c r="AO31" s="34">
        <f>кр!AN25</f>
        <v>64.27067656300612</v>
      </c>
      <c r="AP31" s="27">
        <f>SUM(AD31:AO31)</f>
        <v>747.1168367944447</v>
      </c>
      <c r="AQ31" s="34">
        <f>кр!BB25</f>
        <v>801.1259733353702</v>
      </c>
      <c r="AR31" s="34">
        <f>кр!BO25</f>
        <v>859.0394347238148</v>
      </c>
      <c r="AS31" s="34">
        <f>кр!CB25</f>
        <v>921.1394649186942</v>
      </c>
      <c r="AT31" s="34">
        <f>кр!CO25</f>
        <v>987.7287113175363</v>
      </c>
      <c r="AU31" s="34">
        <f>кр!DB25</f>
        <v>961.7425236313694</v>
      </c>
    </row>
    <row r="32" spans="1:47" s="21" customFormat="1" ht="12.75">
      <c r="A32" s="39" t="s">
        <v>25</v>
      </c>
      <c r="B32" s="18">
        <f>B26-B29</f>
        <v>2882.020188800022</v>
      </c>
      <c r="C32" s="18"/>
      <c r="D32" s="18">
        <f>D26-D29</f>
        <v>0</v>
      </c>
      <c r="E32" s="18">
        <f aca="true" t="shared" si="17" ref="E32:AR32">E26-E29</f>
        <v>0</v>
      </c>
      <c r="F32" s="18">
        <f t="shared" si="17"/>
        <v>0</v>
      </c>
      <c r="G32" s="18">
        <f t="shared" si="17"/>
        <v>0</v>
      </c>
      <c r="H32" s="18">
        <f t="shared" si="17"/>
        <v>0</v>
      </c>
      <c r="I32" s="18">
        <f t="shared" si="17"/>
        <v>0</v>
      </c>
      <c r="J32" s="18">
        <f t="shared" si="17"/>
        <v>0</v>
      </c>
      <c r="K32" s="18">
        <f t="shared" si="17"/>
        <v>0</v>
      </c>
      <c r="L32" s="18">
        <f t="shared" si="17"/>
        <v>0</v>
      </c>
      <c r="M32" s="18">
        <f t="shared" si="17"/>
        <v>373.90224</v>
      </c>
      <c r="N32" s="18">
        <f t="shared" si="17"/>
        <v>5050.79024</v>
      </c>
      <c r="O32" s="18">
        <f t="shared" si="17"/>
        <v>761.5509888000001</v>
      </c>
      <c r="P32" s="18">
        <f t="shared" si="17"/>
        <v>6186.243468800001</v>
      </c>
      <c r="Q32" s="18">
        <f t="shared" si="17"/>
        <v>1007.7006592000001</v>
      </c>
      <c r="R32" s="18">
        <f t="shared" si="17"/>
        <v>1207.7006592000002</v>
      </c>
      <c r="S32" s="18">
        <f t="shared" si="17"/>
        <v>0</v>
      </c>
      <c r="T32" s="18">
        <f t="shared" si="17"/>
        <v>0</v>
      </c>
      <c r="U32" s="18">
        <f t="shared" si="17"/>
        <v>0</v>
      </c>
      <c r="V32" s="18">
        <f t="shared" si="17"/>
        <v>0</v>
      </c>
      <c r="W32" s="18">
        <f t="shared" si="17"/>
        <v>0</v>
      </c>
      <c r="X32" s="18">
        <f t="shared" si="17"/>
        <v>-4.05817595613901</v>
      </c>
      <c r="Y32" s="18">
        <f t="shared" si="17"/>
        <v>-58.90097867494082</v>
      </c>
      <c r="Z32" s="18">
        <f t="shared" si="17"/>
        <v>-59.24456771721131</v>
      </c>
      <c r="AA32" s="18">
        <f t="shared" si="17"/>
        <v>-59.59016102889505</v>
      </c>
      <c r="AB32" s="18">
        <f t="shared" si="17"/>
        <v>-59.9377703015636</v>
      </c>
      <c r="AC32" s="18">
        <f>AC26-AC29</f>
        <v>1973.6696647212507</v>
      </c>
      <c r="AD32" s="18">
        <f aca="true" t="shared" si="18" ref="AD32:AP32">AD26-AD29</f>
        <v>-60.287407294989386</v>
      </c>
      <c r="AE32" s="18">
        <f t="shared" si="18"/>
        <v>-60.639083837543495</v>
      </c>
      <c r="AF32" s="18">
        <f t="shared" si="18"/>
        <v>-60.992811826595826</v>
      </c>
      <c r="AG32" s="18">
        <f t="shared" si="18"/>
        <v>-61.34860322891764</v>
      </c>
      <c r="AH32" s="18">
        <f t="shared" si="18"/>
        <v>-61.70647008108632</v>
      </c>
      <c r="AI32" s="18">
        <f t="shared" si="18"/>
        <v>-62.06642448989267</v>
      </c>
      <c r="AJ32" s="18">
        <f t="shared" si="18"/>
        <v>-62.42847863275037</v>
      </c>
      <c r="AK32" s="18">
        <f t="shared" si="18"/>
        <v>-62.79264475810808</v>
      </c>
      <c r="AL32" s="18">
        <f t="shared" si="18"/>
        <v>-63.15893518586372</v>
      </c>
      <c r="AM32" s="18">
        <f t="shared" si="18"/>
        <v>-63.527362307781246</v>
      </c>
      <c r="AN32" s="18">
        <f t="shared" si="18"/>
        <v>-63.89793858790998</v>
      </c>
      <c r="AO32" s="18">
        <f t="shared" si="18"/>
        <v>-64.27067656300612</v>
      </c>
      <c r="AP32" s="18">
        <f t="shared" si="18"/>
        <v>-747.1168367944447</v>
      </c>
      <c r="AQ32" s="18">
        <f t="shared" si="17"/>
        <v>-801.1259733353702</v>
      </c>
      <c r="AR32" s="18">
        <f t="shared" si="17"/>
        <v>-859.0394347238148</v>
      </c>
      <c r="AS32" s="18">
        <f>AS26-AS29</f>
        <v>-921.1394649186942</v>
      </c>
      <c r="AT32" s="18">
        <f>AT26-AT29</f>
        <v>-987.7287113175363</v>
      </c>
      <c r="AU32" s="18">
        <f>AU26-AU29</f>
        <v>-961.7425236313694</v>
      </c>
    </row>
    <row r="33" spans="1:47" s="48" customFormat="1" ht="12.75">
      <c r="A33" s="46" t="s">
        <v>26</v>
      </c>
      <c r="B33" s="47">
        <f>B17+B23+B32</f>
        <v>61488.04747176298</v>
      </c>
      <c r="C33" s="27"/>
      <c r="D33" s="47">
        <f>D17+D23+D32</f>
        <v>0</v>
      </c>
      <c r="E33" s="47">
        <f aca="true" t="shared" si="19" ref="E33:AR33">E17+E23+E32</f>
        <v>0</v>
      </c>
      <c r="F33" s="47">
        <f t="shared" si="19"/>
        <v>0</v>
      </c>
      <c r="G33" s="47">
        <f t="shared" si="19"/>
        <v>0</v>
      </c>
      <c r="H33" s="47">
        <f t="shared" si="19"/>
        <v>0</v>
      </c>
      <c r="I33" s="47">
        <f t="shared" si="19"/>
        <v>0</v>
      </c>
      <c r="J33" s="47">
        <f t="shared" si="19"/>
        <v>0</v>
      </c>
      <c r="K33" s="47">
        <f t="shared" si="19"/>
        <v>0</v>
      </c>
      <c r="L33" s="47">
        <f t="shared" si="19"/>
        <v>0</v>
      </c>
      <c r="M33" s="47">
        <f t="shared" si="19"/>
        <v>0</v>
      </c>
      <c r="N33" s="47">
        <f t="shared" si="19"/>
        <v>5050.79024</v>
      </c>
      <c r="O33" s="47">
        <f t="shared" si="19"/>
        <v>-5050.79024</v>
      </c>
      <c r="P33" s="47">
        <f t="shared" si="19"/>
        <v>0</v>
      </c>
      <c r="Q33" s="47">
        <f t="shared" si="19"/>
        <v>266.6792066666666</v>
      </c>
      <c r="R33" s="47">
        <f t="shared" si="19"/>
        <v>797.5849410796666</v>
      </c>
      <c r="S33" s="47">
        <f t="shared" si="19"/>
        <v>200.53073730933284</v>
      </c>
      <c r="T33" s="47">
        <f t="shared" si="19"/>
        <v>137.06815490933286</v>
      </c>
      <c r="U33" s="47">
        <f t="shared" si="19"/>
        <v>137.06815490933286</v>
      </c>
      <c r="V33" s="47">
        <f t="shared" si="19"/>
        <v>68.07353039504778</v>
      </c>
      <c r="W33" s="47">
        <f t="shared" si="19"/>
        <v>-123.65396634780973</v>
      </c>
      <c r="X33" s="47">
        <f t="shared" si="19"/>
        <v>-127.71214230394874</v>
      </c>
      <c r="Y33" s="47">
        <f t="shared" si="19"/>
        <v>-182.5312723296735</v>
      </c>
      <c r="Z33" s="47">
        <f t="shared" si="19"/>
        <v>-295.85731232967373</v>
      </c>
      <c r="AA33" s="47">
        <f t="shared" si="19"/>
        <v>-295.8573123296736</v>
      </c>
      <c r="AB33" s="47">
        <f t="shared" si="19"/>
        <v>-295.85731232967345</v>
      </c>
      <c r="AC33" s="47">
        <f>AC17+AC23+AC32</f>
        <v>285.53540729893075</v>
      </c>
      <c r="AD33" s="47">
        <f aca="true" t="shared" si="20" ref="AD33:AP33">AD17+AD23+AD32</f>
        <v>651.9439533846125</v>
      </c>
      <c r="AE33" s="47">
        <f t="shared" si="20"/>
        <v>651.9439533846128</v>
      </c>
      <c r="AF33" s="47">
        <f t="shared" si="20"/>
        <v>651.9439533846124</v>
      </c>
      <c r="AG33" s="47">
        <f t="shared" si="20"/>
        <v>651.9439533846128</v>
      </c>
      <c r="AH33" s="47">
        <f t="shared" si="20"/>
        <v>534.7295384358774</v>
      </c>
      <c r="AI33" s="47">
        <f t="shared" si="20"/>
        <v>525.7137898573304</v>
      </c>
      <c r="AJ33" s="47">
        <f t="shared" si="20"/>
        <v>468.97835902875875</v>
      </c>
      <c r="AK33" s="47">
        <f t="shared" si="20"/>
        <v>468.9055258036874</v>
      </c>
      <c r="AL33" s="47">
        <f t="shared" si="20"/>
        <v>468.83226771813645</v>
      </c>
      <c r="AM33" s="47">
        <f t="shared" si="20"/>
        <v>412.0955622937529</v>
      </c>
      <c r="AN33" s="47">
        <f t="shared" si="20"/>
        <v>412.0214470377275</v>
      </c>
      <c r="AO33" s="47">
        <f t="shared" si="20"/>
        <v>411.94689944270823</v>
      </c>
      <c r="AP33" s="47">
        <f t="shared" si="20"/>
        <v>6310.999203156443</v>
      </c>
      <c r="AQ33" s="47">
        <f t="shared" si="19"/>
        <v>7785.947710968055</v>
      </c>
      <c r="AR33" s="47">
        <f t="shared" si="19"/>
        <v>9373.257169547516</v>
      </c>
      <c r="AS33" s="47">
        <f>AS17+AS23+AS32</f>
        <v>10959.729314365675</v>
      </c>
      <c r="AT33" s="47">
        <f>AT17+AT23+AT32</f>
        <v>12545.30361594306</v>
      </c>
      <c r="AU33" s="47">
        <f>AU17+AU23+AU32</f>
        <v>14227.275050483304</v>
      </c>
    </row>
    <row r="34" spans="1:55" s="21" customFormat="1" ht="12.75">
      <c r="A34" s="49" t="s">
        <v>55</v>
      </c>
      <c r="B34" s="27">
        <f>B7+B17+B23+B32</f>
        <v>61488.04747176298</v>
      </c>
      <c r="C34" s="50"/>
      <c r="D34" s="51">
        <f aca="true" t="shared" si="21" ref="D34:O34">D7+D17+D23+D32</f>
        <v>0</v>
      </c>
      <c r="E34" s="51">
        <f t="shared" si="21"/>
        <v>0</v>
      </c>
      <c r="F34" s="51">
        <f t="shared" si="21"/>
        <v>0</v>
      </c>
      <c r="G34" s="51">
        <f t="shared" si="21"/>
        <v>0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5050.79024</v>
      </c>
      <c r="O34" s="51">
        <f t="shared" si="21"/>
        <v>0</v>
      </c>
      <c r="P34" s="52">
        <f>O34</f>
        <v>0</v>
      </c>
      <c r="Q34" s="51">
        <f>P34+Q17+Q23+Q32</f>
        <v>266.6792066666666</v>
      </c>
      <c r="R34" s="51">
        <f aca="true" t="shared" si="22" ref="R34:AB34">Q34+R17+R23+R32</f>
        <v>1064.264147746333</v>
      </c>
      <c r="S34" s="51">
        <f t="shared" si="22"/>
        <v>1264.7948850556659</v>
      </c>
      <c r="T34" s="51">
        <f t="shared" si="22"/>
        <v>1401.8630399649987</v>
      </c>
      <c r="U34" s="51">
        <f t="shared" si="22"/>
        <v>1538.9311948743316</v>
      </c>
      <c r="V34" s="51">
        <f t="shared" si="22"/>
        <v>1607.0047252693794</v>
      </c>
      <c r="W34" s="51">
        <f t="shared" si="22"/>
        <v>1483.3507589215696</v>
      </c>
      <c r="X34" s="51">
        <f t="shared" si="22"/>
        <v>1355.638616617621</v>
      </c>
      <c r="Y34" s="51">
        <f t="shared" si="22"/>
        <v>1173.1073442879474</v>
      </c>
      <c r="Z34" s="51">
        <f t="shared" si="22"/>
        <v>877.2500319582737</v>
      </c>
      <c r="AA34" s="51">
        <f t="shared" si="22"/>
        <v>581.3927196286</v>
      </c>
      <c r="AB34" s="51">
        <f t="shared" si="22"/>
        <v>285.5354072989266</v>
      </c>
      <c r="AC34" s="52">
        <f>AB34</f>
        <v>285.5354072989266</v>
      </c>
      <c r="AD34" s="51">
        <f aca="true" t="shared" si="23" ref="AD34:AO34">AC34+AD17+AD23+AD32</f>
        <v>937.4793606835392</v>
      </c>
      <c r="AE34" s="51">
        <f t="shared" si="23"/>
        <v>1589.423314068152</v>
      </c>
      <c r="AF34" s="51">
        <f t="shared" si="23"/>
        <v>2241.3672674527647</v>
      </c>
      <c r="AG34" s="51">
        <f t="shared" si="23"/>
        <v>2893.3112208373777</v>
      </c>
      <c r="AH34" s="51">
        <f t="shared" si="23"/>
        <v>3428.040759273255</v>
      </c>
      <c r="AI34" s="51">
        <f t="shared" si="23"/>
        <v>3953.7545491305855</v>
      </c>
      <c r="AJ34" s="51">
        <f t="shared" si="23"/>
        <v>4422.732908159344</v>
      </c>
      <c r="AK34" s="51">
        <f t="shared" si="23"/>
        <v>4891.638433963031</v>
      </c>
      <c r="AL34" s="51">
        <f t="shared" si="23"/>
        <v>5360.470701681168</v>
      </c>
      <c r="AM34" s="51">
        <f t="shared" si="23"/>
        <v>5772.566263974921</v>
      </c>
      <c r="AN34" s="51">
        <f t="shared" si="23"/>
        <v>6184.587711012648</v>
      </c>
      <c r="AO34" s="51">
        <f t="shared" si="23"/>
        <v>6596.5346104553555</v>
      </c>
      <c r="AP34" s="52">
        <f>AO34</f>
        <v>6596.5346104553555</v>
      </c>
      <c r="AQ34" s="51">
        <f>AP34+AQ17+AQ23+AQ32</f>
        <v>14382.48232142341</v>
      </c>
      <c r="AR34" s="51">
        <f>AQ34+AR17+AR23+AR32</f>
        <v>23755.739490970926</v>
      </c>
      <c r="AS34" s="51">
        <f>AR34+AS17+AS23+AS32</f>
        <v>34715.468805336604</v>
      </c>
      <c r="AT34" s="51">
        <f>AS34+AT17+AT23+AT32</f>
        <v>47260.77242127967</v>
      </c>
      <c r="AU34" s="51">
        <f>AT34+AU17+AU23+AU32</f>
        <v>61488.04747176297</v>
      </c>
      <c r="AV34" s="7">
        <v>2013</v>
      </c>
      <c r="AW34" s="7">
        <f aca="true" t="shared" si="24" ref="AW34:AZ35">AV34+1</f>
        <v>2014</v>
      </c>
      <c r="AX34" s="7">
        <f t="shared" si="24"/>
        <v>2015</v>
      </c>
      <c r="AY34" s="7">
        <f t="shared" si="24"/>
        <v>2016</v>
      </c>
      <c r="AZ34" s="7">
        <f t="shared" si="24"/>
        <v>2017</v>
      </c>
      <c r="BA34" s="7">
        <f aca="true" t="shared" si="25" ref="BA34:BC35">AZ34+1</f>
        <v>2018</v>
      </c>
      <c r="BB34" s="7">
        <f t="shared" si="25"/>
        <v>2019</v>
      </c>
      <c r="BC34" s="7">
        <f t="shared" si="25"/>
        <v>2020</v>
      </c>
    </row>
    <row r="35" spans="1:55" ht="12.75">
      <c r="A35" s="53"/>
      <c r="B35" s="54">
        <f>AU34</f>
        <v>61488.04747176297</v>
      </c>
      <c r="C35" s="55"/>
      <c r="D35" s="56">
        <f aca="true" t="shared" si="26" ref="D35:N35">D7+D33-D34</f>
        <v>0</v>
      </c>
      <c r="E35" s="56">
        <f t="shared" si="26"/>
        <v>0</v>
      </c>
      <c r="F35" s="56">
        <f t="shared" si="26"/>
        <v>0</v>
      </c>
      <c r="G35" s="56">
        <f t="shared" si="26"/>
        <v>0</v>
      </c>
      <c r="H35" s="56">
        <f t="shared" si="26"/>
        <v>0</v>
      </c>
      <c r="I35" s="56">
        <f t="shared" si="26"/>
        <v>0</v>
      </c>
      <c r="J35" s="56">
        <f t="shared" si="26"/>
        <v>0</v>
      </c>
      <c r="K35" s="56">
        <f t="shared" si="26"/>
        <v>0</v>
      </c>
      <c r="L35" s="56">
        <f t="shared" si="26"/>
        <v>0</v>
      </c>
      <c r="M35" s="56">
        <f t="shared" si="26"/>
        <v>0</v>
      </c>
      <c r="N35" s="56">
        <f t="shared" si="26"/>
        <v>0</v>
      </c>
      <c r="O35" s="56"/>
      <c r="P35" s="56"/>
      <c r="Q35" s="56">
        <f>Q7+Q33-Q34</f>
        <v>0</v>
      </c>
      <c r="R35" s="56"/>
      <c r="S35" s="56"/>
      <c r="T35" s="56">
        <f>T7+T33-T34</f>
        <v>0</v>
      </c>
      <c r="U35" s="56">
        <f>U7+U33-U34</f>
        <v>0</v>
      </c>
      <c r="V35" s="56">
        <f>V7+V33-V34</f>
        <v>0</v>
      </c>
      <c r="W35" s="56"/>
      <c r="X35" s="56">
        <f>X7+X33-X34</f>
        <v>0</v>
      </c>
      <c r="Y35" s="56">
        <f>Y7+Y33-Y34</f>
        <v>0</v>
      </c>
      <c r="Z35" s="56">
        <f>Z7+Z33-Z34</f>
        <v>0</v>
      </c>
      <c r="AA35" s="56">
        <f>AA7+AA33-AA34</f>
        <v>0</v>
      </c>
      <c r="AB35" s="56">
        <f>AB7+AB33-AB34</f>
        <v>0</v>
      </c>
      <c r="AC35" s="56"/>
      <c r="AD35" s="56">
        <f aca="true" t="shared" si="27" ref="AD35:AO35">AD7+AD33-AD34</f>
        <v>0</v>
      </c>
      <c r="AE35" s="56">
        <f t="shared" si="27"/>
        <v>0</v>
      </c>
      <c r="AF35" s="56">
        <f t="shared" si="27"/>
        <v>0</v>
      </c>
      <c r="AG35" s="56">
        <f t="shared" si="27"/>
        <v>0</v>
      </c>
      <c r="AH35" s="56">
        <f t="shared" si="27"/>
        <v>0</v>
      </c>
      <c r="AI35" s="56">
        <f t="shared" si="27"/>
        <v>0</v>
      </c>
      <c r="AJ35" s="56">
        <f t="shared" si="27"/>
        <v>0</v>
      </c>
      <c r="AK35" s="56">
        <f t="shared" si="27"/>
        <v>0</v>
      </c>
      <c r="AL35" s="56">
        <f t="shared" si="27"/>
        <v>0</v>
      </c>
      <c r="AM35" s="56">
        <f t="shared" si="27"/>
        <v>0</v>
      </c>
      <c r="AN35" s="56">
        <f t="shared" si="27"/>
        <v>0</v>
      </c>
      <c r="AO35" s="56">
        <f t="shared" si="27"/>
        <v>0</v>
      </c>
      <c r="AP35" s="56"/>
      <c r="AQ35" s="56">
        <f>AQ7+AQ33-AQ34</f>
        <v>0</v>
      </c>
      <c r="AR35" s="56">
        <f>AR7+AR33-AR34</f>
        <v>0</v>
      </c>
      <c r="AS35" s="56">
        <f>AS7+AS33-AS34</f>
        <v>0</v>
      </c>
      <c r="AT35" s="56">
        <f>AT7+AT33-AT34</f>
        <v>0</v>
      </c>
      <c r="AU35" s="56">
        <f>AU7+AU33-AU34</f>
        <v>0</v>
      </c>
      <c r="AV35" s="63">
        <v>0</v>
      </c>
      <c r="AW35" s="63">
        <f>AV35+1</f>
        <v>1</v>
      </c>
      <c r="AX35" s="63">
        <f t="shared" si="24"/>
        <v>2</v>
      </c>
      <c r="AY35" s="63">
        <f t="shared" si="24"/>
        <v>3</v>
      </c>
      <c r="AZ35" s="63">
        <f t="shared" si="24"/>
        <v>4</v>
      </c>
      <c r="BA35" s="63">
        <f t="shared" si="25"/>
        <v>5</v>
      </c>
      <c r="BB35" s="63">
        <f t="shared" si="25"/>
        <v>6</v>
      </c>
      <c r="BC35" s="63">
        <f t="shared" si="25"/>
        <v>7</v>
      </c>
    </row>
    <row r="36" spans="1:55" ht="12.75">
      <c r="A36" s="53" t="s">
        <v>61</v>
      </c>
      <c r="B36" s="64">
        <f>B34-B35</f>
        <v>0</v>
      </c>
      <c r="C36" s="55"/>
      <c r="Q36" s="58"/>
      <c r="AD36" s="58"/>
      <c r="AV36" s="58">
        <f>P33</f>
        <v>0</v>
      </c>
      <c r="AW36" s="58">
        <f>AC33</f>
        <v>285.53540729893075</v>
      </c>
      <c r="AX36" s="58">
        <f aca="true" t="shared" si="28" ref="AX36:BC36">AP33</f>
        <v>6310.999203156443</v>
      </c>
      <c r="AY36" s="58">
        <f t="shared" si="28"/>
        <v>7785.947710968055</v>
      </c>
      <c r="AZ36" s="58">
        <f t="shared" si="28"/>
        <v>9373.257169547516</v>
      </c>
      <c r="BA36" s="58">
        <f t="shared" si="28"/>
        <v>10959.729314365675</v>
      </c>
      <c r="BB36" s="58">
        <f t="shared" si="28"/>
        <v>12545.30361594306</v>
      </c>
      <c r="BC36" s="58">
        <f t="shared" si="28"/>
        <v>14227.275050483304</v>
      </c>
    </row>
    <row r="37" spans="1:55" ht="12.75">
      <c r="A37" s="53" t="s">
        <v>62</v>
      </c>
      <c r="B37" s="55"/>
      <c r="C37" s="55"/>
      <c r="AV37" s="58">
        <f>AV36+P31+P30+P14</f>
        <v>0</v>
      </c>
      <c r="AW37" s="58">
        <f>AW36+AC31+AC30+AC14</f>
        <v>849.3001743428566</v>
      </c>
      <c r="AX37" s="58">
        <f aca="true" t="shared" si="29" ref="AX37:BC37">AX36+AP31+AP30+AP14</f>
        <v>7403.900596826804</v>
      </c>
      <c r="AY37" s="58">
        <f t="shared" si="29"/>
        <v>8878.849104638415</v>
      </c>
      <c r="AZ37" s="58">
        <f t="shared" si="29"/>
        <v>10466.158563217876</v>
      </c>
      <c r="BA37" s="58">
        <f t="shared" si="29"/>
        <v>12052.630708036037</v>
      </c>
      <c r="BB37" s="58">
        <f t="shared" si="29"/>
        <v>13638.20500961342</v>
      </c>
      <c r="BC37" s="58">
        <f t="shared" si="29"/>
        <v>15222.82388647133</v>
      </c>
    </row>
    <row r="38" spans="1:55" ht="12.75">
      <c r="A38" s="53" t="s">
        <v>63</v>
      </c>
      <c r="B38" s="55"/>
      <c r="C38" s="55"/>
      <c r="V38" s="58"/>
      <c r="AI38" s="58"/>
      <c r="AV38" s="58">
        <f>P26</f>
        <v>6186.243468800001</v>
      </c>
      <c r="AW38" s="58">
        <f>AC26</f>
        <v>2215.4013184000005</v>
      </c>
      <c r="AX38" s="58"/>
      <c r="AY38" s="58"/>
      <c r="AZ38" s="58"/>
      <c r="BA38" s="58"/>
      <c r="BB38" s="58"/>
      <c r="BC38" s="58"/>
    </row>
    <row r="39" spans="1:55" ht="12.75">
      <c r="A39" s="65" t="s">
        <v>64</v>
      </c>
      <c r="B39" s="55"/>
      <c r="C39" s="55"/>
      <c r="AV39" s="66">
        <f>AV37-AV38</f>
        <v>-6186.243468800001</v>
      </c>
      <c r="AW39" s="66">
        <f aca="true" t="shared" si="30" ref="AW39:BB39">AW37-AW38</f>
        <v>-1366.1011440571438</v>
      </c>
      <c r="AX39" s="66">
        <f t="shared" si="30"/>
        <v>7403.900596826804</v>
      </c>
      <c r="AY39" s="66">
        <f t="shared" si="30"/>
        <v>8878.849104638415</v>
      </c>
      <c r="AZ39" s="66">
        <f t="shared" si="30"/>
        <v>10466.158563217876</v>
      </c>
      <c r="BA39" s="66">
        <f t="shared" si="30"/>
        <v>12052.630708036037</v>
      </c>
      <c r="BB39" s="66">
        <f t="shared" si="30"/>
        <v>13638.20500961342</v>
      </c>
      <c r="BC39" s="66">
        <f>BC37-BC38</f>
        <v>15222.82388647133</v>
      </c>
    </row>
    <row r="40" spans="1:55" ht="12.75">
      <c r="A40" s="67" t="s">
        <v>65</v>
      </c>
      <c r="B40" s="55"/>
      <c r="C40" s="55"/>
      <c r="AV40" s="68">
        <f>AV39/(1+Исх!$C$8)^'1-Ф3'!AV35</f>
        <v>-6186.243468800001</v>
      </c>
      <c r="AW40" s="68">
        <f>AW39/(1+Исх!$C$8)^'1-Ф3'!AW35</f>
        <v>-1234.0308693058105</v>
      </c>
      <c r="AX40" s="68">
        <f>AX39/(1+Исх!$C$8)^'1-Ф3'!AX35</f>
        <v>6041.529726765268</v>
      </c>
      <c r="AY40" s="68">
        <f>AY39/(1+Исх!$C$8)^'1-Ф3'!AY35</f>
        <v>6544.646312751979</v>
      </c>
      <c r="AZ40" s="68">
        <f>AZ39/(1+Исх!$C$8)^'1-Ф3'!AZ35</f>
        <v>6968.83183632375</v>
      </c>
      <c r="BA40" s="68">
        <f>BA39/(1+Исх!$C$8)^'1-Ф3'!BA35</f>
        <v>7249.327053408161</v>
      </c>
      <c r="BB40" s="68">
        <f>BB39/(1+Исх!$C$8)^'1-Ф3'!BB35</f>
        <v>7409.966192427445</v>
      </c>
      <c r="BC40" s="68">
        <f>BC39/(1+Исх!$C$8)^'1-Ф3'!BC35</f>
        <v>7471.321134388924</v>
      </c>
    </row>
    <row r="41" spans="1:55" ht="12.75">
      <c r="A41" s="65" t="s">
        <v>66</v>
      </c>
      <c r="B41" s="55"/>
      <c r="C41" s="55"/>
      <c r="AV41" s="66">
        <f>AV39</f>
        <v>-6186.243468800001</v>
      </c>
      <c r="AW41" s="66">
        <f aca="true" t="shared" si="31" ref="AW41:AZ42">AV41+AW39</f>
        <v>-7552.344612857145</v>
      </c>
      <c r="AX41" s="66">
        <f t="shared" si="31"/>
        <v>-148.44401603034112</v>
      </c>
      <c r="AY41" s="66">
        <f t="shared" si="31"/>
        <v>8730.405088608073</v>
      </c>
      <c r="AZ41" s="66">
        <f t="shared" si="31"/>
        <v>19196.56365182595</v>
      </c>
      <c r="BA41" s="66">
        <f aca="true" t="shared" si="32" ref="BA41:BC42">AZ41+BA39</f>
        <v>31249.194359861984</v>
      </c>
      <c r="BB41" s="66">
        <f t="shared" si="32"/>
        <v>44887.3993694754</v>
      </c>
      <c r="BC41" s="66">
        <f t="shared" si="32"/>
        <v>60110.22325594673</v>
      </c>
    </row>
    <row r="42" spans="1:55" ht="12.75">
      <c r="A42" s="67" t="s">
        <v>67</v>
      </c>
      <c r="B42" s="55"/>
      <c r="C42" s="55"/>
      <c r="AV42" s="68">
        <f>AV40</f>
        <v>-6186.243468800001</v>
      </c>
      <c r="AW42" s="68">
        <f t="shared" si="31"/>
        <v>-7420.274338105812</v>
      </c>
      <c r="AX42" s="68">
        <f t="shared" si="31"/>
        <v>-1378.744611340544</v>
      </c>
      <c r="AY42" s="68">
        <f t="shared" si="31"/>
        <v>5165.901701411435</v>
      </c>
      <c r="AZ42" s="68">
        <f t="shared" si="31"/>
        <v>12134.733537735185</v>
      </c>
      <c r="BA42" s="68">
        <f t="shared" si="32"/>
        <v>19384.060591143345</v>
      </c>
      <c r="BB42" s="68">
        <f t="shared" si="32"/>
        <v>26794.02678357079</v>
      </c>
      <c r="BC42" s="68">
        <f t="shared" si="32"/>
        <v>34265.34791795971</v>
      </c>
    </row>
    <row r="43" spans="1:55" ht="12.75">
      <c r="A43" s="53" t="s">
        <v>68</v>
      </c>
      <c r="B43" s="55"/>
      <c r="C43" s="55"/>
      <c r="AV43" s="58">
        <f>NPV(Исх!$C$8,'1-Ф3'!$AV37:AV37)</f>
        <v>0</v>
      </c>
      <c r="AW43" s="58">
        <f>NPV(Исх!$C$8,'1-Ф3'!$AV37:AW37)</f>
        <v>693.02284426109</v>
      </c>
      <c r="AX43" s="58">
        <f>NPV(Исх!$C$8,'1-Ф3'!$AV37:AX37)</f>
        <v>6150.476864477604</v>
      </c>
      <c r="AY43" s="58">
        <f>NPV(Исх!$C$8,'1-Ф3'!$AV37:AY37)</f>
        <v>12062.407773662582</v>
      </c>
      <c r="AZ43" s="58">
        <f>NPV(Исх!$C$8,'1-Ф3'!$AV37:AZ37)</f>
        <v>18357.51531122342</v>
      </c>
      <c r="BA43" s="58">
        <f>NPV(Исх!$C$8,'1-Ф3'!$AV37:BA37)</f>
        <v>24906.000688397802</v>
      </c>
      <c r="BB43" s="58">
        <f>NPV(Исх!$C$8,'1-Ф3'!$AV37:BB37)</f>
        <v>31599.595128126497</v>
      </c>
      <c r="BC43" s="58">
        <f>NPV(Исх!$C$8,'1-Ф3'!$AV37:BC37)</f>
        <v>38348.61291091753</v>
      </c>
    </row>
    <row r="44" spans="1:55" ht="12.75">
      <c r="A44" s="53" t="s">
        <v>69</v>
      </c>
      <c r="B44" s="55"/>
      <c r="C44" s="55"/>
      <c r="AV44" s="58">
        <f>NPV(Исх!$C$8,'1-Ф3'!$AV38:AV38)</f>
        <v>5588.177302061705</v>
      </c>
      <c r="AW44" s="58">
        <f>NPV(Исх!$C$8,'1-Ф3'!$AV38:AW38)</f>
        <v>7395.928871223089</v>
      </c>
      <c r="AX44" s="58">
        <f>NPV(Исх!$C$8,'1-Ф3'!$AV38:AX38)</f>
        <v>7395.928871223089</v>
      </c>
      <c r="AY44" s="58">
        <f>NPV(Исх!$C$8,'1-Ф3'!$AV38:AY38)</f>
        <v>7395.928871223089</v>
      </c>
      <c r="AZ44" s="58">
        <f>NPV(Исх!$C$8,'1-Ф3'!$AV38:AZ38)</f>
        <v>7395.928871223089</v>
      </c>
      <c r="BA44" s="58">
        <f>NPV(Исх!$C$8,'1-Ф3'!$AV38:BA38)</f>
        <v>7395.928871223089</v>
      </c>
      <c r="BB44" s="58">
        <f>NPV(Исх!$C$8,'1-Ф3'!$AV38:BB38)</f>
        <v>7395.928871223089</v>
      </c>
      <c r="BC44" s="58">
        <f>NPV(Исх!$C$8,'1-Ф3'!$AV38:BC38)</f>
        <v>7395.928871223089</v>
      </c>
    </row>
    <row r="45" spans="1:55" ht="12.75">
      <c r="A45" s="53" t="s">
        <v>70</v>
      </c>
      <c r="B45" s="55"/>
      <c r="C45" s="55"/>
      <c r="AV45" s="58">
        <f aca="true" t="shared" si="33" ref="AV45:BB45">AV43-AV44</f>
        <v>-5588.177302061705</v>
      </c>
      <c r="AW45" s="58">
        <f t="shared" si="33"/>
        <v>-6702.9060269619995</v>
      </c>
      <c r="AX45" s="58">
        <f t="shared" si="33"/>
        <v>-1245.452006745485</v>
      </c>
      <c r="AY45" s="58">
        <f t="shared" si="33"/>
        <v>4666.478902439493</v>
      </c>
      <c r="AZ45" s="58">
        <f t="shared" si="33"/>
        <v>10961.58644000033</v>
      </c>
      <c r="BA45" s="58">
        <f t="shared" si="33"/>
        <v>17510.071817174714</v>
      </c>
      <c r="BB45" s="58">
        <f t="shared" si="33"/>
        <v>24203.66625690341</v>
      </c>
      <c r="BC45" s="58">
        <f>BC43-BC44</f>
        <v>30952.684039694443</v>
      </c>
    </row>
    <row r="46" spans="1:55" ht="12.75">
      <c r="A46" s="53" t="s">
        <v>71</v>
      </c>
      <c r="B46" s="55"/>
      <c r="C46" s="55"/>
      <c r="AV46" s="69">
        <f aca="true" t="shared" si="34" ref="AV46:BB46">AV43/AV44</f>
        <v>0</v>
      </c>
      <c r="AW46" s="69">
        <f t="shared" si="34"/>
        <v>0.09370328681196234</v>
      </c>
      <c r="AX46" s="69">
        <f t="shared" si="34"/>
        <v>0.8316030307441936</v>
      </c>
      <c r="AY46" s="69">
        <f t="shared" si="34"/>
        <v>1.6309523771376917</v>
      </c>
      <c r="AZ46" s="69">
        <f t="shared" si="34"/>
        <v>2.4821108519108264</v>
      </c>
      <c r="BA46" s="69">
        <f t="shared" si="34"/>
        <v>3.3675284230091593</v>
      </c>
      <c r="BB46" s="69">
        <f t="shared" si="34"/>
        <v>4.272566120947668</v>
      </c>
      <c r="BC46" s="69">
        <f>BC43/BC44</f>
        <v>5.1850975825536425</v>
      </c>
    </row>
    <row r="47" spans="1:55" ht="12.75">
      <c r="A47" s="53" t="s">
        <v>72</v>
      </c>
      <c r="B47" s="55"/>
      <c r="C47" s="55"/>
      <c r="AS47" s="70"/>
      <c r="AT47" s="70"/>
      <c r="AU47" s="70"/>
      <c r="AV47" s="70" t="str">
        <f>IF(ISERROR(IRR($AV39:AV$39))," ",IF(IRR($AV39:AV$39)&lt;0," ",IRR($AV39:AV$39)))</f>
        <v> </v>
      </c>
      <c r="AW47" s="70" t="str">
        <f>IF(ISERROR(IRR($AV39:AW$39))," ",IF(IRR($AV39:AW$39)&lt;0," ",IRR($AV39:AW$39)))</f>
        <v> </v>
      </c>
      <c r="AX47" s="70" t="str">
        <f>IF(ISERROR(IRR($AV39:AX$39))," ",IF(IRR($AV39:AX$39)&lt;0," ",IRR($AV39:AX$39)))</f>
        <v> </v>
      </c>
      <c r="AY47" s="70">
        <f>IF(ISERROR(IRR($AV39:AY$39))," ",IF(IRR($AV39:AY$39)&lt;0," ",IRR($AV39:AY$39)))</f>
        <v>0.38741879385231504</v>
      </c>
      <c r="AZ47" s="70">
        <f>IF(ISERROR(IRR($AV39:AZ$39))," ",IF(IRR($AV39:AZ$39)&lt;0," ",IRR($AV39:AZ$39)))</f>
        <v>0.5670491211447739</v>
      </c>
      <c r="BA47" s="70">
        <f>IF(ISERROR(IRR($AV39:BA$39))," ",IF(IRR($AV39:BA$39)&lt;0," ",IRR($AV39:BA$39)))</f>
        <v>0.6562612260990199</v>
      </c>
      <c r="BB47" s="70">
        <f>IF(ISERROR(IRR($AV39:BB$39))," ",IF(IRR($AV39:BB$39)&lt;0," ",IRR($AV39:BB$39)))</f>
        <v>0.7035324037248682</v>
      </c>
      <c r="BC47" s="70">
        <f>IF(ISERROR(IRR($AV39:BC$39))," ",IF(IRR($AV39:BC$39)&lt;0," ",IRR($AV39:BC$39)))</f>
        <v>0.7296940157058553</v>
      </c>
    </row>
    <row r="48" spans="1:3" ht="12.75">
      <c r="A48" s="71" t="s">
        <v>35</v>
      </c>
      <c r="B48" s="59">
        <f>AX35-AX41/AY39</f>
        <v>2.0167188353221133</v>
      </c>
      <c r="C48" s="55"/>
    </row>
    <row r="49" spans="1:3" ht="12.75">
      <c r="A49" s="71" t="s">
        <v>29</v>
      </c>
      <c r="B49" s="59">
        <f>AX35-AX42/AY40</f>
        <v>2.210667551072105</v>
      </c>
      <c r="C49" s="55"/>
    </row>
    <row r="50" spans="1:3" ht="12.75">
      <c r="A50" s="53"/>
      <c r="B50" s="59"/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44" ht="12.75">
      <c r="A62" s="53"/>
      <c r="B62" s="55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97"/>
  <sheetViews>
    <sheetView showGridLines="0" zoomScalePageLayoutView="0" workbookViewId="0" topLeftCell="A1">
      <pane xSplit="2" ySplit="6" topLeftCell="I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W74" sqref="Q74:W74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252</v>
      </c>
      <c r="B4" s="185"/>
    </row>
    <row r="5" spans="1:119" ht="15.75" customHeight="1" hidden="1">
      <c r="A5" s="186" t="s">
        <v>11</v>
      </c>
      <c r="B5" s="187">
        <f>Исх!C36</f>
        <v>0.07</v>
      </c>
      <c r="C5" s="373">
        <v>2012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>
        <v>2013</v>
      </c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>
        <v>2014</v>
      </c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>
        <v>2015</v>
      </c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>
        <v>2016</v>
      </c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>
        <v>2017</v>
      </c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>
        <v>2018</v>
      </c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>
        <v>2019</v>
      </c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>
        <v>2020</v>
      </c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106</v>
      </c>
      <c r="B7" s="193">
        <f>O7+AB7+AO7+BB7+BO7+CB7+CO7+DB7+DO7</f>
        <v>5424.692480000001</v>
      </c>
      <c r="C7" s="194">
        <f>'1-Ф3'!D28</f>
        <v>0</v>
      </c>
      <c r="D7" s="194">
        <f>'1-Ф3'!E28</f>
        <v>0</v>
      </c>
      <c r="E7" s="194">
        <f>'1-Ф3'!F28</f>
        <v>0</v>
      </c>
      <c r="F7" s="194">
        <f>'1-Ф3'!G28</f>
        <v>0</v>
      </c>
      <c r="G7" s="194">
        <f>'1-Ф3'!H28</f>
        <v>0</v>
      </c>
      <c r="H7" s="194">
        <f>'1-Ф3'!I28</f>
        <v>0</v>
      </c>
      <c r="I7" s="194">
        <f>'1-Ф3'!J28</f>
        <v>0</v>
      </c>
      <c r="J7" s="194">
        <f>'1-Ф3'!K28</f>
        <v>0</v>
      </c>
      <c r="K7" s="194">
        <f>'1-Ф3'!L28</f>
        <v>0</v>
      </c>
      <c r="L7" s="194">
        <f>'1-Ф3'!M28</f>
        <v>373.90224</v>
      </c>
      <c r="M7" s="194">
        <f>'1-Ф3'!N28</f>
        <v>5050.79024</v>
      </c>
      <c r="N7" s="194">
        <f>'1-Ф3'!O28</f>
        <v>0</v>
      </c>
      <c r="O7" s="195">
        <f>SUM(C7:N7)</f>
        <v>5424.692480000001</v>
      </c>
      <c r="P7" s="194">
        <f>'1-Ф3'!Q28</f>
        <v>0</v>
      </c>
      <c r="Q7" s="194">
        <f>'1-Ф3'!R28</f>
        <v>0</v>
      </c>
      <c r="R7" s="194">
        <f>'1-Ф3'!S28</f>
        <v>0</v>
      </c>
      <c r="S7" s="194">
        <f>'1-Ф3'!T28</f>
        <v>0</v>
      </c>
      <c r="T7" s="194">
        <f>'1-Ф3'!U28</f>
        <v>0</v>
      </c>
      <c r="U7" s="194">
        <f>'1-Ф3'!V28</f>
        <v>0</v>
      </c>
      <c r="V7" s="194">
        <f>'1-Ф3'!W28</f>
        <v>0</v>
      </c>
      <c r="W7" s="194">
        <f>'1-Ф3'!X28</f>
        <v>0</v>
      </c>
      <c r="X7" s="194">
        <f>'1-Ф3'!Y28</f>
        <v>0</v>
      </c>
      <c r="Y7" s="194">
        <f>'1-Ф3'!Z28</f>
        <v>0</v>
      </c>
      <c r="Z7" s="194">
        <f>'1-Ф3'!AA28</f>
        <v>0</v>
      </c>
      <c r="AA7" s="194">
        <f>'1-Ф3'!AB28</f>
        <v>0</v>
      </c>
      <c r="AB7" s="194">
        <f>SUM(P7:AA7)</f>
        <v>0</v>
      </c>
      <c r="AC7" s="194">
        <f>'1-Ф3'!AD28</f>
        <v>0</v>
      </c>
      <c r="AD7" s="194">
        <f>'1-Ф3'!AE28</f>
        <v>0</v>
      </c>
      <c r="AE7" s="194">
        <f>'1-Ф3'!AF28</f>
        <v>0</v>
      </c>
      <c r="AF7" s="194">
        <f>'1-Ф3'!AG28</f>
        <v>0</v>
      </c>
      <c r="AG7" s="194">
        <f>'1-Ф3'!AH28</f>
        <v>0</v>
      </c>
      <c r="AH7" s="194">
        <f>'1-Ф3'!AI28</f>
        <v>0</v>
      </c>
      <c r="AI7" s="194">
        <f>'1-Ф3'!AJ28</f>
        <v>0</v>
      </c>
      <c r="AJ7" s="194">
        <f>'1-Ф3'!AK28</f>
        <v>0</v>
      </c>
      <c r="AK7" s="194">
        <f>'1-Ф3'!AL28</f>
        <v>0</v>
      </c>
      <c r="AL7" s="194">
        <f>'1-Ф3'!AM28</f>
        <v>0</v>
      </c>
      <c r="AM7" s="194">
        <f>'1-Ф3'!AN28</f>
        <v>0</v>
      </c>
      <c r="AN7" s="194">
        <f>'1-Ф3'!AO28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698.3499646666668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698.3499646666668</v>
      </c>
      <c r="AL8" s="194"/>
      <c r="AM8" s="194"/>
      <c r="AN8" s="194"/>
      <c r="AO8" s="195">
        <f>SUM(AC8:AN8)</f>
        <v>698.3499646666668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2057.053083138204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0</v>
      </c>
      <c r="L9" s="194">
        <f>K12*$B$5/12</f>
        <v>0</v>
      </c>
      <c r="M9" s="194">
        <f t="shared" si="7"/>
        <v>2.1810964000000004</v>
      </c>
      <c r="N9" s="194">
        <f t="shared" si="7"/>
        <v>31.644039466666673</v>
      </c>
      <c r="O9" s="195">
        <f>SUM(C9:N9)</f>
        <v>33.82513586666667</v>
      </c>
      <c r="P9" s="194">
        <f t="shared" si="7"/>
        <v>31.644039466666673</v>
      </c>
      <c r="Q9" s="194">
        <f t="shared" si="7"/>
        <v>31.644039466666673</v>
      </c>
      <c r="R9" s="194">
        <f t="shared" si="7"/>
        <v>31.644039466666673</v>
      </c>
      <c r="S9" s="194">
        <f t="shared" si="7"/>
        <v>31.644039466666673</v>
      </c>
      <c r="T9" s="194">
        <f t="shared" si="7"/>
        <v>31.644039466666673</v>
      </c>
      <c r="U9" s="194">
        <f t="shared" si="7"/>
        <v>31.644039466666673</v>
      </c>
      <c r="V9" s="194">
        <f t="shared" si="7"/>
        <v>31.644039466666673</v>
      </c>
      <c r="W9" s="194">
        <f t="shared" si="7"/>
        <v>31.644039466666673</v>
      </c>
      <c r="X9" s="194">
        <f t="shared" si="7"/>
        <v>31.644039466666673</v>
      </c>
      <c r="Y9" s="194">
        <f t="shared" si="7"/>
        <v>31.644039466666673</v>
      </c>
      <c r="Z9" s="194">
        <f t="shared" si="7"/>
        <v>31.644039466666673</v>
      </c>
      <c r="AA9" s="194">
        <f t="shared" si="7"/>
        <v>31.644039466666673</v>
      </c>
      <c r="AB9" s="195">
        <f>SUM(P9:AA9)</f>
        <v>379.72847360000014</v>
      </c>
      <c r="AC9" s="194">
        <f aca="true" t="shared" si="8" ref="AC9:AN9">AB12*$B$5/12</f>
        <v>31.644039466666673</v>
      </c>
      <c r="AD9" s="194">
        <f t="shared" si="8"/>
        <v>31.644039466666673</v>
      </c>
      <c r="AE9" s="194">
        <f t="shared" si="8"/>
        <v>31.644039466666673</v>
      </c>
      <c r="AF9" s="194">
        <f t="shared" si="8"/>
        <v>31.644039466666673</v>
      </c>
      <c r="AG9" s="194">
        <f t="shared" si="8"/>
        <v>31.644039466666673</v>
      </c>
      <c r="AH9" s="194">
        <f t="shared" si="8"/>
        <v>31.644039466666673</v>
      </c>
      <c r="AI9" s="194">
        <f t="shared" si="8"/>
        <v>31.644039466666673</v>
      </c>
      <c r="AJ9" s="194">
        <f t="shared" si="8"/>
        <v>31.644039466666673</v>
      </c>
      <c r="AK9" s="194">
        <f t="shared" si="8"/>
        <v>31.644039466666673</v>
      </c>
      <c r="AL9" s="194">
        <f t="shared" si="8"/>
        <v>35.717747593888895</v>
      </c>
      <c r="AM9" s="194">
        <f t="shared" si="8"/>
        <v>35.24151095930372</v>
      </c>
      <c r="AN9" s="194">
        <f t="shared" si="8"/>
        <v>34.76527432471853</v>
      </c>
      <c r="AO9" s="195">
        <f>SUM(AC9:AN9)</f>
        <v>390.52088807791114</v>
      </c>
      <c r="AP9" s="194">
        <f aca="true" t="shared" si="9" ref="AP9:BA9">AO12*$B$5/12</f>
        <v>34.28903769013335</v>
      </c>
      <c r="AQ9" s="194">
        <f t="shared" si="9"/>
        <v>33.81280105554817</v>
      </c>
      <c r="AR9" s="194">
        <f t="shared" si="9"/>
        <v>33.33656442096298</v>
      </c>
      <c r="AS9" s="194">
        <f t="shared" si="9"/>
        <v>32.8603277863778</v>
      </c>
      <c r="AT9" s="194">
        <f t="shared" si="9"/>
        <v>32.38409115179262</v>
      </c>
      <c r="AU9" s="194">
        <f t="shared" si="9"/>
        <v>31.907854517207436</v>
      </c>
      <c r="AV9" s="194">
        <f t="shared" si="9"/>
        <v>31.431617882622252</v>
      </c>
      <c r="AW9" s="194">
        <f t="shared" si="9"/>
        <v>30.95538124803707</v>
      </c>
      <c r="AX9" s="194">
        <f t="shared" si="9"/>
        <v>30.47914461345189</v>
      </c>
      <c r="AY9" s="194">
        <f t="shared" si="9"/>
        <v>30.002907978866702</v>
      </c>
      <c r="AZ9" s="194">
        <f t="shared" si="9"/>
        <v>29.52667134428152</v>
      </c>
      <c r="BA9" s="194">
        <f t="shared" si="9"/>
        <v>29.050434709696336</v>
      </c>
      <c r="BB9" s="195">
        <f>SUM(AP9:BA9)</f>
        <v>380.03683439897804</v>
      </c>
      <c r="BC9" s="194">
        <f aca="true" t="shared" si="10" ref="BC9:BN9">BB12*$B$5/12</f>
        <v>28.574198075111156</v>
      </c>
      <c r="BD9" s="194">
        <f t="shared" si="10"/>
        <v>28.097961440525975</v>
      </c>
      <c r="BE9" s="194">
        <f t="shared" si="10"/>
        <v>27.62172480594079</v>
      </c>
      <c r="BF9" s="194">
        <f t="shared" si="10"/>
        <v>27.14548817135561</v>
      </c>
      <c r="BG9" s="194">
        <f t="shared" si="10"/>
        <v>26.669251536770428</v>
      </c>
      <c r="BH9" s="194">
        <f t="shared" si="10"/>
        <v>26.19301490218524</v>
      </c>
      <c r="BI9" s="194">
        <f t="shared" si="10"/>
        <v>25.71677826760006</v>
      </c>
      <c r="BJ9" s="194">
        <f t="shared" si="10"/>
        <v>25.240541633014875</v>
      </c>
      <c r="BK9" s="194">
        <f t="shared" si="10"/>
        <v>24.764304998429694</v>
      </c>
      <c r="BL9" s="194">
        <f t="shared" si="10"/>
        <v>24.288068363844513</v>
      </c>
      <c r="BM9" s="194">
        <f t="shared" si="10"/>
        <v>23.811831729259325</v>
      </c>
      <c r="BN9" s="194">
        <f t="shared" si="10"/>
        <v>23.335595094674144</v>
      </c>
      <c r="BO9" s="195">
        <f>SUM(BC9:BN9)</f>
        <v>311.4587590187118</v>
      </c>
      <c r="BP9" s="194">
        <f aca="true" t="shared" si="11" ref="BP9:CA9">BO12*$B$5/12</f>
        <v>22.859358460088956</v>
      </c>
      <c r="BQ9" s="194">
        <f t="shared" si="11"/>
        <v>22.383121825503768</v>
      </c>
      <c r="BR9" s="194">
        <f t="shared" si="11"/>
        <v>21.906885190918583</v>
      </c>
      <c r="BS9" s="194">
        <f t="shared" si="11"/>
        <v>21.4306485563334</v>
      </c>
      <c r="BT9" s="194">
        <f t="shared" si="11"/>
        <v>20.954411921748214</v>
      </c>
      <c r="BU9" s="194">
        <f t="shared" si="11"/>
        <v>20.47817528716303</v>
      </c>
      <c r="BV9" s="194">
        <f t="shared" si="11"/>
        <v>20.00193865257784</v>
      </c>
      <c r="BW9" s="194">
        <f t="shared" si="11"/>
        <v>19.525702017992657</v>
      </c>
      <c r="BX9" s="194">
        <f t="shared" si="11"/>
        <v>19.049465383407473</v>
      </c>
      <c r="BY9" s="194">
        <f t="shared" si="11"/>
        <v>18.573228748822284</v>
      </c>
      <c r="BZ9" s="194">
        <f t="shared" si="11"/>
        <v>18.0969921142371</v>
      </c>
      <c r="CA9" s="194">
        <f t="shared" si="11"/>
        <v>17.620755479651915</v>
      </c>
      <c r="CB9" s="195">
        <f>SUM(BP9:CA9)</f>
        <v>242.88068363844522</v>
      </c>
      <c r="CC9" s="194">
        <f aca="true" t="shared" si="12" ref="CC9:CN9">CB12*$B$5/12</f>
        <v>17.14451884506673</v>
      </c>
      <c r="CD9" s="194">
        <f t="shared" si="12"/>
        <v>16.668282210481546</v>
      </c>
      <c r="CE9" s="194">
        <f t="shared" si="12"/>
        <v>16.19204557589636</v>
      </c>
      <c r="CF9" s="194">
        <f t="shared" si="12"/>
        <v>15.715808941311174</v>
      </c>
      <c r="CG9" s="194">
        <f t="shared" si="12"/>
        <v>15.23957230672599</v>
      </c>
      <c r="CH9" s="194">
        <f t="shared" si="12"/>
        <v>14.763335672140803</v>
      </c>
      <c r="CI9" s="194">
        <f t="shared" si="12"/>
        <v>14.287099037555619</v>
      </c>
      <c r="CJ9" s="194">
        <f t="shared" si="12"/>
        <v>13.810862402970434</v>
      </c>
      <c r="CK9" s="194">
        <f t="shared" si="12"/>
        <v>13.334625768385246</v>
      </c>
      <c r="CL9" s="194">
        <f t="shared" si="12"/>
        <v>12.858389133800062</v>
      </c>
      <c r="CM9" s="194">
        <f t="shared" si="12"/>
        <v>12.382152499214875</v>
      </c>
      <c r="CN9" s="194">
        <f t="shared" si="12"/>
        <v>11.90591586462969</v>
      </c>
      <c r="CO9" s="195">
        <f>SUM(CC9:CN9)</f>
        <v>174.30260825817854</v>
      </c>
      <c r="CP9" s="194">
        <f aca="true" t="shared" si="13" ref="CP9:DA9">CO12*$B$5/12</f>
        <v>11.429679230044506</v>
      </c>
      <c r="CQ9" s="194">
        <f t="shared" si="13"/>
        <v>10.95344259545932</v>
      </c>
      <c r="CR9" s="194">
        <f t="shared" si="13"/>
        <v>10.477205960874135</v>
      </c>
      <c r="CS9" s="194">
        <f t="shared" si="13"/>
        <v>10.00096932628895</v>
      </c>
      <c r="CT9" s="194">
        <f t="shared" si="13"/>
        <v>9.524732691703763</v>
      </c>
      <c r="CU9" s="194">
        <f t="shared" si="13"/>
        <v>9.048496057118578</v>
      </c>
      <c r="CV9" s="194">
        <f t="shared" si="13"/>
        <v>8.572259422533394</v>
      </c>
      <c r="CW9" s="194">
        <f t="shared" si="13"/>
        <v>8.096022787948208</v>
      </c>
      <c r="CX9" s="194">
        <f t="shared" si="13"/>
        <v>7.619786153363022</v>
      </c>
      <c r="CY9" s="194">
        <f t="shared" si="13"/>
        <v>7.143549518777836</v>
      </c>
      <c r="CZ9" s="194">
        <f t="shared" si="13"/>
        <v>6.6673128841926514</v>
      </c>
      <c r="DA9" s="194">
        <f t="shared" si="13"/>
        <v>6.191076249607466</v>
      </c>
      <c r="DB9" s="195">
        <f>SUM(CP9:DA9)</f>
        <v>105.72453287791183</v>
      </c>
      <c r="DC9" s="194">
        <f aca="true" t="shared" si="14" ref="DC9:DN9">DB12*$B$5/12</f>
        <v>5.714839615022281</v>
      </c>
      <c r="DD9" s="194">
        <f t="shared" si="14"/>
        <v>5.238602980437095</v>
      </c>
      <c r="DE9" s="194">
        <f t="shared" si="14"/>
        <v>4.76236634585191</v>
      </c>
      <c r="DF9" s="194">
        <f t="shared" si="14"/>
        <v>4.2861297112667245</v>
      </c>
      <c r="DG9" s="194">
        <f t="shared" si="14"/>
        <v>3.8098930766815386</v>
      </c>
      <c r="DH9" s="194">
        <f t="shared" si="14"/>
        <v>3.3336564420963537</v>
      </c>
      <c r="DI9" s="194">
        <f t="shared" si="14"/>
        <v>2.857419807511168</v>
      </c>
      <c r="DJ9" s="194">
        <f t="shared" si="14"/>
        <v>2.3811831729259825</v>
      </c>
      <c r="DK9" s="194">
        <f t="shared" si="14"/>
        <v>1.9049465383407973</v>
      </c>
      <c r="DL9" s="194">
        <f t="shared" si="14"/>
        <v>1.428709903755612</v>
      </c>
      <c r="DM9" s="194">
        <f t="shared" si="14"/>
        <v>1.428709903755612</v>
      </c>
      <c r="DN9" s="194">
        <f t="shared" si="14"/>
        <v>1.428709903755612</v>
      </c>
      <c r="DO9" s="195">
        <f>SUM(DC9:DN9)</f>
        <v>38.57516740140068</v>
      </c>
    </row>
    <row r="10" spans="1:120" ht="12.75" hidden="1">
      <c r="A10" s="188" t="s">
        <v>14</v>
      </c>
      <c r="B10" s="193">
        <f>O10+AB10+AO10+BB10+BO10+CB10+CO10+DB10+DO10</f>
        <v>5878.120746880001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81.6405659288889</v>
      </c>
      <c r="AM10" s="194">
        <f aca="true" t="shared" si="15" ref="AM10:CY10">$AK$12/$B$13</f>
        <v>81.6405659288889</v>
      </c>
      <c r="AN10" s="194">
        <f t="shared" si="15"/>
        <v>81.6405659288889</v>
      </c>
      <c r="AO10" s="195">
        <f>SUM(AC10:AN10)</f>
        <v>244.9216977866667</v>
      </c>
      <c r="AP10" s="194">
        <f t="shared" si="15"/>
        <v>81.6405659288889</v>
      </c>
      <c r="AQ10" s="194">
        <f t="shared" si="15"/>
        <v>81.6405659288889</v>
      </c>
      <c r="AR10" s="194">
        <f t="shared" si="15"/>
        <v>81.6405659288889</v>
      </c>
      <c r="AS10" s="194">
        <f t="shared" si="15"/>
        <v>81.6405659288889</v>
      </c>
      <c r="AT10" s="194">
        <f t="shared" si="15"/>
        <v>81.6405659288889</v>
      </c>
      <c r="AU10" s="194">
        <f t="shared" si="15"/>
        <v>81.6405659288889</v>
      </c>
      <c r="AV10" s="194">
        <f t="shared" si="15"/>
        <v>81.6405659288889</v>
      </c>
      <c r="AW10" s="194">
        <f t="shared" si="15"/>
        <v>81.6405659288889</v>
      </c>
      <c r="AX10" s="194">
        <f t="shared" si="15"/>
        <v>81.6405659288889</v>
      </c>
      <c r="AY10" s="194">
        <f t="shared" si="15"/>
        <v>81.6405659288889</v>
      </c>
      <c r="AZ10" s="194">
        <f t="shared" si="15"/>
        <v>81.6405659288889</v>
      </c>
      <c r="BA10" s="194">
        <f t="shared" si="15"/>
        <v>81.6405659288889</v>
      </c>
      <c r="BB10" s="195">
        <f>SUM(AP10:BA10)</f>
        <v>979.6867911466669</v>
      </c>
      <c r="BC10" s="194">
        <f t="shared" si="15"/>
        <v>81.6405659288889</v>
      </c>
      <c r="BD10" s="194">
        <f t="shared" si="15"/>
        <v>81.6405659288889</v>
      </c>
      <c r="BE10" s="194">
        <f t="shared" si="15"/>
        <v>81.6405659288889</v>
      </c>
      <c r="BF10" s="194">
        <f t="shared" si="15"/>
        <v>81.6405659288889</v>
      </c>
      <c r="BG10" s="194">
        <f t="shared" si="15"/>
        <v>81.6405659288889</v>
      </c>
      <c r="BH10" s="194">
        <f t="shared" si="15"/>
        <v>81.6405659288889</v>
      </c>
      <c r="BI10" s="194">
        <f t="shared" si="15"/>
        <v>81.6405659288889</v>
      </c>
      <c r="BJ10" s="194">
        <f t="shared" si="15"/>
        <v>81.6405659288889</v>
      </c>
      <c r="BK10" s="194">
        <f t="shared" si="15"/>
        <v>81.6405659288889</v>
      </c>
      <c r="BL10" s="194">
        <f t="shared" si="15"/>
        <v>81.6405659288889</v>
      </c>
      <c r="BM10" s="194">
        <f t="shared" si="15"/>
        <v>81.6405659288889</v>
      </c>
      <c r="BN10" s="194">
        <f t="shared" si="15"/>
        <v>81.6405659288889</v>
      </c>
      <c r="BO10" s="195">
        <f>SUM(BC10:BN10)</f>
        <v>979.6867911466669</v>
      </c>
      <c r="BP10" s="194">
        <f t="shared" si="15"/>
        <v>81.6405659288889</v>
      </c>
      <c r="BQ10" s="194">
        <f t="shared" si="15"/>
        <v>81.6405659288889</v>
      </c>
      <c r="BR10" s="194">
        <f t="shared" si="15"/>
        <v>81.6405659288889</v>
      </c>
      <c r="BS10" s="194">
        <f t="shared" si="15"/>
        <v>81.6405659288889</v>
      </c>
      <c r="BT10" s="194">
        <f t="shared" si="15"/>
        <v>81.6405659288889</v>
      </c>
      <c r="BU10" s="194">
        <f t="shared" si="15"/>
        <v>81.6405659288889</v>
      </c>
      <c r="BV10" s="194">
        <f t="shared" si="15"/>
        <v>81.6405659288889</v>
      </c>
      <c r="BW10" s="194">
        <f t="shared" si="15"/>
        <v>81.6405659288889</v>
      </c>
      <c r="BX10" s="194">
        <f t="shared" si="15"/>
        <v>81.6405659288889</v>
      </c>
      <c r="BY10" s="194">
        <f t="shared" si="15"/>
        <v>81.6405659288889</v>
      </c>
      <c r="BZ10" s="194">
        <f t="shared" si="15"/>
        <v>81.6405659288889</v>
      </c>
      <c r="CA10" s="194">
        <f t="shared" si="15"/>
        <v>81.6405659288889</v>
      </c>
      <c r="CB10" s="195">
        <f>SUM(BP10:CA10)</f>
        <v>979.6867911466669</v>
      </c>
      <c r="CC10" s="194">
        <f t="shared" si="15"/>
        <v>81.6405659288889</v>
      </c>
      <c r="CD10" s="194">
        <f t="shared" si="15"/>
        <v>81.6405659288889</v>
      </c>
      <c r="CE10" s="194">
        <f t="shared" si="15"/>
        <v>81.6405659288889</v>
      </c>
      <c r="CF10" s="194">
        <f t="shared" si="15"/>
        <v>81.6405659288889</v>
      </c>
      <c r="CG10" s="194">
        <f t="shared" si="15"/>
        <v>81.6405659288889</v>
      </c>
      <c r="CH10" s="194">
        <f t="shared" si="15"/>
        <v>81.6405659288889</v>
      </c>
      <c r="CI10" s="194">
        <f t="shared" si="15"/>
        <v>81.6405659288889</v>
      </c>
      <c r="CJ10" s="194">
        <f t="shared" si="15"/>
        <v>81.6405659288889</v>
      </c>
      <c r="CK10" s="194">
        <f t="shared" si="15"/>
        <v>81.6405659288889</v>
      </c>
      <c r="CL10" s="194">
        <f t="shared" si="15"/>
        <v>81.6405659288889</v>
      </c>
      <c r="CM10" s="194">
        <f t="shared" si="15"/>
        <v>81.6405659288889</v>
      </c>
      <c r="CN10" s="194">
        <f t="shared" si="15"/>
        <v>81.6405659288889</v>
      </c>
      <c r="CO10" s="195">
        <f>SUM(CC10:CN10)</f>
        <v>979.6867911466669</v>
      </c>
      <c r="CP10" s="194">
        <f t="shared" si="15"/>
        <v>81.6405659288889</v>
      </c>
      <c r="CQ10" s="194">
        <f t="shared" si="15"/>
        <v>81.6405659288889</v>
      </c>
      <c r="CR10" s="194">
        <f t="shared" si="15"/>
        <v>81.6405659288889</v>
      </c>
      <c r="CS10" s="194">
        <f t="shared" si="15"/>
        <v>81.6405659288889</v>
      </c>
      <c r="CT10" s="194">
        <f t="shared" si="15"/>
        <v>81.6405659288889</v>
      </c>
      <c r="CU10" s="194">
        <f t="shared" si="15"/>
        <v>81.6405659288889</v>
      </c>
      <c r="CV10" s="194">
        <f t="shared" si="15"/>
        <v>81.6405659288889</v>
      </c>
      <c r="CW10" s="194">
        <f t="shared" si="15"/>
        <v>81.6405659288889</v>
      </c>
      <c r="CX10" s="194">
        <f t="shared" si="15"/>
        <v>81.6405659288889</v>
      </c>
      <c r="CY10" s="194">
        <f t="shared" si="15"/>
        <v>81.6405659288889</v>
      </c>
      <c r="CZ10" s="194">
        <f aca="true" t="shared" si="16" ref="CZ10:DK10">$AK$12/$B$13</f>
        <v>81.6405659288889</v>
      </c>
      <c r="DA10" s="194">
        <f t="shared" si="16"/>
        <v>81.6405659288889</v>
      </c>
      <c r="DB10" s="195">
        <f>SUM(CP10:DA10)</f>
        <v>979.6867911466669</v>
      </c>
      <c r="DC10" s="194">
        <f t="shared" si="16"/>
        <v>81.6405659288889</v>
      </c>
      <c r="DD10" s="194">
        <f t="shared" si="16"/>
        <v>81.6405659288889</v>
      </c>
      <c r="DE10" s="194">
        <f t="shared" si="16"/>
        <v>81.6405659288889</v>
      </c>
      <c r="DF10" s="194">
        <f t="shared" si="16"/>
        <v>81.6405659288889</v>
      </c>
      <c r="DG10" s="194">
        <f t="shared" si="16"/>
        <v>81.6405659288889</v>
      </c>
      <c r="DH10" s="194">
        <f t="shared" si="16"/>
        <v>81.6405659288889</v>
      </c>
      <c r="DI10" s="194">
        <f t="shared" si="16"/>
        <v>81.6405659288889</v>
      </c>
      <c r="DJ10" s="194">
        <f t="shared" si="16"/>
        <v>81.6405659288889</v>
      </c>
      <c r="DK10" s="194">
        <f t="shared" si="16"/>
        <v>81.6405659288889</v>
      </c>
      <c r="DL10" s="194"/>
      <c r="DM10" s="194"/>
      <c r="DN10" s="194"/>
      <c r="DO10" s="195">
        <f>SUM(DC10:DN10)</f>
        <v>734.7650933600002</v>
      </c>
      <c r="DP10" s="196"/>
    </row>
    <row r="11" spans="1:120" ht="12.75" hidden="1">
      <c r="A11" s="188" t="s">
        <v>15</v>
      </c>
      <c r="B11" s="193">
        <f>O11+AB11+AO11+BB11+BO11+CB11+CO11+DB11+DO11</f>
        <v>1358.703118471537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35.717747593888895</v>
      </c>
      <c r="AM11" s="194">
        <f t="shared" si="17"/>
        <v>35.24151095930372</v>
      </c>
      <c r="AN11" s="194">
        <f t="shared" si="17"/>
        <v>34.76527432471853</v>
      </c>
      <c r="AO11" s="195">
        <f>SUM(AC11:AN11)</f>
        <v>105.72453287791114</v>
      </c>
      <c r="AP11" s="194">
        <f t="shared" si="17"/>
        <v>34.28903769013335</v>
      </c>
      <c r="AQ11" s="194">
        <f t="shared" si="17"/>
        <v>33.81280105554817</v>
      </c>
      <c r="AR11" s="194">
        <f t="shared" si="17"/>
        <v>33.33656442096298</v>
      </c>
      <c r="AS11" s="194">
        <f t="shared" si="17"/>
        <v>32.8603277863778</v>
      </c>
      <c r="AT11" s="194">
        <f t="shared" si="17"/>
        <v>32.38409115179262</v>
      </c>
      <c r="AU11" s="194">
        <f t="shared" si="17"/>
        <v>31.907854517207436</v>
      </c>
      <c r="AV11" s="194">
        <f t="shared" si="17"/>
        <v>31.431617882622252</v>
      </c>
      <c r="AW11" s="194">
        <f t="shared" si="17"/>
        <v>30.95538124803707</v>
      </c>
      <c r="AX11" s="194">
        <f t="shared" si="17"/>
        <v>30.47914461345189</v>
      </c>
      <c r="AY11" s="194">
        <f t="shared" si="17"/>
        <v>30.002907978866702</v>
      </c>
      <c r="AZ11" s="194">
        <f t="shared" si="17"/>
        <v>29.52667134428152</v>
      </c>
      <c r="BA11" s="194">
        <f t="shared" si="17"/>
        <v>29.050434709696336</v>
      </c>
      <c r="BB11" s="195">
        <f>SUM(AP11:BA11)</f>
        <v>380.03683439897804</v>
      </c>
      <c r="BC11" s="194">
        <f t="shared" si="17"/>
        <v>28.574198075111156</v>
      </c>
      <c r="BD11" s="194">
        <f t="shared" si="17"/>
        <v>28.097961440525975</v>
      </c>
      <c r="BE11" s="194">
        <f t="shared" si="17"/>
        <v>27.62172480594079</v>
      </c>
      <c r="BF11" s="194">
        <f t="shared" si="17"/>
        <v>27.14548817135561</v>
      </c>
      <c r="BG11" s="194">
        <f t="shared" si="17"/>
        <v>26.669251536770428</v>
      </c>
      <c r="BH11" s="194">
        <f t="shared" si="17"/>
        <v>26.19301490218524</v>
      </c>
      <c r="BI11" s="194">
        <f t="shared" si="17"/>
        <v>25.71677826760006</v>
      </c>
      <c r="BJ11" s="194">
        <f t="shared" si="17"/>
        <v>25.240541633014875</v>
      </c>
      <c r="BK11" s="194">
        <f t="shared" si="17"/>
        <v>24.764304998429694</v>
      </c>
      <c r="BL11" s="194">
        <f t="shared" si="17"/>
        <v>24.288068363844513</v>
      </c>
      <c r="BM11" s="194">
        <f t="shared" si="17"/>
        <v>23.811831729259325</v>
      </c>
      <c r="BN11" s="194">
        <f t="shared" si="17"/>
        <v>23.335595094674144</v>
      </c>
      <c r="BO11" s="195">
        <f>SUM(BC11:BN11)</f>
        <v>311.4587590187118</v>
      </c>
      <c r="BP11" s="194">
        <f aca="true" t="shared" si="18" ref="BP11:CA11">BP9</f>
        <v>22.859358460088956</v>
      </c>
      <c r="BQ11" s="194">
        <f t="shared" si="18"/>
        <v>22.383121825503768</v>
      </c>
      <c r="BR11" s="194">
        <f t="shared" si="18"/>
        <v>21.906885190918583</v>
      </c>
      <c r="BS11" s="194">
        <f t="shared" si="18"/>
        <v>21.4306485563334</v>
      </c>
      <c r="BT11" s="194">
        <f t="shared" si="18"/>
        <v>20.954411921748214</v>
      </c>
      <c r="BU11" s="194">
        <f t="shared" si="18"/>
        <v>20.47817528716303</v>
      </c>
      <c r="BV11" s="194">
        <f t="shared" si="18"/>
        <v>20.00193865257784</v>
      </c>
      <c r="BW11" s="194">
        <f t="shared" si="18"/>
        <v>19.525702017992657</v>
      </c>
      <c r="BX11" s="194">
        <f t="shared" si="18"/>
        <v>19.049465383407473</v>
      </c>
      <c r="BY11" s="194">
        <f t="shared" si="18"/>
        <v>18.573228748822284</v>
      </c>
      <c r="BZ11" s="194">
        <f t="shared" si="18"/>
        <v>18.0969921142371</v>
      </c>
      <c r="CA11" s="194">
        <f t="shared" si="18"/>
        <v>17.620755479651915</v>
      </c>
      <c r="CB11" s="195">
        <f>SUM(BP11:CA11)</f>
        <v>242.88068363844522</v>
      </c>
      <c r="CC11" s="194">
        <f aca="true" t="shared" si="19" ref="CC11:CN11">CC9</f>
        <v>17.14451884506673</v>
      </c>
      <c r="CD11" s="194">
        <f t="shared" si="19"/>
        <v>16.668282210481546</v>
      </c>
      <c r="CE11" s="194">
        <f t="shared" si="19"/>
        <v>16.19204557589636</v>
      </c>
      <c r="CF11" s="194">
        <f t="shared" si="19"/>
        <v>15.715808941311174</v>
      </c>
      <c r="CG11" s="194">
        <f t="shared" si="19"/>
        <v>15.23957230672599</v>
      </c>
      <c r="CH11" s="194">
        <f t="shared" si="19"/>
        <v>14.763335672140803</v>
      </c>
      <c r="CI11" s="194">
        <f t="shared" si="19"/>
        <v>14.287099037555619</v>
      </c>
      <c r="CJ11" s="194">
        <f t="shared" si="19"/>
        <v>13.810862402970434</v>
      </c>
      <c r="CK11" s="194">
        <f t="shared" si="19"/>
        <v>13.334625768385246</v>
      </c>
      <c r="CL11" s="194">
        <f t="shared" si="19"/>
        <v>12.858389133800062</v>
      </c>
      <c r="CM11" s="194">
        <f t="shared" si="19"/>
        <v>12.382152499214875</v>
      </c>
      <c r="CN11" s="194">
        <f t="shared" si="19"/>
        <v>11.90591586462969</v>
      </c>
      <c r="CO11" s="195">
        <f>SUM(CC11:CN11)</f>
        <v>174.30260825817854</v>
      </c>
      <c r="CP11" s="194">
        <f aca="true" t="shared" si="20" ref="CP11:DA11">CP9</f>
        <v>11.429679230044506</v>
      </c>
      <c r="CQ11" s="194">
        <f t="shared" si="20"/>
        <v>10.95344259545932</v>
      </c>
      <c r="CR11" s="194">
        <f t="shared" si="20"/>
        <v>10.477205960874135</v>
      </c>
      <c r="CS11" s="194">
        <f t="shared" si="20"/>
        <v>10.00096932628895</v>
      </c>
      <c r="CT11" s="194">
        <f t="shared" si="20"/>
        <v>9.524732691703763</v>
      </c>
      <c r="CU11" s="194">
        <f t="shared" si="20"/>
        <v>9.048496057118578</v>
      </c>
      <c r="CV11" s="194">
        <f t="shared" si="20"/>
        <v>8.572259422533394</v>
      </c>
      <c r="CW11" s="194">
        <f t="shared" si="20"/>
        <v>8.096022787948208</v>
      </c>
      <c r="CX11" s="194">
        <f t="shared" si="20"/>
        <v>7.619786153363022</v>
      </c>
      <c r="CY11" s="194">
        <f t="shared" si="20"/>
        <v>7.143549518777836</v>
      </c>
      <c r="CZ11" s="194">
        <f t="shared" si="20"/>
        <v>6.6673128841926514</v>
      </c>
      <c r="DA11" s="194">
        <f t="shared" si="20"/>
        <v>6.191076249607466</v>
      </c>
      <c r="DB11" s="195">
        <f>SUM(CP11:DA11)</f>
        <v>105.72453287791183</v>
      </c>
      <c r="DC11" s="194">
        <f aca="true" t="shared" si="21" ref="DC11:DN11">DC9</f>
        <v>5.714839615022281</v>
      </c>
      <c r="DD11" s="194">
        <f t="shared" si="21"/>
        <v>5.238602980437095</v>
      </c>
      <c r="DE11" s="194">
        <f t="shared" si="21"/>
        <v>4.76236634585191</v>
      </c>
      <c r="DF11" s="194">
        <f t="shared" si="21"/>
        <v>4.2861297112667245</v>
      </c>
      <c r="DG11" s="194">
        <f t="shared" si="21"/>
        <v>3.8098930766815386</v>
      </c>
      <c r="DH11" s="194">
        <f t="shared" si="21"/>
        <v>3.3336564420963537</v>
      </c>
      <c r="DI11" s="194">
        <f t="shared" si="21"/>
        <v>2.857419807511168</v>
      </c>
      <c r="DJ11" s="194">
        <f t="shared" si="21"/>
        <v>2.3811831729259825</v>
      </c>
      <c r="DK11" s="194">
        <f t="shared" si="21"/>
        <v>1.9049465383407973</v>
      </c>
      <c r="DL11" s="194">
        <f t="shared" si="21"/>
        <v>1.428709903755612</v>
      </c>
      <c r="DM11" s="194">
        <f t="shared" si="21"/>
        <v>1.428709903755612</v>
      </c>
      <c r="DN11" s="194">
        <f t="shared" si="21"/>
        <v>1.428709903755612</v>
      </c>
      <c r="DO11" s="195">
        <f>SUM(DC11:DN11)</f>
        <v>38.57516740140068</v>
      </c>
      <c r="DP11" s="196" t="s">
        <v>58</v>
      </c>
    </row>
    <row r="12" spans="1:120" ht="12.75" hidden="1">
      <c r="A12" s="188" t="s">
        <v>16</v>
      </c>
      <c r="B12" s="193">
        <f>DO12</f>
        <v>244.9216977866763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0</v>
      </c>
      <c r="K12" s="194">
        <f t="shared" si="22"/>
        <v>0</v>
      </c>
      <c r="L12" s="194">
        <f t="shared" si="22"/>
        <v>373.90224</v>
      </c>
      <c r="M12" s="194">
        <f>L12+M7-M10+M8</f>
        <v>5424.692480000001</v>
      </c>
      <c r="N12" s="194">
        <f>M12+N7-N10+N8</f>
        <v>5424.692480000001</v>
      </c>
      <c r="O12" s="195">
        <f>N12</f>
        <v>5424.692480000001</v>
      </c>
      <c r="P12" s="194">
        <f>O12+P7-P10+P8</f>
        <v>5424.692480000001</v>
      </c>
      <c r="Q12" s="194">
        <f aca="true" t="shared" si="23" ref="Q12:Z12">P12+Q7-Q10+Q8</f>
        <v>5424.692480000001</v>
      </c>
      <c r="R12" s="194">
        <f t="shared" si="23"/>
        <v>5424.692480000001</v>
      </c>
      <c r="S12" s="194">
        <f t="shared" si="23"/>
        <v>5424.692480000001</v>
      </c>
      <c r="T12" s="194">
        <f t="shared" si="23"/>
        <v>5424.692480000001</v>
      </c>
      <c r="U12" s="194">
        <f t="shared" si="23"/>
        <v>5424.692480000001</v>
      </c>
      <c r="V12" s="194">
        <f t="shared" si="23"/>
        <v>5424.692480000001</v>
      </c>
      <c r="W12" s="194">
        <f t="shared" si="23"/>
        <v>5424.692480000001</v>
      </c>
      <c r="X12" s="194">
        <f t="shared" si="23"/>
        <v>5424.692480000001</v>
      </c>
      <c r="Y12" s="194">
        <f t="shared" si="23"/>
        <v>5424.692480000001</v>
      </c>
      <c r="Z12" s="194">
        <f t="shared" si="23"/>
        <v>5424.692480000001</v>
      </c>
      <c r="AA12" s="194">
        <f>Z12+AA7-AA10+AA8</f>
        <v>5424.692480000001</v>
      </c>
      <c r="AB12" s="195">
        <f>AA12</f>
        <v>5424.692480000001</v>
      </c>
      <c r="AC12" s="194">
        <f>AB12+AC7-AC10+AC8</f>
        <v>5424.692480000001</v>
      </c>
      <c r="AD12" s="194">
        <f aca="true" t="shared" si="24" ref="AD12:AN12">AC12+AD7-AD10+AD8</f>
        <v>5424.692480000001</v>
      </c>
      <c r="AE12" s="194">
        <f t="shared" si="24"/>
        <v>5424.692480000001</v>
      </c>
      <c r="AF12" s="194">
        <f t="shared" si="24"/>
        <v>5424.692480000001</v>
      </c>
      <c r="AG12" s="194">
        <f t="shared" si="24"/>
        <v>5424.692480000001</v>
      </c>
      <c r="AH12" s="194">
        <f t="shared" si="24"/>
        <v>5424.692480000001</v>
      </c>
      <c r="AI12" s="194">
        <f t="shared" si="24"/>
        <v>5424.692480000001</v>
      </c>
      <c r="AJ12" s="194">
        <f t="shared" si="24"/>
        <v>5424.692480000001</v>
      </c>
      <c r="AK12" s="194">
        <f t="shared" si="24"/>
        <v>6123.0424446666675</v>
      </c>
      <c r="AL12" s="194">
        <f t="shared" si="24"/>
        <v>6041.401878737779</v>
      </c>
      <c r="AM12" s="194">
        <f t="shared" si="24"/>
        <v>5959.761312808891</v>
      </c>
      <c r="AN12" s="194">
        <f t="shared" si="24"/>
        <v>5878.120746880002</v>
      </c>
      <c r="AO12" s="195">
        <f>AN12</f>
        <v>5878.120746880002</v>
      </c>
      <c r="AP12" s="194">
        <f>AO12+AP7-AP10+AP8</f>
        <v>5796.480180951114</v>
      </c>
      <c r="AQ12" s="194">
        <f aca="true" t="shared" si="25" ref="AQ12:BA12">AP12+AQ7-AQ10+AQ8</f>
        <v>5714.839615022225</v>
      </c>
      <c r="AR12" s="194">
        <f t="shared" si="25"/>
        <v>5633.199049093337</v>
      </c>
      <c r="AS12" s="194">
        <f t="shared" si="25"/>
        <v>5551.558483164448</v>
      </c>
      <c r="AT12" s="194">
        <f t="shared" si="25"/>
        <v>5469.91791723556</v>
      </c>
      <c r="AU12" s="194">
        <f t="shared" si="25"/>
        <v>5388.277351306671</v>
      </c>
      <c r="AV12" s="194">
        <f t="shared" si="25"/>
        <v>5306.636785377783</v>
      </c>
      <c r="AW12" s="194">
        <f t="shared" si="25"/>
        <v>5224.996219448894</v>
      </c>
      <c r="AX12" s="194">
        <f t="shared" si="25"/>
        <v>5143.355653520006</v>
      </c>
      <c r="AY12" s="194">
        <f t="shared" si="25"/>
        <v>5061.7150875911175</v>
      </c>
      <c r="AZ12" s="194">
        <f t="shared" si="25"/>
        <v>4980.074521662229</v>
      </c>
      <c r="BA12" s="194">
        <f t="shared" si="25"/>
        <v>4898.433955733341</v>
      </c>
      <c r="BB12" s="195">
        <f>BA12</f>
        <v>4898.433955733341</v>
      </c>
      <c r="BC12" s="194">
        <f>BB12+BC7-BC10+BC8</f>
        <v>4816.793389804452</v>
      </c>
      <c r="BD12" s="194">
        <f aca="true" t="shared" si="26" ref="BD12:BN12">BC12+BD7-BD10+BD8</f>
        <v>4735.152823875564</v>
      </c>
      <c r="BE12" s="194">
        <f t="shared" si="26"/>
        <v>4653.512257946675</v>
      </c>
      <c r="BF12" s="194">
        <f t="shared" si="26"/>
        <v>4571.871692017787</v>
      </c>
      <c r="BG12" s="194">
        <f t="shared" si="26"/>
        <v>4490.231126088898</v>
      </c>
      <c r="BH12" s="194">
        <f t="shared" si="26"/>
        <v>4408.59056016001</v>
      </c>
      <c r="BI12" s="194">
        <f t="shared" si="26"/>
        <v>4326.949994231121</v>
      </c>
      <c r="BJ12" s="194">
        <f t="shared" si="26"/>
        <v>4245.309428302233</v>
      </c>
      <c r="BK12" s="194">
        <f t="shared" si="26"/>
        <v>4163.668862373344</v>
      </c>
      <c r="BL12" s="194">
        <f t="shared" si="26"/>
        <v>4082.0282964444555</v>
      </c>
      <c r="BM12" s="194">
        <f t="shared" si="26"/>
        <v>4000.3877305155665</v>
      </c>
      <c r="BN12" s="194">
        <f t="shared" si="26"/>
        <v>3918.7471645866776</v>
      </c>
      <c r="BO12" s="195">
        <f>BN12</f>
        <v>3918.7471645866776</v>
      </c>
      <c r="BP12" s="194">
        <f aca="true" t="shared" si="27" ref="BP12:CA12">BO12+BP7-BP10+BP8</f>
        <v>3837.1065986577887</v>
      </c>
      <c r="BQ12" s="194">
        <f t="shared" si="27"/>
        <v>3755.4660327289</v>
      </c>
      <c r="BR12" s="194">
        <f t="shared" si="27"/>
        <v>3673.825466800011</v>
      </c>
      <c r="BS12" s="194">
        <f t="shared" si="27"/>
        <v>3592.184900871122</v>
      </c>
      <c r="BT12" s="194">
        <f t="shared" si="27"/>
        <v>3510.544334942233</v>
      </c>
      <c r="BU12" s="194">
        <f t="shared" si="27"/>
        <v>3428.903769013344</v>
      </c>
      <c r="BV12" s="194">
        <f t="shared" si="27"/>
        <v>3347.263203084455</v>
      </c>
      <c r="BW12" s="194">
        <f t="shared" si="27"/>
        <v>3265.6226371555663</v>
      </c>
      <c r="BX12" s="194">
        <f t="shared" si="27"/>
        <v>3183.9820712266774</v>
      </c>
      <c r="BY12" s="194">
        <f t="shared" si="27"/>
        <v>3102.3415052977884</v>
      </c>
      <c r="BZ12" s="194">
        <f t="shared" si="27"/>
        <v>3020.7009393688995</v>
      </c>
      <c r="CA12" s="194">
        <f t="shared" si="27"/>
        <v>2939.0603734400106</v>
      </c>
      <c r="CB12" s="195">
        <f>CA12</f>
        <v>2939.0603734400106</v>
      </c>
      <c r="CC12" s="194">
        <f aca="true" t="shared" si="28" ref="CC12:CN12">CB12+CC7-CC10+CC8</f>
        <v>2857.4198075111217</v>
      </c>
      <c r="CD12" s="194">
        <f t="shared" si="28"/>
        <v>2775.7792415822328</v>
      </c>
      <c r="CE12" s="194">
        <f t="shared" si="28"/>
        <v>2694.138675653344</v>
      </c>
      <c r="CF12" s="194">
        <f t="shared" si="28"/>
        <v>2612.498109724455</v>
      </c>
      <c r="CG12" s="194">
        <f t="shared" si="28"/>
        <v>2530.857543795566</v>
      </c>
      <c r="CH12" s="194">
        <f t="shared" si="28"/>
        <v>2449.216977866677</v>
      </c>
      <c r="CI12" s="194">
        <f t="shared" si="28"/>
        <v>2367.576411937788</v>
      </c>
      <c r="CJ12" s="194">
        <f t="shared" si="28"/>
        <v>2285.9358460088993</v>
      </c>
      <c r="CK12" s="194">
        <f t="shared" si="28"/>
        <v>2204.2952800800103</v>
      </c>
      <c r="CL12" s="194">
        <f t="shared" si="28"/>
        <v>2122.6547141511214</v>
      </c>
      <c r="CM12" s="194">
        <f t="shared" si="28"/>
        <v>2041.0141482222325</v>
      </c>
      <c r="CN12" s="194">
        <f t="shared" si="28"/>
        <v>1959.3735822933436</v>
      </c>
      <c r="CO12" s="195">
        <f>CN12</f>
        <v>1959.3735822933436</v>
      </c>
      <c r="CP12" s="194">
        <f aca="true" t="shared" si="29" ref="CP12:DA12">CO12+CP7-CP10+CP8</f>
        <v>1877.7330163644547</v>
      </c>
      <c r="CQ12" s="194">
        <f t="shared" si="29"/>
        <v>1796.0924504355658</v>
      </c>
      <c r="CR12" s="194">
        <f t="shared" si="29"/>
        <v>1714.4518845066768</v>
      </c>
      <c r="CS12" s="194">
        <f t="shared" si="29"/>
        <v>1632.811318577788</v>
      </c>
      <c r="CT12" s="194">
        <f t="shared" si="29"/>
        <v>1551.170752648899</v>
      </c>
      <c r="CU12" s="194">
        <f t="shared" si="29"/>
        <v>1469.53018672001</v>
      </c>
      <c r="CV12" s="194">
        <f t="shared" si="29"/>
        <v>1387.8896207911212</v>
      </c>
      <c r="CW12" s="194">
        <f t="shared" si="29"/>
        <v>1306.2490548622322</v>
      </c>
      <c r="CX12" s="194">
        <f t="shared" si="29"/>
        <v>1224.6084889333433</v>
      </c>
      <c r="CY12" s="194">
        <f t="shared" si="29"/>
        <v>1142.9679230044544</v>
      </c>
      <c r="CZ12" s="194">
        <f t="shared" si="29"/>
        <v>1061.3273570755655</v>
      </c>
      <c r="DA12" s="194">
        <f t="shared" si="29"/>
        <v>979.6867911466766</v>
      </c>
      <c r="DB12" s="195">
        <f>DA12</f>
        <v>979.6867911466766</v>
      </c>
      <c r="DC12" s="194">
        <f aca="true" t="shared" si="30" ref="DC12:DN12">DB12+DC7-DC10+DC8</f>
        <v>898.0462252177877</v>
      </c>
      <c r="DD12" s="194">
        <f t="shared" si="30"/>
        <v>816.4056592888987</v>
      </c>
      <c r="DE12" s="194">
        <f t="shared" si="30"/>
        <v>734.7650933600098</v>
      </c>
      <c r="DF12" s="194">
        <f t="shared" si="30"/>
        <v>653.1245274311209</v>
      </c>
      <c r="DG12" s="194">
        <f t="shared" si="30"/>
        <v>571.483961502232</v>
      </c>
      <c r="DH12" s="194">
        <f t="shared" si="30"/>
        <v>489.84339557334306</v>
      </c>
      <c r="DI12" s="194">
        <f t="shared" si="30"/>
        <v>408.20282964445414</v>
      </c>
      <c r="DJ12" s="194">
        <f t="shared" si="30"/>
        <v>326.5622637155652</v>
      </c>
      <c r="DK12" s="194">
        <f t="shared" si="30"/>
        <v>244.9216977866763</v>
      </c>
      <c r="DL12" s="194">
        <f t="shared" si="30"/>
        <v>244.9216977866763</v>
      </c>
      <c r="DM12" s="194">
        <f t="shared" si="30"/>
        <v>244.9216977866763</v>
      </c>
      <c r="DN12" s="194">
        <f t="shared" si="30"/>
        <v>244.9216977866763</v>
      </c>
      <c r="DO12" s="195">
        <f>DN12</f>
        <v>244.9216977866763</v>
      </c>
      <c r="DP12" s="200">
        <f>MAX(C12:BO12)</f>
        <v>6123.0424446666675</v>
      </c>
    </row>
    <row r="13" spans="1:120" ht="12.75" hidden="1">
      <c r="A13" s="177" t="s">
        <v>78</v>
      </c>
      <c r="B13" s="177">
        <f>Исх!C37*12-Исх!C38</f>
        <v>75</v>
      </c>
      <c r="DP13" s="180"/>
    </row>
    <row r="14" ht="12.75" hidden="1"/>
    <row r="15" ht="12.75" hidden="1">
      <c r="A15" s="270" t="s">
        <v>240</v>
      </c>
    </row>
    <row r="16" ht="12.75" hidden="1" outlineLevel="1">
      <c r="A16" s="271">
        <f>B7+B8-B10</f>
        <v>244.9216977866663</v>
      </c>
    </row>
    <row r="17" ht="12.75" hidden="1" outlineLevel="1">
      <c r="A17" s="271">
        <f>B9-B8-B11</f>
        <v>0</v>
      </c>
    </row>
    <row r="18" ht="12.75" hidden="1" collapsed="1"/>
    <row r="19" spans="1:119" ht="12.75">
      <c r="A19" s="296" t="s">
        <v>267</v>
      </c>
      <c r="B19" s="297"/>
      <c r="DB19" s="177"/>
      <c r="DO19" s="177"/>
    </row>
    <row r="20" spans="1:119" ht="15.75" customHeight="1">
      <c r="A20" s="186" t="s">
        <v>11</v>
      </c>
      <c r="B20" s="286">
        <f>Исх!C36</f>
        <v>0.07</v>
      </c>
      <c r="C20" s="373">
        <v>2013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>
        <v>2014</v>
      </c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>
        <v>2015</v>
      </c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>
        <v>2016</v>
      </c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>
        <v>2017</v>
      </c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>
        <v>2018</v>
      </c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>
        <v>2019</v>
      </c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>
        <v>2020</v>
      </c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>
        <v>2021</v>
      </c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106</v>
      </c>
      <c r="B22" s="193">
        <f>O22+AB22+AO22+BB22+BO22+CB22+CO22+DB22+DO22</f>
        <v>5424.692480000001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0</v>
      </c>
      <c r="K22" s="194">
        <f t="shared" si="40"/>
        <v>0</v>
      </c>
      <c r="L22" s="194">
        <f t="shared" si="40"/>
        <v>373.90224</v>
      </c>
      <c r="M22" s="194">
        <f t="shared" si="40"/>
        <v>5050.79024</v>
      </c>
      <c r="N22" s="194">
        <f t="shared" si="40"/>
        <v>0</v>
      </c>
      <c r="O22" s="195">
        <f>SUM(C22:N22)</f>
        <v>5424.692480000001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94.93211840000002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6.543289200000001</v>
      </c>
      <c r="Q23" s="194">
        <f t="shared" si="50"/>
        <v>88.38882920000002</v>
      </c>
      <c r="R23" s="194">
        <f t="shared" si="50"/>
        <v>0</v>
      </c>
      <c r="S23" s="194">
        <f t="shared" si="50"/>
        <v>0</v>
      </c>
      <c r="T23" s="194">
        <f t="shared" si="50"/>
        <v>0</v>
      </c>
      <c r="U23" s="194">
        <f t="shared" si="50"/>
        <v>0</v>
      </c>
      <c r="V23" s="194">
        <f t="shared" si="50"/>
        <v>0</v>
      </c>
      <c r="W23" s="194">
        <f t="shared" si="50"/>
        <v>0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94.93211840000002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1599.1280913837743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0</v>
      </c>
      <c r="L24" s="194">
        <f t="shared" si="49"/>
        <v>0</v>
      </c>
      <c r="M24" s="194">
        <f t="shared" si="49"/>
        <v>2.1810964000000004</v>
      </c>
      <c r="N24" s="194">
        <f t="shared" si="49"/>
        <v>31.644039466666673</v>
      </c>
      <c r="O24" s="195">
        <f>SUM(C24:N24)</f>
        <v>33.82513586666667</v>
      </c>
      <c r="P24" s="194">
        <f aca="true" t="shared" si="58" ref="P24:AA24">P40+P56+P72+P88</f>
        <v>31.644039466666673</v>
      </c>
      <c r="Q24" s="194">
        <f t="shared" si="58"/>
        <v>31.68220865366667</v>
      </c>
      <c r="R24" s="194">
        <f t="shared" si="58"/>
        <v>32.19781015733334</v>
      </c>
      <c r="S24" s="194">
        <f t="shared" si="58"/>
        <v>32.19781015733334</v>
      </c>
      <c r="T24" s="194">
        <f t="shared" si="58"/>
        <v>32.19781015733334</v>
      </c>
      <c r="U24" s="194">
        <f t="shared" si="58"/>
        <v>32.19781015733334</v>
      </c>
      <c r="V24" s="194">
        <f t="shared" si="58"/>
        <v>32.19781015733334</v>
      </c>
      <c r="W24" s="194">
        <f t="shared" si="58"/>
        <v>32.19781015733334</v>
      </c>
      <c r="X24" s="194">
        <f t="shared" si="58"/>
        <v>32.174137464255864</v>
      </c>
      <c r="Y24" s="194">
        <f t="shared" si="58"/>
        <v>31.830548421985377</v>
      </c>
      <c r="Z24" s="194">
        <f t="shared" si="58"/>
        <v>31.48495511030164</v>
      </c>
      <c r="AA24" s="194">
        <f t="shared" si="58"/>
        <v>31.137345837633084</v>
      </c>
      <c r="AB24" s="195">
        <f>SUM(P24:AA24)</f>
        <v>383.1400958985094</v>
      </c>
      <c r="AC24" s="194">
        <f aca="true" t="shared" si="59" ref="AC24:AN24">AC40+AC56+AC72+AC88</f>
        <v>30.787708844207298</v>
      </c>
      <c r="AD24" s="194">
        <f t="shared" si="59"/>
        <v>30.436032301653192</v>
      </c>
      <c r="AE24" s="194">
        <f t="shared" si="59"/>
        <v>30.082304312600854</v>
      </c>
      <c r="AF24" s="194">
        <f t="shared" si="59"/>
        <v>29.726512910279045</v>
      </c>
      <c r="AG24" s="194">
        <f t="shared" si="59"/>
        <v>29.368646058110357</v>
      </c>
      <c r="AH24" s="194">
        <f t="shared" si="59"/>
        <v>29.00869164930402</v>
      </c>
      <c r="AI24" s="194">
        <f t="shared" si="59"/>
        <v>28.646637506446314</v>
      </c>
      <c r="AJ24" s="194">
        <f t="shared" si="59"/>
        <v>28.282471381088605</v>
      </c>
      <c r="AK24" s="194">
        <f t="shared" si="59"/>
        <v>27.916180953332972</v>
      </c>
      <c r="AL24" s="194">
        <f t="shared" si="59"/>
        <v>27.547753831415438</v>
      </c>
      <c r="AM24" s="194">
        <f t="shared" si="59"/>
        <v>27.17717755128671</v>
      </c>
      <c r="AN24" s="194">
        <f t="shared" si="59"/>
        <v>26.804439576190568</v>
      </c>
      <c r="AO24" s="195">
        <f>SUM(AC24:AN24)</f>
        <v>345.7845568759154</v>
      </c>
      <c r="AP24" s="194">
        <f aca="true" t="shared" si="60" ref="AP24:BA24">AP40+AP56+AP72+AP88</f>
        <v>26.429527296239698</v>
      </c>
      <c r="AQ24" s="194">
        <f t="shared" si="60"/>
        <v>26.052428027989123</v>
      </c>
      <c r="AR24" s="194">
        <f t="shared" si="60"/>
        <v>25.673129014007074</v>
      </c>
      <c r="AS24" s="194">
        <f t="shared" si="60"/>
        <v>25.29161742244347</v>
      </c>
      <c r="AT24" s="194">
        <f t="shared" si="60"/>
        <v>24.907880346595746</v>
      </c>
      <c r="AU24" s="194">
        <f t="shared" si="60"/>
        <v>24.52190480447224</v>
      </c>
      <c r="AV24" s="194">
        <f t="shared" si="60"/>
        <v>24.133677738353015</v>
      </c>
      <c r="AW24" s="194">
        <f t="shared" si="60"/>
        <v>23.743186014348098</v>
      </c>
      <c r="AX24" s="194">
        <f t="shared" si="60"/>
        <v>23.350416421953145</v>
      </c>
      <c r="AY24" s="194">
        <f t="shared" si="60"/>
        <v>22.955355673602558</v>
      </c>
      <c r="AZ24" s="194">
        <f t="shared" si="60"/>
        <v>22.55799040421993</v>
      </c>
      <c r="BA24" s="194">
        <f t="shared" si="60"/>
        <v>22.158307170765898</v>
      </c>
      <c r="BB24" s="195">
        <f>SUM(AP24:BA24)</f>
        <v>291.77542033499003</v>
      </c>
      <c r="BC24" s="194">
        <f aca="true" t="shared" si="61" ref="BC24:BN24">BC40+BC56+BC72+BC88</f>
        <v>21.75629245178338</v>
      </c>
      <c r="BD24" s="194">
        <f t="shared" si="61"/>
        <v>21.35193264694014</v>
      </c>
      <c r="BE24" s="194">
        <f t="shared" si="61"/>
        <v>20.94521407656864</v>
      </c>
      <c r="BF24" s="194">
        <f t="shared" si="61"/>
        <v>20.536122981203313</v>
      </c>
      <c r="BG24" s="194">
        <f t="shared" si="61"/>
        <v>20.124645521115013</v>
      </c>
      <c r="BH24" s="194">
        <f t="shared" si="61"/>
        <v>19.71076777584287</v>
      </c>
      <c r="BI24" s="194">
        <f t="shared" si="61"/>
        <v>19.294475743723307</v>
      </c>
      <c r="BJ24" s="194">
        <f t="shared" si="61"/>
        <v>18.87575534141638</v>
      </c>
      <c r="BK24" s="194">
        <f t="shared" si="61"/>
        <v>18.454592403429327</v>
      </c>
      <c r="BL24" s="194">
        <f t="shared" si="61"/>
        <v>18.030972681637348</v>
      </c>
      <c r="BM24" s="194">
        <f t="shared" si="61"/>
        <v>17.604881844801586</v>
      </c>
      <c r="BN24" s="194">
        <f t="shared" si="61"/>
        <v>17.17630547808428</v>
      </c>
      <c r="BO24" s="195">
        <f>SUM(BC24:BN24)</f>
        <v>233.86195894654557</v>
      </c>
      <c r="BP24" s="194">
        <f aca="true" t="shared" si="62" ref="BP24:CA24">BP40+BP56+BP72+BP88</f>
        <v>16.745229082561128</v>
      </c>
      <c r="BQ24" s="194">
        <f t="shared" si="62"/>
        <v>16.31163807473075</v>
      </c>
      <c r="BR24" s="194">
        <f t="shared" si="62"/>
        <v>15.87551778602137</v>
      </c>
      <c r="BS24" s="194">
        <f t="shared" si="62"/>
        <v>15.436853462294513</v>
      </c>
      <c r="BT24" s="194">
        <f t="shared" si="62"/>
        <v>14.995630263345918</v>
      </c>
      <c r="BU24" s="194">
        <f t="shared" si="62"/>
        <v>14.551833262403454</v>
      </c>
      <c r="BV24" s="194">
        <f t="shared" si="62"/>
        <v>14.105447445622161</v>
      </c>
      <c r="BW24" s="194">
        <f t="shared" si="62"/>
        <v>13.65645771157631</v>
      </c>
      <c r="BX24" s="194">
        <f t="shared" si="62"/>
        <v>13.204848870748522</v>
      </c>
      <c r="BY24" s="194">
        <f t="shared" si="62"/>
        <v>12.750605645015911</v>
      </c>
      <c r="BZ24" s="194">
        <f t="shared" si="62"/>
        <v>12.293712667133187</v>
      </c>
      <c r="CA24" s="194">
        <f t="shared" si="62"/>
        <v>11.834154480212815</v>
      </c>
      <c r="CB24" s="195">
        <f>SUM(BP24:CA24)</f>
        <v>171.76192875166603</v>
      </c>
      <c r="CC24" s="194">
        <f aca="true" t="shared" si="63" ref="CC24:CN24">CC40+CC56+CC72+CC88</f>
        <v>11.371915537202076</v>
      </c>
      <c r="CD24" s="194">
        <f t="shared" si="63"/>
        <v>10.906980200357106</v>
      </c>
      <c r="CE24" s="194">
        <f t="shared" si="63"/>
        <v>10.439332740713876</v>
      </c>
      <c r="CF24" s="194">
        <f t="shared" si="63"/>
        <v>9.968957337556061</v>
      </c>
      <c r="CG24" s="194">
        <f t="shared" si="63"/>
        <v>9.495838077879824</v>
      </c>
      <c r="CH24" s="194">
        <f t="shared" si="63"/>
        <v>9.019958955855474</v>
      </c>
      <c r="CI24" s="194">
        <f t="shared" si="63"/>
        <v>8.541303872285983</v>
      </c>
      <c r="CJ24" s="194">
        <f t="shared" si="63"/>
        <v>8.059856634062339</v>
      </c>
      <c r="CK24" s="194">
        <f t="shared" si="63"/>
        <v>7.575600953615721</v>
      </c>
      <c r="CL24" s="194">
        <f t="shared" si="63"/>
        <v>7.088520448366499</v>
      </c>
      <c r="CM24" s="194">
        <f t="shared" si="63"/>
        <v>6.598598640169988</v>
      </c>
      <c r="CN24" s="194">
        <f t="shared" si="63"/>
        <v>6.105818954758999</v>
      </c>
      <c r="CO24" s="195">
        <f>SUM(CC24:CN24)</f>
        <v>105.17268235282394</v>
      </c>
      <c r="CP24" s="194">
        <f aca="true" t="shared" si="64" ref="CP24:DA24">CP40+CP56+CP72+CP88</f>
        <v>5.6101647211831125</v>
      </c>
      <c r="CQ24" s="194">
        <f t="shared" si="64"/>
        <v>5.111619171244701</v>
      </c>
      <c r="CR24" s="194">
        <f t="shared" si="64"/>
        <v>4.610165438931647</v>
      </c>
      <c r="CS24" s="194">
        <f t="shared" si="64"/>
        <v>4.105786559846768</v>
      </c>
      <c r="CT24" s="194">
        <f t="shared" si="64"/>
        <v>3.598465470633893</v>
      </c>
      <c r="CU24" s="194">
        <f t="shared" si="64"/>
        <v>3.0881850084006106</v>
      </c>
      <c r="CV24" s="194">
        <f t="shared" si="64"/>
        <v>2.574927910137633</v>
      </c>
      <c r="CW24" s="194">
        <f t="shared" si="64"/>
        <v>2.0586768121347885</v>
      </c>
      <c r="CX24" s="194">
        <f t="shared" si="64"/>
        <v>1.5394142493935943</v>
      </c>
      <c r="CY24" s="194">
        <f t="shared" si="64"/>
        <v>1.0171226550364094</v>
      </c>
      <c r="CZ24" s="194">
        <f t="shared" si="64"/>
        <v>0.49178435971214113</v>
      </c>
      <c r="DA24" s="194">
        <f t="shared" si="64"/>
        <v>1.2535528171042644E-13</v>
      </c>
      <c r="DB24" s="195">
        <f>SUM(CP24:DA24)</f>
        <v>33.806312356655425</v>
      </c>
      <c r="DC24" s="194">
        <f aca="true" t="shared" si="65" ref="DC24:DN24">DC40+DC56+DC72+DC88</f>
        <v>1.2535528171042644E-13</v>
      </c>
      <c r="DD24" s="194">
        <f t="shared" si="65"/>
        <v>1.2535528171042644E-13</v>
      </c>
      <c r="DE24" s="194">
        <f t="shared" si="65"/>
        <v>1.2535528171042644E-13</v>
      </c>
      <c r="DF24" s="194">
        <f t="shared" si="65"/>
        <v>1.2535528171042644E-13</v>
      </c>
      <c r="DG24" s="194">
        <f t="shared" si="65"/>
        <v>1.2535528171042644E-13</v>
      </c>
      <c r="DH24" s="194">
        <f t="shared" si="65"/>
        <v>1.2535528171042644E-13</v>
      </c>
      <c r="DI24" s="194">
        <f t="shared" si="65"/>
        <v>1.2535528171042644E-13</v>
      </c>
      <c r="DJ24" s="194">
        <f t="shared" si="65"/>
        <v>1.2535528171042644E-13</v>
      </c>
      <c r="DK24" s="194">
        <f t="shared" si="65"/>
        <v>1.2535528171042644E-13</v>
      </c>
      <c r="DL24" s="194">
        <f t="shared" si="65"/>
        <v>1.2535528171042644E-13</v>
      </c>
      <c r="DM24" s="194">
        <f t="shared" si="65"/>
        <v>1.2535528171042644E-13</v>
      </c>
      <c r="DN24" s="194">
        <f t="shared" si="65"/>
        <v>1.2535528171042644E-13</v>
      </c>
      <c r="DO24" s="195">
        <f>SUM(DC24:DN24)</f>
        <v>1.5042633805251174E-12</v>
      </c>
    </row>
    <row r="25" spans="1:119" ht="12.75">
      <c r="A25" s="188" t="s">
        <v>14</v>
      </c>
      <c r="B25" s="193">
        <f>O25+AB25+AO25+BB25+BO25+CB25+CO25+DB25+DO25</f>
        <v>5519.624598399979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0</v>
      </c>
      <c r="V25" s="194">
        <f t="shared" si="66"/>
        <v>0</v>
      </c>
      <c r="W25" s="194">
        <f t="shared" si="66"/>
        <v>4.05817595613901</v>
      </c>
      <c r="X25" s="194">
        <f t="shared" si="66"/>
        <v>58.90097867494082</v>
      </c>
      <c r="Y25" s="194">
        <f t="shared" si="66"/>
        <v>59.24456771721131</v>
      </c>
      <c r="Z25" s="194">
        <f t="shared" si="66"/>
        <v>59.59016102889505</v>
      </c>
      <c r="AA25" s="194">
        <f t="shared" si="66"/>
        <v>59.9377703015636</v>
      </c>
      <c r="AB25" s="195">
        <f>SUM(P25:AA25)</f>
        <v>241.73165367874978</v>
      </c>
      <c r="AC25" s="194">
        <f aca="true" t="shared" si="67" ref="AC25:AN25">AC41+AC57+AC73+AC89</f>
        <v>60.287407294989386</v>
      </c>
      <c r="AD25" s="194">
        <f t="shared" si="67"/>
        <v>60.639083837543495</v>
      </c>
      <c r="AE25" s="194">
        <f t="shared" si="67"/>
        <v>60.992811826595826</v>
      </c>
      <c r="AF25" s="194">
        <f t="shared" si="67"/>
        <v>61.34860322891764</v>
      </c>
      <c r="AG25" s="194">
        <f t="shared" si="67"/>
        <v>61.70647008108632</v>
      </c>
      <c r="AH25" s="194">
        <f t="shared" si="67"/>
        <v>62.06642448989267</v>
      </c>
      <c r="AI25" s="194">
        <f t="shared" si="67"/>
        <v>62.42847863275037</v>
      </c>
      <c r="AJ25" s="194">
        <f t="shared" si="67"/>
        <v>62.79264475810808</v>
      </c>
      <c r="AK25" s="194">
        <f t="shared" si="67"/>
        <v>63.15893518586372</v>
      </c>
      <c r="AL25" s="194">
        <f t="shared" si="67"/>
        <v>63.527362307781246</v>
      </c>
      <c r="AM25" s="194">
        <f t="shared" si="67"/>
        <v>63.89793858790998</v>
      </c>
      <c r="AN25" s="194">
        <f t="shared" si="67"/>
        <v>64.27067656300612</v>
      </c>
      <c r="AO25" s="195">
        <f>SUM(AC25:AN25)</f>
        <v>747.1168367944447</v>
      </c>
      <c r="AP25" s="194">
        <f aca="true" t="shared" si="68" ref="AP25:BA25">AP41+AP57+AP73+AP89</f>
        <v>64.64558884295698</v>
      </c>
      <c r="AQ25" s="194">
        <f t="shared" si="68"/>
        <v>65.02268811120756</v>
      </c>
      <c r="AR25" s="194">
        <f t="shared" si="68"/>
        <v>65.4019871251896</v>
      </c>
      <c r="AS25" s="194">
        <f t="shared" si="68"/>
        <v>65.78349871675321</v>
      </c>
      <c r="AT25" s="194">
        <f t="shared" si="68"/>
        <v>66.16723579260093</v>
      </c>
      <c r="AU25" s="194">
        <f t="shared" si="68"/>
        <v>66.55321133472445</v>
      </c>
      <c r="AV25" s="194">
        <f t="shared" si="68"/>
        <v>66.94143840084368</v>
      </c>
      <c r="AW25" s="194">
        <f t="shared" si="68"/>
        <v>67.33193012484858</v>
      </c>
      <c r="AX25" s="194">
        <f t="shared" si="68"/>
        <v>67.72469971724354</v>
      </c>
      <c r="AY25" s="194">
        <f t="shared" si="68"/>
        <v>68.11976046559413</v>
      </c>
      <c r="AZ25" s="194">
        <f t="shared" si="68"/>
        <v>68.51712573497676</v>
      </c>
      <c r="BA25" s="194">
        <f t="shared" si="68"/>
        <v>68.91680896843079</v>
      </c>
      <c r="BB25" s="195">
        <f>SUM(AP25:BA25)</f>
        <v>801.1259733353702</v>
      </c>
      <c r="BC25" s="194">
        <f aca="true" t="shared" si="69" ref="BC25:BN25">BC41+BC57+BC73+BC89</f>
        <v>69.3188236874133</v>
      </c>
      <c r="BD25" s="194">
        <f t="shared" si="69"/>
        <v>69.72318349225655</v>
      </c>
      <c r="BE25" s="194">
        <f t="shared" si="69"/>
        <v>70.12990206262803</v>
      </c>
      <c r="BF25" s="194">
        <f t="shared" si="69"/>
        <v>70.53899315799337</v>
      </c>
      <c r="BG25" s="194">
        <f t="shared" si="69"/>
        <v>70.95047061808168</v>
      </c>
      <c r="BH25" s="194">
        <f t="shared" si="69"/>
        <v>71.36434836335381</v>
      </c>
      <c r="BI25" s="194">
        <f t="shared" si="69"/>
        <v>71.78064039547337</v>
      </c>
      <c r="BJ25" s="194">
        <f t="shared" si="69"/>
        <v>72.19936079778032</v>
      </c>
      <c r="BK25" s="194">
        <f t="shared" si="69"/>
        <v>72.62052373576736</v>
      </c>
      <c r="BL25" s="194">
        <f t="shared" si="69"/>
        <v>73.04414345755934</v>
      </c>
      <c r="BM25" s="194">
        <f t="shared" si="69"/>
        <v>73.4702342943951</v>
      </c>
      <c r="BN25" s="194">
        <f t="shared" si="69"/>
        <v>73.8988106611124</v>
      </c>
      <c r="BO25" s="195">
        <f>SUM(BC25:BN25)</f>
        <v>859.0394347238148</v>
      </c>
      <c r="BP25" s="194">
        <f aca="true" t="shared" si="70" ref="BP25:CA25">BP41+BP57+BP73+BP89</f>
        <v>74.32988705663556</v>
      </c>
      <c r="BQ25" s="194">
        <f t="shared" si="70"/>
        <v>74.76347806446593</v>
      </c>
      <c r="BR25" s="194">
        <f t="shared" si="70"/>
        <v>75.19959835317532</v>
      </c>
      <c r="BS25" s="194">
        <f t="shared" si="70"/>
        <v>75.63826267690217</v>
      </c>
      <c r="BT25" s="194">
        <f t="shared" si="70"/>
        <v>76.07948587585076</v>
      </c>
      <c r="BU25" s="194">
        <f t="shared" si="70"/>
        <v>76.52328287679323</v>
      </c>
      <c r="BV25" s="194">
        <f t="shared" si="70"/>
        <v>76.96966869357453</v>
      </c>
      <c r="BW25" s="194">
        <f t="shared" si="70"/>
        <v>77.41865842762037</v>
      </c>
      <c r="BX25" s="194">
        <f t="shared" si="70"/>
        <v>77.87026726844816</v>
      </c>
      <c r="BY25" s="194">
        <f t="shared" si="70"/>
        <v>78.32451049418079</v>
      </c>
      <c r="BZ25" s="194">
        <f t="shared" si="70"/>
        <v>78.7814034720635</v>
      </c>
      <c r="CA25" s="194">
        <f t="shared" si="70"/>
        <v>79.24096165898388</v>
      </c>
      <c r="CB25" s="195">
        <f>SUM(BP25:CA25)</f>
        <v>921.1394649186942</v>
      </c>
      <c r="CC25" s="194">
        <f aca="true" t="shared" si="71" ref="CC25:CN25">CC41+CC57+CC73+CC89</f>
        <v>79.70320060199461</v>
      </c>
      <c r="CD25" s="194">
        <f t="shared" si="71"/>
        <v>80.16813593883958</v>
      </c>
      <c r="CE25" s="194">
        <f t="shared" si="71"/>
        <v>80.63578339848281</v>
      </c>
      <c r="CF25" s="194">
        <f t="shared" si="71"/>
        <v>81.10615880164063</v>
      </c>
      <c r="CG25" s="194">
        <f t="shared" si="71"/>
        <v>81.57927806131686</v>
      </c>
      <c r="CH25" s="194">
        <f t="shared" si="71"/>
        <v>82.05515718334122</v>
      </c>
      <c r="CI25" s="194">
        <f t="shared" si="71"/>
        <v>82.5338122669107</v>
      </c>
      <c r="CJ25" s="194">
        <f t="shared" si="71"/>
        <v>83.01525950513434</v>
      </c>
      <c r="CK25" s="194">
        <f t="shared" si="71"/>
        <v>83.49951518558096</v>
      </c>
      <c r="CL25" s="194">
        <f t="shared" si="71"/>
        <v>83.98659569083019</v>
      </c>
      <c r="CM25" s="194">
        <f t="shared" si="71"/>
        <v>84.4765174990267</v>
      </c>
      <c r="CN25" s="194">
        <f t="shared" si="71"/>
        <v>84.96929718443769</v>
      </c>
      <c r="CO25" s="195">
        <f>SUM(CC25:CN25)</f>
        <v>987.7287113175363</v>
      </c>
      <c r="CP25" s="194">
        <f aca="true" t="shared" si="72" ref="CP25:DA25">CP41+CP57+CP73+CP89</f>
        <v>85.46495141801357</v>
      </c>
      <c r="CQ25" s="194">
        <f t="shared" si="72"/>
        <v>85.96349696795198</v>
      </c>
      <c r="CR25" s="194">
        <f t="shared" si="72"/>
        <v>86.46495070026504</v>
      </c>
      <c r="CS25" s="194">
        <f t="shared" si="72"/>
        <v>86.96932957934992</v>
      </c>
      <c r="CT25" s="194">
        <f t="shared" si="72"/>
        <v>87.4766506685628</v>
      </c>
      <c r="CU25" s="194">
        <f t="shared" si="72"/>
        <v>87.98693113079607</v>
      </c>
      <c r="CV25" s="194">
        <f t="shared" si="72"/>
        <v>88.50018822905905</v>
      </c>
      <c r="CW25" s="194">
        <f t="shared" si="72"/>
        <v>89.01643932706189</v>
      </c>
      <c r="CX25" s="194">
        <f t="shared" si="72"/>
        <v>89.5357018898031</v>
      </c>
      <c r="CY25" s="194">
        <f t="shared" si="72"/>
        <v>90.05799348416028</v>
      </c>
      <c r="CZ25" s="194">
        <f t="shared" si="72"/>
        <v>84.30589023634555</v>
      </c>
      <c r="DA25" s="194">
        <f t="shared" si="72"/>
        <v>0</v>
      </c>
      <c r="DB25" s="195">
        <f>SUM(CP25:DA25)</f>
        <v>961.7425236313694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1504.1959729837743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2.219265587</v>
      </c>
      <c r="R26" s="194">
        <f t="shared" si="74"/>
        <v>32.19781015733334</v>
      </c>
      <c r="S26" s="194">
        <f t="shared" si="74"/>
        <v>32.19781015733334</v>
      </c>
      <c r="T26" s="194">
        <f t="shared" si="74"/>
        <v>32.19781015733334</v>
      </c>
      <c r="U26" s="194">
        <f t="shared" si="74"/>
        <v>32.19781015733334</v>
      </c>
      <c r="V26" s="194">
        <f t="shared" si="74"/>
        <v>32.19781015733334</v>
      </c>
      <c r="W26" s="194">
        <f t="shared" si="74"/>
        <v>32.19781015733334</v>
      </c>
      <c r="X26" s="194">
        <f t="shared" si="74"/>
        <v>32.174137464255864</v>
      </c>
      <c r="Y26" s="194">
        <f t="shared" si="74"/>
        <v>31.830548421985377</v>
      </c>
      <c r="Z26" s="194">
        <f t="shared" si="74"/>
        <v>31.48495511030164</v>
      </c>
      <c r="AA26" s="194">
        <f t="shared" si="74"/>
        <v>31.137345837633084</v>
      </c>
      <c r="AB26" s="195">
        <f>SUM(P26:AA26)</f>
        <v>322.03311336517606</v>
      </c>
      <c r="AC26" s="194">
        <f aca="true" t="shared" si="75" ref="AC26:AN26">AC42+AC58+AC74+AC90</f>
        <v>30.787708844207298</v>
      </c>
      <c r="AD26" s="194">
        <f t="shared" si="75"/>
        <v>30.436032301653192</v>
      </c>
      <c r="AE26" s="194">
        <f t="shared" si="75"/>
        <v>30.082304312600854</v>
      </c>
      <c r="AF26" s="194">
        <f t="shared" si="75"/>
        <v>29.726512910279045</v>
      </c>
      <c r="AG26" s="194">
        <f t="shared" si="75"/>
        <v>29.368646058110357</v>
      </c>
      <c r="AH26" s="194">
        <f t="shared" si="75"/>
        <v>29.00869164930402</v>
      </c>
      <c r="AI26" s="194">
        <f t="shared" si="75"/>
        <v>28.646637506446314</v>
      </c>
      <c r="AJ26" s="194">
        <f t="shared" si="75"/>
        <v>28.282471381088605</v>
      </c>
      <c r="AK26" s="194">
        <f t="shared" si="75"/>
        <v>27.916180953332972</v>
      </c>
      <c r="AL26" s="194">
        <f t="shared" si="75"/>
        <v>27.547753831415438</v>
      </c>
      <c r="AM26" s="194">
        <f t="shared" si="75"/>
        <v>27.17717755128671</v>
      </c>
      <c r="AN26" s="194">
        <f t="shared" si="75"/>
        <v>26.804439576190568</v>
      </c>
      <c r="AO26" s="195">
        <f>SUM(AC26:AN26)</f>
        <v>345.7845568759154</v>
      </c>
      <c r="AP26" s="194">
        <f aca="true" t="shared" si="76" ref="AP26:BA26">AP42+AP58+AP74+AP90</f>
        <v>26.429527296239698</v>
      </c>
      <c r="AQ26" s="194">
        <f t="shared" si="76"/>
        <v>26.052428027989123</v>
      </c>
      <c r="AR26" s="194">
        <f t="shared" si="76"/>
        <v>25.673129014007074</v>
      </c>
      <c r="AS26" s="194">
        <f t="shared" si="76"/>
        <v>25.29161742244347</v>
      </c>
      <c r="AT26" s="194">
        <f t="shared" si="76"/>
        <v>24.907880346595746</v>
      </c>
      <c r="AU26" s="194">
        <f t="shared" si="76"/>
        <v>24.52190480447224</v>
      </c>
      <c r="AV26" s="194">
        <f t="shared" si="76"/>
        <v>24.133677738353015</v>
      </c>
      <c r="AW26" s="194">
        <f t="shared" si="76"/>
        <v>23.743186014348098</v>
      </c>
      <c r="AX26" s="194">
        <f t="shared" si="76"/>
        <v>23.350416421953145</v>
      </c>
      <c r="AY26" s="194">
        <f t="shared" si="76"/>
        <v>22.955355673602558</v>
      </c>
      <c r="AZ26" s="194">
        <f t="shared" si="76"/>
        <v>22.55799040421993</v>
      </c>
      <c r="BA26" s="194">
        <f t="shared" si="76"/>
        <v>22.158307170765898</v>
      </c>
      <c r="BB26" s="195">
        <f>SUM(AP26:BA26)</f>
        <v>291.77542033499003</v>
      </c>
      <c r="BC26" s="194">
        <f aca="true" t="shared" si="77" ref="BC26:BN26">BC42+BC58+BC74+BC90</f>
        <v>21.75629245178338</v>
      </c>
      <c r="BD26" s="194">
        <f t="shared" si="77"/>
        <v>21.35193264694014</v>
      </c>
      <c r="BE26" s="194">
        <f t="shared" si="77"/>
        <v>20.94521407656864</v>
      </c>
      <c r="BF26" s="194">
        <f t="shared" si="77"/>
        <v>20.536122981203313</v>
      </c>
      <c r="BG26" s="194">
        <f t="shared" si="77"/>
        <v>20.124645521115013</v>
      </c>
      <c r="BH26" s="194">
        <f t="shared" si="77"/>
        <v>19.71076777584287</v>
      </c>
      <c r="BI26" s="194">
        <f t="shared" si="77"/>
        <v>19.294475743723307</v>
      </c>
      <c r="BJ26" s="194">
        <f t="shared" si="77"/>
        <v>18.87575534141638</v>
      </c>
      <c r="BK26" s="194">
        <f t="shared" si="77"/>
        <v>18.454592403429327</v>
      </c>
      <c r="BL26" s="194">
        <f t="shared" si="77"/>
        <v>18.030972681637348</v>
      </c>
      <c r="BM26" s="194">
        <f t="shared" si="77"/>
        <v>17.604881844801586</v>
      </c>
      <c r="BN26" s="194">
        <f t="shared" si="77"/>
        <v>17.17630547808428</v>
      </c>
      <c r="BO26" s="195">
        <f>SUM(BC26:BN26)</f>
        <v>233.86195894654557</v>
      </c>
      <c r="BP26" s="194">
        <f aca="true" t="shared" si="78" ref="BP26:CA26">BP42+BP58+BP74+BP90</f>
        <v>16.745229082561128</v>
      </c>
      <c r="BQ26" s="194">
        <f t="shared" si="78"/>
        <v>16.31163807473075</v>
      </c>
      <c r="BR26" s="194">
        <f t="shared" si="78"/>
        <v>15.87551778602137</v>
      </c>
      <c r="BS26" s="194">
        <f t="shared" si="78"/>
        <v>15.436853462294513</v>
      </c>
      <c r="BT26" s="194">
        <f t="shared" si="78"/>
        <v>14.995630263345918</v>
      </c>
      <c r="BU26" s="194">
        <f t="shared" si="78"/>
        <v>14.551833262403454</v>
      </c>
      <c r="BV26" s="194">
        <f t="shared" si="78"/>
        <v>14.105447445622161</v>
      </c>
      <c r="BW26" s="194">
        <f t="shared" si="78"/>
        <v>13.65645771157631</v>
      </c>
      <c r="BX26" s="194">
        <f t="shared" si="78"/>
        <v>13.204848870748522</v>
      </c>
      <c r="BY26" s="194">
        <f t="shared" si="78"/>
        <v>12.750605645015911</v>
      </c>
      <c r="BZ26" s="194">
        <f t="shared" si="78"/>
        <v>12.293712667133187</v>
      </c>
      <c r="CA26" s="194">
        <f t="shared" si="78"/>
        <v>11.834154480212815</v>
      </c>
      <c r="CB26" s="195">
        <f>SUM(BP26:CA26)</f>
        <v>171.76192875166603</v>
      </c>
      <c r="CC26" s="194">
        <f aca="true" t="shared" si="79" ref="CC26:CN26">CC42+CC58+CC74+CC90</f>
        <v>11.371915537202076</v>
      </c>
      <c r="CD26" s="194">
        <f t="shared" si="79"/>
        <v>10.906980200357106</v>
      </c>
      <c r="CE26" s="194">
        <f t="shared" si="79"/>
        <v>10.439332740713876</v>
      </c>
      <c r="CF26" s="194">
        <f t="shared" si="79"/>
        <v>9.968957337556061</v>
      </c>
      <c r="CG26" s="194">
        <f t="shared" si="79"/>
        <v>9.495838077879824</v>
      </c>
      <c r="CH26" s="194">
        <f t="shared" si="79"/>
        <v>9.019958955855474</v>
      </c>
      <c r="CI26" s="194">
        <f t="shared" si="79"/>
        <v>8.541303872285983</v>
      </c>
      <c r="CJ26" s="194">
        <f t="shared" si="79"/>
        <v>8.059856634062339</v>
      </c>
      <c r="CK26" s="194">
        <f t="shared" si="79"/>
        <v>7.575600953615721</v>
      </c>
      <c r="CL26" s="194">
        <f t="shared" si="79"/>
        <v>7.088520448366499</v>
      </c>
      <c r="CM26" s="194">
        <f t="shared" si="79"/>
        <v>6.598598640169988</v>
      </c>
      <c r="CN26" s="194">
        <f t="shared" si="79"/>
        <v>6.105818954758999</v>
      </c>
      <c r="CO26" s="195">
        <f>SUM(CC26:CN26)</f>
        <v>105.17268235282394</v>
      </c>
      <c r="CP26" s="194">
        <f aca="true" t="shared" si="80" ref="CP26:DA26">CP42+CP58+CP74+CP90</f>
        <v>5.6101647211831125</v>
      </c>
      <c r="CQ26" s="194">
        <f t="shared" si="80"/>
        <v>5.111619171244701</v>
      </c>
      <c r="CR26" s="194">
        <f t="shared" si="80"/>
        <v>4.610165438931647</v>
      </c>
      <c r="CS26" s="194">
        <f t="shared" si="80"/>
        <v>4.105786559846768</v>
      </c>
      <c r="CT26" s="194">
        <f t="shared" si="80"/>
        <v>3.598465470633893</v>
      </c>
      <c r="CU26" s="194">
        <f t="shared" si="80"/>
        <v>3.0881850084006106</v>
      </c>
      <c r="CV26" s="194">
        <f t="shared" si="80"/>
        <v>2.574927910137633</v>
      </c>
      <c r="CW26" s="194">
        <f t="shared" si="80"/>
        <v>2.0586768121347885</v>
      </c>
      <c r="CX26" s="194">
        <f t="shared" si="80"/>
        <v>1.5394142493935943</v>
      </c>
      <c r="CY26" s="194">
        <f t="shared" si="80"/>
        <v>1.0171226550364094</v>
      </c>
      <c r="CZ26" s="194">
        <f t="shared" si="80"/>
        <v>0.49178435971214113</v>
      </c>
      <c r="DA26" s="194">
        <f t="shared" si="80"/>
        <v>1.2535528171042644E-13</v>
      </c>
      <c r="DB26" s="195">
        <f>SUM(CP26:DA26)</f>
        <v>33.806312356655425</v>
      </c>
      <c r="DC26" s="194">
        <f aca="true" t="shared" si="81" ref="DC26:DN26">DC42+DC58+DC74+DC90</f>
        <v>1.2535528171042644E-13</v>
      </c>
      <c r="DD26" s="194">
        <f t="shared" si="81"/>
        <v>1.2535528171042644E-13</v>
      </c>
      <c r="DE26" s="194">
        <f t="shared" si="81"/>
        <v>1.2535528171042644E-13</v>
      </c>
      <c r="DF26" s="194">
        <f t="shared" si="81"/>
        <v>1.2535528171042644E-13</v>
      </c>
      <c r="DG26" s="194">
        <f t="shared" si="81"/>
        <v>1.2535528171042644E-13</v>
      </c>
      <c r="DH26" s="194">
        <f t="shared" si="81"/>
        <v>1.2535528171042644E-13</v>
      </c>
      <c r="DI26" s="194">
        <f t="shared" si="81"/>
        <v>1.2535528171042644E-13</v>
      </c>
      <c r="DJ26" s="194">
        <f t="shared" si="81"/>
        <v>1.2535528171042644E-13</v>
      </c>
      <c r="DK26" s="194">
        <f t="shared" si="81"/>
        <v>1.2535528171042644E-13</v>
      </c>
      <c r="DL26" s="194">
        <f t="shared" si="81"/>
        <v>1.2535528171042644E-13</v>
      </c>
      <c r="DM26" s="194">
        <f t="shared" si="81"/>
        <v>1.2535528171042644E-13</v>
      </c>
      <c r="DN26" s="194">
        <f t="shared" si="81"/>
        <v>1.2535528171042644E-13</v>
      </c>
      <c r="DO26" s="195">
        <f>SUM(DC26:DN26)</f>
        <v>1.5042633805251174E-12</v>
      </c>
    </row>
    <row r="27" spans="1:119" ht="12.75">
      <c r="A27" s="188" t="s">
        <v>16</v>
      </c>
      <c r="B27" s="193">
        <f>DO27</f>
        <v>2.148947686464453E-11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0</v>
      </c>
      <c r="K27" s="194">
        <f t="shared" si="49"/>
        <v>0</v>
      </c>
      <c r="L27" s="194">
        <f t="shared" si="49"/>
        <v>373.90224</v>
      </c>
      <c r="M27" s="194">
        <f t="shared" si="49"/>
        <v>5424.692480000001</v>
      </c>
      <c r="N27" s="194">
        <f t="shared" si="49"/>
        <v>5424.692480000001</v>
      </c>
      <c r="O27" s="195">
        <f>N27</f>
        <v>5424.692480000001</v>
      </c>
      <c r="P27" s="194">
        <f aca="true" t="shared" si="82" ref="P27:AA27">P43+P59+P75+P91</f>
        <v>5431.2357692000005</v>
      </c>
      <c r="Q27" s="194">
        <f t="shared" si="82"/>
        <v>5519.624598400001</v>
      </c>
      <c r="R27" s="194">
        <f t="shared" si="82"/>
        <v>5519.624598400001</v>
      </c>
      <c r="S27" s="194">
        <f t="shared" si="82"/>
        <v>5519.624598400001</v>
      </c>
      <c r="T27" s="194">
        <f t="shared" si="82"/>
        <v>5519.624598400001</v>
      </c>
      <c r="U27" s="194">
        <f t="shared" si="82"/>
        <v>5519.624598400001</v>
      </c>
      <c r="V27" s="194">
        <f t="shared" si="82"/>
        <v>5519.624598400001</v>
      </c>
      <c r="W27" s="194">
        <f t="shared" si="82"/>
        <v>5515.5664224438615</v>
      </c>
      <c r="X27" s="194">
        <f t="shared" si="82"/>
        <v>5456.665443768921</v>
      </c>
      <c r="Y27" s="194">
        <f t="shared" si="82"/>
        <v>5397.4208760517095</v>
      </c>
      <c r="Z27" s="194">
        <f t="shared" si="82"/>
        <v>5337.830715022814</v>
      </c>
      <c r="AA27" s="194">
        <f t="shared" si="82"/>
        <v>5277.89294472125</v>
      </c>
      <c r="AB27" s="195">
        <f>AA27</f>
        <v>5277.89294472125</v>
      </c>
      <c r="AC27" s="194">
        <f aca="true" t="shared" si="83" ref="AC27:AN27">AC43+AC59+AC75+AC91</f>
        <v>5217.6055374262605</v>
      </c>
      <c r="AD27" s="194">
        <f t="shared" si="83"/>
        <v>5156.966453588717</v>
      </c>
      <c r="AE27" s="194">
        <f t="shared" si="83"/>
        <v>5095.973641762122</v>
      </c>
      <c r="AF27" s="194">
        <f t="shared" si="83"/>
        <v>5034.625038533203</v>
      </c>
      <c r="AG27" s="194">
        <f t="shared" si="83"/>
        <v>4972.918568452117</v>
      </c>
      <c r="AH27" s="194">
        <f t="shared" si="83"/>
        <v>4910.852143962225</v>
      </c>
      <c r="AI27" s="194">
        <f t="shared" si="83"/>
        <v>4848.423665329475</v>
      </c>
      <c r="AJ27" s="194">
        <f t="shared" si="83"/>
        <v>4785.631020571367</v>
      </c>
      <c r="AK27" s="194">
        <f t="shared" si="83"/>
        <v>4722.472085385503</v>
      </c>
      <c r="AL27" s="194">
        <f t="shared" si="83"/>
        <v>4658.944723077721</v>
      </c>
      <c r="AM27" s="194">
        <f t="shared" si="83"/>
        <v>4595.046784489811</v>
      </c>
      <c r="AN27" s="194">
        <f t="shared" si="83"/>
        <v>4530.776107926806</v>
      </c>
      <c r="AO27" s="195">
        <f>AN27</f>
        <v>4530.776107926806</v>
      </c>
      <c r="AP27" s="194">
        <f aca="true" t="shared" si="84" ref="AP27:BA27">AP43+AP59+AP75+AP91</f>
        <v>4466.130519083849</v>
      </c>
      <c r="AQ27" s="194">
        <f t="shared" si="84"/>
        <v>4401.107830972642</v>
      </c>
      <c r="AR27" s="194">
        <f t="shared" si="84"/>
        <v>4335.705843847451</v>
      </c>
      <c r="AS27" s="194">
        <f t="shared" si="84"/>
        <v>4269.922345130699</v>
      </c>
      <c r="AT27" s="194">
        <f t="shared" si="84"/>
        <v>4203.755109338098</v>
      </c>
      <c r="AU27" s="194">
        <f t="shared" si="84"/>
        <v>4137.201898003374</v>
      </c>
      <c r="AV27" s="194">
        <f t="shared" si="84"/>
        <v>4070.26045960253</v>
      </c>
      <c r="AW27" s="194">
        <f t="shared" si="84"/>
        <v>4002.9285294776814</v>
      </c>
      <c r="AX27" s="194">
        <f t="shared" si="84"/>
        <v>3935.203829760438</v>
      </c>
      <c r="AY27" s="194">
        <f t="shared" si="84"/>
        <v>3867.084069294844</v>
      </c>
      <c r="AZ27" s="194">
        <f t="shared" si="84"/>
        <v>3798.5669435598675</v>
      </c>
      <c r="BA27" s="194">
        <f t="shared" si="84"/>
        <v>3729.6501345914367</v>
      </c>
      <c r="BB27" s="195">
        <f>BA27</f>
        <v>3729.6501345914367</v>
      </c>
      <c r="BC27" s="194">
        <f aca="true" t="shared" si="85" ref="BC27:BN27">BC43+BC59+BC75+BC91</f>
        <v>3660.331310904023</v>
      </c>
      <c r="BD27" s="194">
        <f t="shared" si="85"/>
        <v>3590.608127411767</v>
      </c>
      <c r="BE27" s="194">
        <f t="shared" si="85"/>
        <v>3520.478225349139</v>
      </c>
      <c r="BF27" s="194">
        <f t="shared" si="85"/>
        <v>3449.939232191145</v>
      </c>
      <c r="BG27" s="194">
        <f t="shared" si="85"/>
        <v>3378.9887615730636</v>
      </c>
      <c r="BH27" s="194">
        <f t="shared" si="85"/>
        <v>3307.6244132097095</v>
      </c>
      <c r="BI27" s="194">
        <f t="shared" si="85"/>
        <v>3235.8437728142358</v>
      </c>
      <c r="BJ27" s="194">
        <f t="shared" si="85"/>
        <v>3163.6444120164556</v>
      </c>
      <c r="BK27" s="194">
        <f t="shared" si="85"/>
        <v>3091.023888280688</v>
      </c>
      <c r="BL27" s="194">
        <f t="shared" si="85"/>
        <v>3017.979744823129</v>
      </c>
      <c r="BM27" s="194">
        <f t="shared" si="85"/>
        <v>2944.5095105287337</v>
      </c>
      <c r="BN27" s="194">
        <f t="shared" si="85"/>
        <v>2870.6106998676214</v>
      </c>
      <c r="BO27" s="195">
        <f>BN27</f>
        <v>2870.6106998676214</v>
      </c>
      <c r="BP27" s="194">
        <f aca="true" t="shared" si="86" ref="BP27:CA27">BP43+BP59+BP75+BP91</f>
        <v>2796.280812810986</v>
      </c>
      <c r="BQ27" s="194">
        <f t="shared" si="86"/>
        <v>2721.51733474652</v>
      </c>
      <c r="BR27" s="194">
        <f t="shared" si="86"/>
        <v>2646.3177363933446</v>
      </c>
      <c r="BS27" s="194">
        <f t="shared" si="86"/>
        <v>2570.6794737164428</v>
      </c>
      <c r="BT27" s="194">
        <f t="shared" si="86"/>
        <v>2494.599987840592</v>
      </c>
      <c r="BU27" s="194">
        <f t="shared" si="86"/>
        <v>2418.076704963799</v>
      </c>
      <c r="BV27" s="194">
        <f t="shared" si="86"/>
        <v>2341.1070362702244</v>
      </c>
      <c r="BW27" s="194">
        <f t="shared" si="86"/>
        <v>2263.6883778426036</v>
      </c>
      <c r="BX27" s="194">
        <f t="shared" si="86"/>
        <v>2185.8181105741555</v>
      </c>
      <c r="BY27" s="194">
        <f t="shared" si="86"/>
        <v>2107.493600079975</v>
      </c>
      <c r="BZ27" s="194">
        <f t="shared" si="86"/>
        <v>2028.7121966079112</v>
      </c>
      <c r="CA27" s="194">
        <f t="shared" si="86"/>
        <v>1949.4712349489273</v>
      </c>
      <c r="CB27" s="195">
        <f>CA27</f>
        <v>1949.4712349489273</v>
      </c>
      <c r="CC27" s="194">
        <f aca="true" t="shared" si="87" ref="CC27:CN27">CC43+CC59+CC75+CC91</f>
        <v>1869.7680343469326</v>
      </c>
      <c r="CD27" s="194">
        <f t="shared" si="87"/>
        <v>1789.599898408093</v>
      </c>
      <c r="CE27" s="194">
        <f t="shared" si="87"/>
        <v>1708.9641150096104</v>
      </c>
      <c r="CF27" s="194">
        <f t="shared" si="87"/>
        <v>1627.8579562079697</v>
      </c>
      <c r="CG27" s="194">
        <f t="shared" si="87"/>
        <v>1546.2786781466527</v>
      </c>
      <c r="CH27" s="194">
        <f t="shared" si="87"/>
        <v>1464.2235209633113</v>
      </c>
      <c r="CI27" s="194">
        <f t="shared" si="87"/>
        <v>1381.6897086964007</v>
      </c>
      <c r="CJ27" s="194">
        <f t="shared" si="87"/>
        <v>1298.6744491912664</v>
      </c>
      <c r="CK27" s="194">
        <f t="shared" si="87"/>
        <v>1215.1749340056854</v>
      </c>
      <c r="CL27" s="194">
        <f t="shared" si="87"/>
        <v>1131.1883383148552</v>
      </c>
      <c r="CM27" s="194">
        <f t="shared" si="87"/>
        <v>1046.7118208158283</v>
      </c>
      <c r="CN27" s="194">
        <f t="shared" si="87"/>
        <v>961.7425236313907</v>
      </c>
      <c r="CO27" s="195">
        <f>CN27</f>
        <v>961.7425236313907</v>
      </c>
      <c r="CP27" s="194">
        <f aca="true" t="shared" si="88" ref="CP27:DA27">CP43+CP59+CP75+CP91</f>
        <v>876.2775722133772</v>
      </c>
      <c r="CQ27" s="194">
        <f t="shared" si="88"/>
        <v>790.3140752454252</v>
      </c>
      <c r="CR27" s="194">
        <f t="shared" si="88"/>
        <v>703.8491245451602</v>
      </c>
      <c r="CS27" s="194">
        <f t="shared" si="88"/>
        <v>616.8797949658102</v>
      </c>
      <c r="CT27" s="194">
        <f t="shared" si="88"/>
        <v>529.4031442972474</v>
      </c>
      <c r="CU27" s="194">
        <f t="shared" si="88"/>
        <v>441.41621316645137</v>
      </c>
      <c r="CV27" s="194">
        <f t="shared" si="88"/>
        <v>352.9160249373923</v>
      </c>
      <c r="CW27" s="194">
        <f t="shared" si="88"/>
        <v>263.8995856103304</v>
      </c>
      <c r="CX27" s="194">
        <f t="shared" si="88"/>
        <v>174.3638837205273</v>
      </c>
      <c r="CY27" s="194">
        <f t="shared" si="88"/>
        <v>84.30589023636703</v>
      </c>
      <c r="CZ27" s="194">
        <f t="shared" si="88"/>
        <v>2.148947686464453E-11</v>
      </c>
      <c r="DA27" s="194">
        <f t="shared" si="88"/>
        <v>2.148947686464453E-11</v>
      </c>
      <c r="DB27" s="195">
        <f>DA27</f>
        <v>2.148947686464453E-11</v>
      </c>
      <c r="DC27" s="194">
        <f aca="true" t="shared" si="89" ref="DC27:DN27">DC43+DC59+DC75+DC91</f>
        <v>2.148947686464453E-11</v>
      </c>
      <c r="DD27" s="194">
        <f t="shared" si="89"/>
        <v>2.148947686464453E-11</v>
      </c>
      <c r="DE27" s="194">
        <f t="shared" si="89"/>
        <v>2.148947686464453E-11</v>
      </c>
      <c r="DF27" s="194">
        <f t="shared" si="89"/>
        <v>2.148947686464453E-11</v>
      </c>
      <c r="DG27" s="194">
        <f t="shared" si="89"/>
        <v>2.148947686464453E-11</v>
      </c>
      <c r="DH27" s="194">
        <f t="shared" si="89"/>
        <v>2.148947686464453E-11</v>
      </c>
      <c r="DI27" s="194">
        <f t="shared" si="89"/>
        <v>2.148947686464453E-11</v>
      </c>
      <c r="DJ27" s="194">
        <f t="shared" si="89"/>
        <v>2.148947686464453E-11</v>
      </c>
      <c r="DK27" s="194">
        <f t="shared" si="89"/>
        <v>2.148947686464453E-11</v>
      </c>
      <c r="DL27" s="194">
        <f t="shared" si="89"/>
        <v>2.148947686464453E-11</v>
      </c>
      <c r="DM27" s="194">
        <f t="shared" si="89"/>
        <v>2.148947686464453E-11</v>
      </c>
      <c r="DN27" s="194">
        <f t="shared" si="89"/>
        <v>2.148947686464453E-11</v>
      </c>
      <c r="DO27" s="195">
        <f>DN27</f>
        <v>2.148947686464453E-11</v>
      </c>
    </row>
    <row r="28" spans="1:119" ht="12.75">
      <c r="A28" s="177" t="s">
        <v>78</v>
      </c>
      <c r="B28" s="284">
        <f>Исх!C37*12-Исх!C38</f>
        <v>75</v>
      </c>
      <c r="CP28" s="180"/>
      <c r="DB28" s="177"/>
      <c r="DO28" s="177"/>
    </row>
    <row r="29" spans="1:119" ht="12.75">
      <c r="A29" s="287" t="s">
        <v>251</v>
      </c>
      <c r="B29" s="288">
        <f>$AK$27*$B$20/12/((1-(1+$B$20/12)^-$B$28))</f>
        <v>77.92191044392295</v>
      </c>
      <c r="DB29" s="177"/>
      <c r="DO29" s="177"/>
    </row>
    <row r="30" spans="1:119" ht="6.75" customHeight="1">
      <c r="A30" s="285"/>
      <c r="B30" s="282"/>
      <c r="DB30" s="177"/>
      <c r="DO30" s="177"/>
    </row>
    <row r="31" spans="1:119" ht="12.75">
      <c r="A31" s="270" t="s">
        <v>240</v>
      </c>
      <c r="DB31" s="177"/>
      <c r="DO31" s="177"/>
    </row>
    <row r="32" spans="1:119" ht="12.75" hidden="1" outlineLevel="1">
      <c r="A32" s="271">
        <f>B22+B23-B25</f>
        <v>2.1827872842550278E-11</v>
      </c>
      <c r="DB32" s="177"/>
      <c r="DO32" s="177"/>
    </row>
    <row r="33" spans="1:119" ht="12.75" hidden="1" outlineLevel="1">
      <c r="A33" s="271">
        <f>B24-B23-B26</f>
        <v>0</v>
      </c>
      <c r="DB33" s="177"/>
      <c r="DO33" s="177"/>
    </row>
    <row r="34" spans="106:119" ht="12.75" hidden="1" collapsed="1">
      <c r="DB34" s="177"/>
      <c r="DO34" s="177"/>
    </row>
    <row r="35" spans="1:119" ht="12.75" hidden="1">
      <c r="A35" s="296" t="s">
        <v>268</v>
      </c>
      <c r="B35" s="297"/>
      <c r="DB35" s="177"/>
      <c r="DO35" s="177"/>
    </row>
    <row r="36" spans="1:119" ht="15.75" customHeight="1" hidden="1">
      <c r="A36" s="186" t="s">
        <v>11</v>
      </c>
      <c r="B36" s="286">
        <f>Исх!$C$36</f>
        <v>0.07</v>
      </c>
      <c r="C36" s="373">
        <v>2013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>
        <v>2014</v>
      </c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>
        <v>2015</v>
      </c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>
        <v>2016</v>
      </c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>
        <v>2017</v>
      </c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>
        <v>2018</v>
      </c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>
        <v>2019</v>
      </c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>
        <v>2020</v>
      </c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>
        <v>2021</v>
      </c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  <c r="DN36" s="373"/>
      <c r="DO36" s="373"/>
    </row>
    <row r="37" spans="1:119" s="192" customFormat="1" ht="15" customHeight="1" hidden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 hidden="1">
      <c r="A38" s="188" t="s">
        <v>106</v>
      </c>
      <c r="B38" s="193">
        <f>O38+AB38+AO38+BB38+BO38+CB38+CO38+DB38+DO38</f>
        <v>0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>
        <f>SUM(C38:N38)</f>
        <v>0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 hidden="1">
      <c r="A39" s="188" t="s">
        <v>31</v>
      </c>
      <c r="B39" s="193">
        <f>O39+AB39+AO39+BB39+BO39+CB39+CO39+DB39+DO39</f>
        <v>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0</v>
      </c>
      <c r="U39" s="194"/>
      <c r="V39" s="194"/>
      <c r="W39" s="194"/>
      <c r="X39" s="194"/>
      <c r="Y39" s="194"/>
      <c r="Z39" s="194"/>
      <c r="AA39" s="194"/>
      <c r="AB39" s="195">
        <f>SUM(P39:AA39)</f>
        <v>0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 hidden="1">
      <c r="A40" s="198" t="s">
        <v>13</v>
      </c>
      <c r="B40" s="193">
        <f>O40+AB40+AO40+BB40+BO40+CB40+CO40+DB40+DO40</f>
        <v>0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0</v>
      </c>
      <c r="L40" s="194">
        <f t="shared" si="99"/>
        <v>0</v>
      </c>
      <c r="M40" s="194">
        <f t="shared" si="99"/>
        <v>0</v>
      </c>
      <c r="N40" s="194">
        <f t="shared" si="99"/>
        <v>0</v>
      </c>
      <c r="O40" s="195">
        <f>SUM(C40:N40)</f>
        <v>0</v>
      </c>
      <c r="P40" s="194">
        <f aca="true" t="shared" si="100" ref="P40:AA40">O43*$B36/12</f>
        <v>0</v>
      </c>
      <c r="Q40" s="194">
        <f t="shared" si="100"/>
        <v>0</v>
      </c>
      <c r="R40" s="194">
        <f t="shared" si="100"/>
        <v>0</v>
      </c>
      <c r="S40" s="194">
        <f t="shared" si="100"/>
        <v>0</v>
      </c>
      <c r="T40" s="194">
        <f t="shared" si="100"/>
        <v>0</v>
      </c>
      <c r="U40" s="194">
        <f t="shared" si="100"/>
        <v>0</v>
      </c>
      <c r="V40" s="194">
        <f t="shared" si="100"/>
        <v>0</v>
      </c>
      <c r="W40" s="194">
        <f t="shared" si="100"/>
        <v>0</v>
      </c>
      <c r="X40" s="194">
        <f t="shared" si="100"/>
        <v>0</v>
      </c>
      <c r="Y40" s="194">
        <f t="shared" si="100"/>
        <v>0</v>
      </c>
      <c r="Z40" s="194">
        <f t="shared" si="100"/>
        <v>0</v>
      </c>
      <c r="AA40" s="194">
        <f t="shared" si="100"/>
        <v>0</v>
      </c>
      <c r="AB40" s="195">
        <f>SUM(P40:AA40)</f>
        <v>0</v>
      </c>
      <c r="AC40" s="194">
        <f aca="true" t="shared" si="101" ref="AC40:AN40">AB43*$B36/12</f>
        <v>0</v>
      </c>
      <c r="AD40" s="194">
        <f t="shared" si="101"/>
        <v>0</v>
      </c>
      <c r="AE40" s="194">
        <f t="shared" si="101"/>
        <v>0</v>
      </c>
      <c r="AF40" s="194">
        <f t="shared" si="101"/>
        <v>0</v>
      </c>
      <c r="AG40" s="194">
        <f t="shared" si="101"/>
        <v>0</v>
      </c>
      <c r="AH40" s="194">
        <f t="shared" si="101"/>
        <v>0</v>
      </c>
      <c r="AI40" s="194">
        <f t="shared" si="101"/>
        <v>0</v>
      </c>
      <c r="AJ40" s="194">
        <f t="shared" si="101"/>
        <v>0</v>
      </c>
      <c r="AK40" s="194">
        <f t="shared" si="101"/>
        <v>0</v>
      </c>
      <c r="AL40" s="194">
        <f t="shared" si="101"/>
        <v>0</v>
      </c>
      <c r="AM40" s="194">
        <f t="shared" si="101"/>
        <v>0</v>
      </c>
      <c r="AN40" s="194">
        <f t="shared" si="101"/>
        <v>0</v>
      </c>
      <c r="AO40" s="195">
        <f>SUM(AC40:AN40)</f>
        <v>0</v>
      </c>
      <c r="AP40" s="194">
        <f aca="true" t="shared" si="102" ref="AP40:BA40">AO43*$B36/12</f>
        <v>0</v>
      </c>
      <c r="AQ40" s="194">
        <f t="shared" si="102"/>
        <v>0</v>
      </c>
      <c r="AR40" s="194">
        <f t="shared" si="102"/>
        <v>0</v>
      </c>
      <c r="AS40" s="194">
        <f t="shared" si="102"/>
        <v>0</v>
      </c>
      <c r="AT40" s="194">
        <f t="shared" si="102"/>
        <v>0</v>
      </c>
      <c r="AU40" s="194">
        <f t="shared" si="102"/>
        <v>0</v>
      </c>
      <c r="AV40" s="194">
        <f t="shared" si="102"/>
        <v>0</v>
      </c>
      <c r="AW40" s="194">
        <f t="shared" si="102"/>
        <v>0</v>
      </c>
      <c r="AX40" s="194">
        <f t="shared" si="102"/>
        <v>0</v>
      </c>
      <c r="AY40" s="194">
        <f t="shared" si="102"/>
        <v>0</v>
      </c>
      <c r="AZ40" s="194">
        <f t="shared" si="102"/>
        <v>0</v>
      </c>
      <c r="BA40" s="194">
        <f t="shared" si="102"/>
        <v>0</v>
      </c>
      <c r="BB40" s="195">
        <f>SUM(AP40:BA40)</f>
        <v>0</v>
      </c>
      <c r="BC40" s="194">
        <f aca="true" t="shared" si="103" ref="BC40:BN40">BB43*$B36/12</f>
        <v>0</v>
      </c>
      <c r="BD40" s="194">
        <f t="shared" si="103"/>
        <v>0</v>
      </c>
      <c r="BE40" s="194">
        <f t="shared" si="103"/>
        <v>0</v>
      </c>
      <c r="BF40" s="194">
        <f t="shared" si="103"/>
        <v>0</v>
      </c>
      <c r="BG40" s="194">
        <f t="shared" si="103"/>
        <v>0</v>
      </c>
      <c r="BH40" s="194">
        <f t="shared" si="103"/>
        <v>0</v>
      </c>
      <c r="BI40" s="194">
        <f t="shared" si="103"/>
        <v>0</v>
      </c>
      <c r="BJ40" s="194">
        <f t="shared" si="103"/>
        <v>0</v>
      </c>
      <c r="BK40" s="194">
        <f t="shared" si="103"/>
        <v>0</v>
      </c>
      <c r="BL40" s="194">
        <f t="shared" si="103"/>
        <v>0</v>
      </c>
      <c r="BM40" s="194">
        <f t="shared" si="103"/>
        <v>0</v>
      </c>
      <c r="BN40" s="194">
        <f t="shared" si="103"/>
        <v>0</v>
      </c>
      <c r="BO40" s="195">
        <f>SUM(BC40:BN40)</f>
        <v>0</v>
      </c>
      <c r="BP40" s="194">
        <f aca="true" t="shared" si="104" ref="BP40:CA40">BO43*$B36/12</f>
        <v>0</v>
      </c>
      <c r="BQ40" s="194">
        <f t="shared" si="104"/>
        <v>0</v>
      </c>
      <c r="BR40" s="194">
        <f t="shared" si="104"/>
        <v>0</v>
      </c>
      <c r="BS40" s="194">
        <f t="shared" si="104"/>
        <v>0</v>
      </c>
      <c r="BT40" s="194">
        <f t="shared" si="104"/>
        <v>0</v>
      </c>
      <c r="BU40" s="194">
        <f t="shared" si="104"/>
        <v>0</v>
      </c>
      <c r="BV40" s="194">
        <f t="shared" si="104"/>
        <v>0</v>
      </c>
      <c r="BW40" s="194">
        <f t="shared" si="104"/>
        <v>0</v>
      </c>
      <c r="BX40" s="194">
        <f t="shared" si="104"/>
        <v>0</v>
      </c>
      <c r="BY40" s="194">
        <f t="shared" si="104"/>
        <v>0</v>
      </c>
      <c r="BZ40" s="194">
        <f t="shared" si="104"/>
        <v>0</v>
      </c>
      <c r="CA40" s="194">
        <f t="shared" si="104"/>
        <v>0</v>
      </c>
      <c r="CB40" s="195">
        <f>SUM(BP40:CA40)</f>
        <v>0</v>
      </c>
      <c r="CC40" s="194">
        <f aca="true" t="shared" si="105" ref="CC40:CN40">CB43*$B36/12</f>
        <v>0</v>
      </c>
      <c r="CD40" s="194">
        <f t="shared" si="105"/>
        <v>0</v>
      </c>
      <c r="CE40" s="194">
        <f t="shared" si="105"/>
        <v>0</v>
      </c>
      <c r="CF40" s="194">
        <f t="shared" si="105"/>
        <v>0</v>
      </c>
      <c r="CG40" s="194">
        <f t="shared" si="105"/>
        <v>0</v>
      </c>
      <c r="CH40" s="194">
        <f t="shared" si="105"/>
        <v>0</v>
      </c>
      <c r="CI40" s="194">
        <f t="shared" si="105"/>
        <v>0</v>
      </c>
      <c r="CJ40" s="194">
        <f t="shared" si="105"/>
        <v>0</v>
      </c>
      <c r="CK40" s="194">
        <f t="shared" si="105"/>
        <v>0</v>
      </c>
      <c r="CL40" s="194">
        <f t="shared" si="105"/>
        <v>0</v>
      </c>
      <c r="CM40" s="194">
        <f t="shared" si="105"/>
        <v>0</v>
      </c>
      <c r="CN40" s="194">
        <f t="shared" si="105"/>
        <v>0</v>
      </c>
      <c r="CO40" s="195">
        <f>SUM(CC40:CN40)</f>
        <v>0</v>
      </c>
      <c r="CP40" s="194">
        <f aca="true" t="shared" si="106" ref="CP40:DA40">CO43*$B36/12</f>
        <v>0</v>
      </c>
      <c r="CQ40" s="194">
        <f t="shared" si="106"/>
        <v>0</v>
      </c>
      <c r="CR40" s="194">
        <f t="shared" si="106"/>
        <v>0</v>
      </c>
      <c r="CS40" s="194">
        <f t="shared" si="106"/>
        <v>0</v>
      </c>
      <c r="CT40" s="194">
        <f t="shared" si="106"/>
        <v>0</v>
      </c>
      <c r="CU40" s="194">
        <f t="shared" si="106"/>
        <v>0</v>
      </c>
      <c r="CV40" s="194">
        <f t="shared" si="106"/>
        <v>0</v>
      </c>
      <c r="CW40" s="194">
        <f t="shared" si="106"/>
        <v>0</v>
      </c>
      <c r="CX40" s="194">
        <f t="shared" si="106"/>
        <v>0</v>
      </c>
      <c r="CY40" s="194">
        <f t="shared" si="106"/>
        <v>0</v>
      </c>
      <c r="CZ40" s="194">
        <f t="shared" si="106"/>
        <v>0</v>
      </c>
      <c r="DA40" s="194">
        <f t="shared" si="106"/>
        <v>0</v>
      </c>
      <c r="DB40" s="195">
        <f>SUM(CP40:DA40)</f>
        <v>0</v>
      </c>
      <c r="DC40" s="194">
        <f aca="true" t="shared" si="107" ref="DC40:DN40">DB43*$B36/12</f>
        <v>0</v>
      </c>
      <c r="DD40" s="194">
        <f t="shared" si="107"/>
        <v>0</v>
      </c>
      <c r="DE40" s="194">
        <f t="shared" si="107"/>
        <v>0</v>
      </c>
      <c r="DF40" s="194">
        <f t="shared" si="107"/>
        <v>0</v>
      </c>
      <c r="DG40" s="194">
        <f t="shared" si="107"/>
        <v>0</v>
      </c>
      <c r="DH40" s="194">
        <f t="shared" si="107"/>
        <v>0</v>
      </c>
      <c r="DI40" s="194">
        <f t="shared" si="107"/>
        <v>0</v>
      </c>
      <c r="DJ40" s="194">
        <f t="shared" si="107"/>
        <v>0</v>
      </c>
      <c r="DK40" s="194">
        <f t="shared" si="107"/>
        <v>0</v>
      </c>
      <c r="DL40" s="194">
        <f t="shared" si="107"/>
        <v>0</v>
      </c>
      <c r="DM40" s="194">
        <f t="shared" si="107"/>
        <v>0</v>
      </c>
      <c r="DN40" s="194">
        <f t="shared" si="107"/>
        <v>0</v>
      </c>
      <c r="DO40" s="195">
        <f>SUM(DC40:DN40)</f>
        <v>0</v>
      </c>
    </row>
    <row r="41" spans="1:119" ht="12.75" hidden="1">
      <c r="A41" s="188" t="s">
        <v>14</v>
      </c>
      <c r="B41" s="193">
        <f>O41+AB41+AO41+BB41+BO41+CB41+CO41+DB41+DO41</f>
        <v>0</v>
      </c>
      <c r="C41" s="194"/>
      <c r="D41" s="194"/>
      <c r="E41" s="194"/>
      <c r="F41" s="194"/>
      <c r="G41" s="194"/>
      <c r="H41" s="194"/>
      <c r="I41" s="194"/>
      <c r="J41" s="194"/>
      <c r="K41" s="199"/>
      <c r="L41" s="199"/>
      <c r="M41" s="199"/>
      <c r="N41" s="199"/>
      <c r="O41" s="195">
        <f>SUM(C41:N41)</f>
        <v>0</v>
      </c>
      <c r="P41" s="199"/>
      <c r="Q41" s="199"/>
      <c r="R41" s="199"/>
      <c r="S41" s="199"/>
      <c r="T41" s="199"/>
      <c r="U41" s="194">
        <f>$B45-U40</f>
        <v>0</v>
      </c>
      <c r="V41" s="194">
        <f aca="true" t="shared" si="108" ref="V41:AA41">$B45-V40</f>
        <v>0</v>
      </c>
      <c r="W41" s="194">
        <f t="shared" si="108"/>
        <v>0</v>
      </c>
      <c r="X41" s="194">
        <f t="shared" si="108"/>
        <v>0</v>
      </c>
      <c r="Y41" s="194">
        <f t="shared" si="108"/>
        <v>0</v>
      </c>
      <c r="Z41" s="194">
        <f t="shared" si="108"/>
        <v>0</v>
      </c>
      <c r="AA41" s="194">
        <f t="shared" si="108"/>
        <v>0</v>
      </c>
      <c r="AB41" s="195">
        <f>SUM(P41:AA41)</f>
        <v>0</v>
      </c>
      <c r="AC41" s="194">
        <f aca="true" t="shared" si="109" ref="AC41:AN41">$B45-AC40</f>
        <v>0</v>
      </c>
      <c r="AD41" s="194">
        <f t="shared" si="109"/>
        <v>0</v>
      </c>
      <c r="AE41" s="194">
        <f t="shared" si="109"/>
        <v>0</v>
      </c>
      <c r="AF41" s="194">
        <f t="shared" si="109"/>
        <v>0</v>
      </c>
      <c r="AG41" s="194">
        <f t="shared" si="109"/>
        <v>0</v>
      </c>
      <c r="AH41" s="194">
        <f t="shared" si="109"/>
        <v>0</v>
      </c>
      <c r="AI41" s="194">
        <f t="shared" si="109"/>
        <v>0</v>
      </c>
      <c r="AJ41" s="194">
        <f t="shared" si="109"/>
        <v>0</v>
      </c>
      <c r="AK41" s="194">
        <f t="shared" si="109"/>
        <v>0</v>
      </c>
      <c r="AL41" s="194">
        <f t="shared" si="109"/>
        <v>0</v>
      </c>
      <c r="AM41" s="194">
        <f t="shared" si="109"/>
        <v>0</v>
      </c>
      <c r="AN41" s="194">
        <f t="shared" si="109"/>
        <v>0</v>
      </c>
      <c r="AO41" s="195">
        <f>SUM(AC41:AN41)</f>
        <v>0</v>
      </c>
      <c r="AP41" s="194">
        <f aca="true" t="shared" si="110" ref="AP41:BA41">$B45-AP40</f>
        <v>0</v>
      </c>
      <c r="AQ41" s="194">
        <f t="shared" si="110"/>
        <v>0</v>
      </c>
      <c r="AR41" s="194">
        <f t="shared" si="110"/>
        <v>0</v>
      </c>
      <c r="AS41" s="194">
        <f t="shared" si="110"/>
        <v>0</v>
      </c>
      <c r="AT41" s="194">
        <f t="shared" si="110"/>
        <v>0</v>
      </c>
      <c r="AU41" s="194">
        <f t="shared" si="110"/>
        <v>0</v>
      </c>
      <c r="AV41" s="194">
        <f t="shared" si="110"/>
        <v>0</v>
      </c>
      <c r="AW41" s="194">
        <f t="shared" si="110"/>
        <v>0</v>
      </c>
      <c r="AX41" s="194">
        <f t="shared" si="110"/>
        <v>0</v>
      </c>
      <c r="AY41" s="194">
        <f t="shared" si="110"/>
        <v>0</v>
      </c>
      <c r="AZ41" s="194">
        <f t="shared" si="110"/>
        <v>0</v>
      </c>
      <c r="BA41" s="194">
        <f t="shared" si="110"/>
        <v>0</v>
      </c>
      <c r="BB41" s="195">
        <f>SUM(AP41:BA41)</f>
        <v>0</v>
      </c>
      <c r="BC41" s="194">
        <f aca="true" t="shared" si="111" ref="BC41:BN41">$B45-BC40</f>
        <v>0</v>
      </c>
      <c r="BD41" s="194">
        <f t="shared" si="111"/>
        <v>0</v>
      </c>
      <c r="BE41" s="194">
        <f t="shared" si="111"/>
        <v>0</v>
      </c>
      <c r="BF41" s="194">
        <f t="shared" si="111"/>
        <v>0</v>
      </c>
      <c r="BG41" s="194">
        <f t="shared" si="111"/>
        <v>0</v>
      </c>
      <c r="BH41" s="194">
        <f t="shared" si="111"/>
        <v>0</v>
      </c>
      <c r="BI41" s="194">
        <f t="shared" si="111"/>
        <v>0</v>
      </c>
      <c r="BJ41" s="194">
        <f t="shared" si="111"/>
        <v>0</v>
      </c>
      <c r="BK41" s="194">
        <f t="shared" si="111"/>
        <v>0</v>
      </c>
      <c r="BL41" s="194">
        <f t="shared" si="111"/>
        <v>0</v>
      </c>
      <c r="BM41" s="194">
        <f t="shared" si="111"/>
        <v>0</v>
      </c>
      <c r="BN41" s="194">
        <f t="shared" si="111"/>
        <v>0</v>
      </c>
      <c r="BO41" s="195">
        <f>SUM(BC41:BN41)</f>
        <v>0</v>
      </c>
      <c r="BP41" s="194">
        <f aca="true" t="shared" si="112" ref="BP41:CA41">$B45-BP40</f>
        <v>0</v>
      </c>
      <c r="BQ41" s="194">
        <f t="shared" si="112"/>
        <v>0</v>
      </c>
      <c r="BR41" s="194">
        <f t="shared" si="112"/>
        <v>0</v>
      </c>
      <c r="BS41" s="194">
        <f t="shared" si="112"/>
        <v>0</v>
      </c>
      <c r="BT41" s="194">
        <f t="shared" si="112"/>
        <v>0</v>
      </c>
      <c r="BU41" s="194">
        <f t="shared" si="112"/>
        <v>0</v>
      </c>
      <c r="BV41" s="194">
        <f t="shared" si="112"/>
        <v>0</v>
      </c>
      <c r="BW41" s="194">
        <f t="shared" si="112"/>
        <v>0</v>
      </c>
      <c r="BX41" s="194">
        <f t="shared" si="112"/>
        <v>0</v>
      </c>
      <c r="BY41" s="194">
        <f t="shared" si="112"/>
        <v>0</v>
      </c>
      <c r="BZ41" s="194">
        <f t="shared" si="112"/>
        <v>0</v>
      </c>
      <c r="CA41" s="194">
        <f t="shared" si="112"/>
        <v>0</v>
      </c>
      <c r="CB41" s="195">
        <f>SUM(BP41:CA41)</f>
        <v>0</v>
      </c>
      <c r="CC41" s="194">
        <f aca="true" t="shared" si="113" ref="CC41:CN41">$B45-CC40</f>
        <v>0</v>
      </c>
      <c r="CD41" s="194">
        <f t="shared" si="113"/>
        <v>0</v>
      </c>
      <c r="CE41" s="194">
        <f t="shared" si="113"/>
        <v>0</v>
      </c>
      <c r="CF41" s="194">
        <f t="shared" si="113"/>
        <v>0</v>
      </c>
      <c r="CG41" s="194">
        <f t="shared" si="113"/>
        <v>0</v>
      </c>
      <c r="CH41" s="194">
        <f t="shared" si="113"/>
        <v>0</v>
      </c>
      <c r="CI41" s="194">
        <f t="shared" si="113"/>
        <v>0</v>
      </c>
      <c r="CJ41" s="194">
        <f t="shared" si="113"/>
        <v>0</v>
      </c>
      <c r="CK41" s="194">
        <f t="shared" si="113"/>
        <v>0</v>
      </c>
      <c r="CL41" s="194">
        <f t="shared" si="113"/>
        <v>0</v>
      </c>
      <c r="CM41" s="194">
        <f t="shared" si="113"/>
        <v>0</v>
      </c>
      <c r="CN41" s="194">
        <f t="shared" si="113"/>
        <v>0</v>
      </c>
      <c r="CO41" s="195">
        <f>SUM(CC41:CN41)</f>
        <v>0</v>
      </c>
      <c r="CP41" s="194">
        <f aca="true" t="shared" si="114" ref="CP41:CW41">$B45-CP40</f>
        <v>0</v>
      </c>
      <c r="CQ41" s="194">
        <f t="shared" si="114"/>
        <v>0</v>
      </c>
      <c r="CR41" s="194">
        <f t="shared" si="114"/>
        <v>0</v>
      </c>
      <c r="CS41" s="194">
        <f t="shared" si="114"/>
        <v>0</v>
      </c>
      <c r="CT41" s="194">
        <f t="shared" si="114"/>
        <v>0</v>
      </c>
      <c r="CU41" s="194">
        <f t="shared" si="114"/>
        <v>0</v>
      </c>
      <c r="CV41" s="194">
        <f t="shared" si="114"/>
        <v>0</v>
      </c>
      <c r="CW41" s="194">
        <f t="shared" si="114"/>
        <v>0</v>
      </c>
      <c r="CX41" s="194"/>
      <c r="CY41" s="194"/>
      <c r="CZ41" s="194"/>
      <c r="DA41" s="194"/>
      <c r="DB41" s="195">
        <f>SUM(CP41:DA41)</f>
        <v>0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 hidden="1">
      <c r="A42" s="188" t="s">
        <v>15</v>
      </c>
      <c r="B42" s="193">
        <f>O42+AB42+AO42+BB42+BO42+CB42+CO42+DB42+DO42</f>
        <v>0</v>
      </c>
      <c r="C42" s="194"/>
      <c r="D42" s="194"/>
      <c r="E42" s="194"/>
      <c r="F42" s="194"/>
      <c r="G42" s="194"/>
      <c r="H42" s="194"/>
      <c r="I42" s="194"/>
      <c r="J42" s="194"/>
      <c r="K42" s="199"/>
      <c r="L42" s="199"/>
      <c r="M42" s="199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0</v>
      </c>
      <c r="V42" s="194">
        <f aca="true" t="shared" si="115" ref="V42:AA42">V40</f>
        <v>0</v>
      </c>
      <c r="W42" s="194">
        <f t="shared" si="115"/>
        <v>0</v>
      </c>
      <c r="X42" s="194">
        <f t="shared" si="115"/>
        <v>0</v>
      </c>
      <c r="Y42" s="194">
        <f t="shared" si="115"/>
        <v>0</v>
      </c>
      <c r="Z42" s="194">
        <f t="shared" si="115"/>
        <v>0</v>
      </c>
      <c r="AA42" s="194">
        <f t="shared" si="115"/>
        <v>0</v>
      </c>
      <c r="AB42" s="195">
        <f>SUM(P42:AA42)</f>
        <v>0</v>
      </c>
      <c r="AC42" s="194">
        <f aca="true" t="shared" si="116" ref="AC42:AK42">AC40</f>
        <v>0</v>
      </c>
      <c r="AD42" s="194">
        <f t="shared" si="116"/>
        <v>0</v>
      </c>
      <c r="AE42" s="194">
        <f t="shared" si="116"/>
        <v>0</v>
      </c>
      <c r="AF42" s="194">
        <f t="shared" si="116"/>
        <v>0</v>
      </c>
      <c r="AG42" s="194">
        <f t="shared" si="116"/>
        <v>0</v>
      </c>
      <c r="AH42" s="194">
        <f t="shared" si="116"/>
        <v>0</v>
      </c>
      <c r="AI42" s="194">
        <f t="shared" si="116"/>
        <v>0</v>
      </c>
      <c r="AJ42" s="194">
        <f t="shared" si="116"/>
        <v>0</v>
      </c>
      <c r="AK42" s="194">
        <f t="shared" si="116"/>
        <v>0</v>
      </c>
      <c r="AL42" s="194">
        <f>AL40</f>
        <v>0</v>
      </c>
      <c r="AM42" s="194">
        <f>AM40</f>
        <v>0</v>
      </c>
      <c r="AN42" s="194">
        <f>AN40</f>
        <v>0</v>
      </c>
      <c r="AO42" s="195">
        <f>SUM(AC42:AN42)</f>
        <v>0</v>
      </c>
      <c r="AP42" s="194">
        <f aca="true" t="shared" si="117" ref="AP42:BA42">AP40</f>
        <v>0</v>
      </c>
      <c r="AQ42" s="194">
        <f t="shared" si="117"/>
        <v>0</v>
      </c>
      <c r="AR42" s="194">
        <f t="shared" si="117"/>
        <v>0</v>
      </c>
      <c r="AS42" s="194">
        <f t="shared" si="117"/>
        <v>0</v>
      </c>
      <c r="AT42" s="194">
        <f t="shared" si="117"/>
        <v>0</v>
      </c>
      <c r="AU42" s="194">
        <f t="shared" si="117"/>
        <v>0</v>
      </c>
      <c r="AV42" s="194">
        <f t="shared" si="117"/>
        <v>0</v>
      </c>
      <c r="AW42" s="194">
        <f t="shared" si="117"/>
        <v>0</v>
      </c>
      <c r="AX42" s="194">
        <f t="shared" si="117"/>
        <v>0</v>
      </c>
      <c r="AY42" s="194">
        <f t="shared" si="117"/>
        <v>0</v>
      </c>
      <c r="AZ42" s="194">
        <f t="shared" si="117"/>
        <v>0</v>
      </c>
      <c r="BA42" s="194">
        <f t="shared" si="117"/>
        <v>0</v>
      </c>
      <c r="BB42" s="195">
        <f>SUM(AP42:BA42)</f>
        <v>0</v>
      </c>
      <c r="BC42" s="194">
        <f aca="true" t="shared" si="118" ref="BC42:BN42">BC40</f>
        <v>0</v>
      </c>
      <c r="BD42" s="194">
        <f t="shared" si="118"/>
        <v>0</v>
      </c>
      <c r="BE42" s="194">
        <f t="shared" si="118"/>
        <v>0</v>
      </c>
      <c r="BF42" s="194">
        <f t="shared" si="118"/>
        <v>0</v>
      </c>
      <c r="BG42" s="194">
        <f t="shared" si="118"/>
        <v>0</v>
      </c>
      <c r="BH42" s="194">
        <f t="shared" si="118"/>
        <v>0</v>
      </c>
      <c r="BI42" s="194">
        <f t="shared" si="118"/>
        <v>0</v>
      </c>
      <c r="BJ42" s="194">
        <f t="shared" si="118"/>
        <v>0</v>
      </c>
      <c r="BK42" s="194">
        <f t="shared" si="118"/>
        <v>0</v>
      </c>
      <c r="BL42" s="194">
        <f t="shared" si="118"/>
        <v>0</v>
      </c>
      <c r="BM42" s="194">
        <f t="shared" si="118"/>
        <v>0</v>
      </c>
      <c r="BN42" s="194">
        <f t="shared" si="118"/>
        <v>0</v>
      </c>
      <c r="BO42" s="195">
        <f>SUM(BC42:BN42)</f>
        <v>0</v>
      </c>
      <c r="BP42" s="194">
        <f aca="true" t="shared" si="119" ref="BP42:CA42">BP40</f>
        <v>0</v>
      </c>
      <c r="BQ42" s="194">
        <f t="shared" si="119"/>
        <v>0</v>
      </c>
      <c r="BR42" s="194">
        <f t="shared" si="119"/>
        <v>0</v>
      </c>
      <c r="BS42" s="194">
        <f t="shared" si="119"/>
        <v>0</v>
      </c>
      <c r="BT42" s="194">
        <f t="shared" si="119"/>
        <v>0</v>
      </c>
      <c r="BU42" s="194">
        <f t="shared" si="119"/>
        <v>0</v>
      </c>
      <c r="BV42" s="194">
        <f t="shared" si="119"/>
        <v>0</v>
      </c>
      <c r="BW42" s="194">
        <f t="shared" si="119"/>
        <v>0</v>
      </c>
      <c r="BX42" s="194">
        <f t="shared" si="119"/>
        <v>0</v>
      </c>
      <c r="BY42" s="194">
        <f t="shared" si="119"/>
        <v>0</v>
      </c>
      <c r="BZ42" s="194">
        <f t="shared" si="119"/>
        <v>0</v>
      </c>
      <c r="CA42" s="194">
        <f t="shared" si="119"/>
        <v>0</v>
      </c>
      <c r="CB42" s="195">
        <f>SUM(BP42:CA42)</f>
        <v>0</v>
      </c>
      <c r="CC42" s="194">
        <f aca="true" t="shared" si="120" ref="CC42:CN42">CC40</f>
        <v>0</v>
      </c>
      <c r="CD42" s="194">
        <f t="shared" si="120"/>
        <v>0</v>
      </c>
      <c r="CE42" s="194">
        <f t="shared" si="120"/>
        <v>0</v>
      </c>
      <c r="CF42" s="194">
        <f t="shared" si="120"/>
        <v>0</v>
      </c>
      <c r="CG42" s="194">
        <f t="shared" si="120"/>
        <v>0</v>
      </c>
      <c r="CH42" s="194">
        <f t="shared" si="120"/>
        <v>0</v>
      </c>
      <c r="CI42" s="194">
        <f t="shared" si="120"/>
        <v>0</v>
      </c>
      <c r="CJ42" s="194">
        <f t="shared" si="120"/>
        <v>0</v>
      </c>
      <c r="CK42" s="194">
        <f t="shared" si="120"/>
        <v>0</v>
      </c>
      <c r="CL42" s="194">
        <f t="shared" si="120"/>
        <v>0</v>
      </c>
      <c r="CM42" s="194">
        <f t="shared" si="120"/>
        <v>0</v>
      </c>
      <c r="CN42" s="194">
        <f t="shared" si="120"/>
        <v>0</v>
      </c>
      <c r="CO42" s="195">
        <f>SUM(CC42:CN42)</f>
        <v>0</v>
      </c>
      <c r="CP42" s="194">
        <f aca="true" t="shared" si="121" ref="CP42:DA42">CP40</f>
        <v>0</v>
      </c>
      <c r="CQ42" s="194">
        <f t="shared" si="121"/>
        <v>0</v>
      </c>
      <c r="CR42" s="194">
        <f t="shared" si="121"/>
        <v>0</v>
      </c>
      <c r="CS42" s="194">
        <f t="shared" si="121"/>
        <v>0</v>
      </c>
      <c r="CT42" s="194">
        <f t="shared" si="121"/>
        <v>0</v>
      </c>
      <c r="CU42" s="194">
        <f t="shared" si="121"/>
        <v>0</v>
      </c>
      <c r="CV42" s="194">
        <f t="shared" si="121"/>
        <v>0</v>
      </c>
      <c r="CW42" s="194">
        <f t="shared" si="121"/>
        <v>0</v>
      </c>
      <c r="CX42" s="194">
        <f t="shared" si="121"/>
        <v>0</v>
      </c>
      <c r="CY42" s="194">
        <f t="shared" si="121"/>
        <v>0</v>
      </c>
      <c r="CZ42" s="194">
        <f t="shared" si="121"/>
        <v>0</v>
      </c>
      <c r="DA42" s="194">
        <f t="shared" si="121"/>
        <v>0</v>
      </c>
      <c r="DB42" s="195">
        <f>SUM(CP42:DA42)</f>
        <v>0</v>
      </c>
      <c r="DC42" s="194">
        <f aca="true" t="shared" si="122" ref="DC42:DN42">DC40</f>
        <v>0</v>
      </c>
      <c r="DD42" s="194">
        <f t="shared" si="122"/>
        <v>0</v>
      </c>
      <c r="DE42" s="194">
        <f t="shared" si="122"/>
        <v>0</v>
      </c>
      <c r="DF42" s="194">
        <f t="shared" si="122"/>
        <v>0</v>
      </c>
      <c r="DG42" s="194">
        <f t="shared" si="122"/>
        <v>0</v>
      </c>
      <c r="DH42" s="194">
        <f t="shared" si="122"/>
        <v>0</v>
      </c>
      <c r="DI42" s="194">
        <f t="shared" si="122"/>
        <v>0</v>
      </c>
      <c r="DJ42" s="194">
        <f t="shared" si="122"/>
        <v>0</v>
      </c>
      <c r="DK42" s="194">
        <f t="shared" si="122"/>
        <v>0</v>
      </c>
      <c r="DL42" s="194">
        <f t="shared" si="122"/>
        <v>0</v>
      </c>
      <c r="DM42" s="194">
        <f t="shared" si="122"/>
        <v>0</v>
      </c>
      <c r="DN42" s="194">
        <f t="shared" si="122"/>
        <v>0</v>
      </c>
      <c r="DO42" s="195">
        <f>SUM(DC42:DN42)</f>
        <v>0</v>
      </c>
    </row>
    <row r="43" spans="1:119" ht="12.75" hidden="1">
      <c r="A43" s="188" t="s">
        <v>16</v>
      </c>
      <c r="B43" s="193">
        <f>DO43</f>
        <v>0</v>
      </c>
      <c r="C43" s="194">
        <f>C38</f>
        <v>0</v>
      </c>
      <c r="D43" s="194">
        <f aca="true" t="shared" si="123" ref="D43:N43">C43+D38-D41+D39</f>
        <v>0</v>
      </c>
      <c r="E43" s="194">
        <f t="shared" si="123"/>
        <v>0</v>
      </c>
      <c r="F43" s="194">
        <f t="shared" si="123"/>
        <v>0</v>
      </c>
      <c r="G43" s="194">
        <f t="shared" si="123"/>
        <v>0</v>
      </c>
      <c r="H43" s="194">
        <f t="shared" si="123"/>
        <v>0</v>
      </c>
      <c r="I43" s="194">
        <f t="shared" si="123"/>
        <v>0</v>
      </c>
      <c r="J43" s="194">
        <f t="shared" si="123"/>
        <v>0</v>
      </c>
      <c r="K43" s="194">
        <f t="shared" si="123"/>
        <v>0</v>
      </c>
      <c r="L43" s="194">
        <f t="shared" si="123"/>
        <v>0</v>
      </c>
      <c r="M43" s="194">
        <f t="shared" si="123"/>
        <v>0</v>
      </c>
      <c r="N43" s="194">
        <f t="shared" si="123"/>
        <v>0</v>
      </c>
      <c r="O43" s="195">
        <f>N43</f>
        <v>0</v>
      </c>
      <c r="P43" s="194">
        <f aca="true" t="shared" si="124" ref="P43:AA43">O43+P38-P41+P39</f>
        <v>0</v>
      </c>
      <c r="Q43" s="194">
        <f t="shared" si="124"/>
        <v>0</v>
      </c>
      <c r="R43" s="194">
        <f t="shared" si="124"/>
        <v>0</v>
      </c>
      <c r="S43" s="194">
        <f t="shared" si="124"/>
        <v>0</v>
      </c>
      <c r="T43" s="194">
        <f t="shared" si="124"/>
        <v>0</v>
      </c>
      <c r="U43" s="194">
        <f t="shared" si="124"/>
        <v>0</v>
      </c>
      <c r="V43" s="194">
        <f t="shared" si="124"/>
        <v>0</v>
      </c>
      <c r="W43" s="194">
        <f t="shared" si="124"/>
        <v>0</v>
      </c>
      <c r="X43" s="194">
        <f t="shared" si="124"/>
        <v>0</v>
      </c>
      <c r="Y43" s="194">
        <f t="shared" si="124"/>
        <v>0</v>
      </c>
      <c r="Z43" s="194">
        <f t="shared" si="124"/>
        <v>0</v>
      </c>
      <c r="AA43" s="194">
        <f t="shared" si="124"/>
        <v>0</v>
      </c>
      <c r="AB43" s="195">
        <f>AA43</f>
        <v>0</v>
      </c>
      <c r="AC43" s="194">
        <f aca="true" t="shared" si="125" ref="AC43:AN43">AB43+AC38-AC41+AC39</f>
        <v>0</v>
      </c>
      <c r="AD43" s="194">
        <f t="shared" si="125"/>
        <v>0</v>
      </c>
      <c r="AE43" s="194">
        <f t="shared" si="125"/>
        <v>0</v>
      </c>
      <c r="AF43" s="194">
        <f t="shared" si="125"/>
        <v>0</v>
      </c>
      <c r="AG43" s="194">
        <f t="shared" si="125"/>
        <v>0</v>
      </c>
      <c r="AH43" s="194">
        <f t="shared" si="125"/>
        <v>0</v>
      </c>
      <c r="AI43" s="194">
        <f t="shared" si="125"/>
        <v>0</v>
      </c>
      <c r="AJ43" s="194">
        <f t="shared" si="125"/>
        <v>0</v>
      </c>
      <c r="AK43" s="194">
        <f t="shared" si="125"/>
        <v>0</v>
      </c>
      <c r="AL43" s="194">
        <f t="shared" si="125"/>
        <v>0</v>
      </c>
      <c r="AM43" s="194">
        <f t="shared" si="125"/>
        <v>0</v>
      </c>
      <c r="AN43" s="194">
        <f t="shared" si="125"/>
        <v>0</v>
      </c>
      <c r="AO43" s="195">
        <f>AN43</f>
        <v>0</v>
      </c>
      <c r="AP43" s="194">
        <f aca="true" t="shared" si="126" ref="AP43:BA43">AO43+AP38-AP41+AP39</f>
        <v>0</v>
      </c>
      <c r="AQ43" s="194">
        <f t="shared" si="126"/>
        <v>0</v>
      </c>
      <c r="AR43" s="194">
        <f t="shared" si="126"/>
        <v>0</v>
      </c>
      <c r="AS43" s="194">
        <f t="shared" si="126"/>
        <v>0</v>
      </c>
      <c r="AT43" s="194">
        <f t="shared" si="126"/>
        <v>0</v>
      </c>
      <c r="AU43" s="194">
        <f t="shared" si="126"/>
        <v>0</v>
      </c>
      <c r="AV43" s="194">
        <f t="shared" si="126"/>
        <v>0</v>
      </c>
      <c r="AW43" s="194">
        <f t="shared" si="126"/>
        <v>0</v>
      </c>
      <c r="AX43" s="194">
        <f t="shared" si="126"/>
        <v>0</v>
      </c>
      <c r="AY43" s="194">
        <f t="shared" si="126"/>
        <v>0</v>
      </c>
      <c r="AZ43" s="194">
        <f t="shared" si="126"/>
        <v>0</v>
      </c>
      <c r="BA43" s="194">
        <f t="shared" si="126"/>
        <v>0</v>
      </c>
      <c r="BB43" s="195">
        <f>BA43</f>
        <v>0</v>
      </c>
      <c r="BC43" s="194">
        <f aca="true" t="shared" si="127" ref="BC43:BN43">BB43+BC38-BC41+BC39</f>
        <v>0</v>
      </c>
      <c r="BD43" s="194">
        <f t="shared" si="127"/>
        <v>0</v>
      </c>
      <c r="BE43" s="194">
        <f t="shared" si="127"/>
        <v>0</v>
      </c>
      <c r="BF43" s="194">
        <f t="shared" si="127"/>
        <v>0</v>
      </c>
      <c r="BG43" s="194">
        <f t="shared" si="127"/>
        <v>0</v>
      </c>
      <c r="BH43" s="194">
        <f t="shared" si="127"/>
        <v>0</v>
      </c>
      <c r="BI43" s="194">
        <f t="shared" si="127"/>
        <v>0</v>
      </c>
      <c r="BJ43" s="194">
        <f t="shared" si="127"/>
        <v>0</v>
      </c>
      <c r="BK43" s="194">
        <f t="shared" si="127"/>
        <v>0</v>
      </c>
      <c r="BL43" s="194">
        <f t="shared" si="127"/>
        <v>0</v>
      </c>
      <c r="BM43" s="194">
        <f t="shared" si="127"/>
        <v>0</v>
      </c>
      <c r="BN43" s="194">
        <f t="shared" si="127"/>
        <v>0</v>
      </c>
      <c r="BO43" s="195">
        <f>BN43</f>
        <v>0</v>
      </c>
      <c r="BP43" s="194">
        <f aca="true" t="shared" si="128" ref="BP43:CA43">BO43+BP38-BP41+BP39</f>
        <v>0</v>
      </c>
      <c r="BQ43" s="194">
        <f t="shared" si="128"/>
        <v>0</v>
      </c>
      <c r="BR43" s="194">
        <f t="shared" si="128"/>
        <v>0</v>
      </c>
      <c r="BS43" s="194">
        <f t="shared" si="128"/>
        <v>0</v>
      </c>
      <c r="BT43" s="194">
        <f t="shared" si="128"/>
        <v>0</v>
      </c>
      <c r="BU43" s="194">
        <f t="shared" si="128"/>
        <v>0</v>
      </c>
      <c r="BV43" s="194">
        <f t="shared" si="128"/>
        <v>0</v>
      </c>
      <c r="BW43" s="194">
        <f t="shared" si="128"/>
        <v>0</v>
      </c>
      <c r="BX43" s="194">
        <f t="shared" si="128"/>
        <v>0</v>
      </c>
      <c r="BY43" s="194">
        <f t="shared" si="128"/>
        <v>0</v>
      </c>
      <c r="BZ43" s="194">
        <f t="shared" si="128"/>
        <v>0</v>
      </c>
      <c r="CA43" s="194">
        <f t="shared" si="128"/>
        <v>0</v>
      </c>
      <c r="CB43" s="195">
        <f>CA43</f>
        <v>0</v>
      </c>
      <c r="CC43" s="194">
        <f aca="true" t="shared" si="129" ref="CC43:CN43">CB43+CC38-CC41+CC39</f>
        <v>0</v>
      </c>
      <c r="CD43" s="194">
        <f t="shared" si="129"/>
        <v>0</v>
      </c>
      <c r="CE43" s="194">
        <f t="shared" si="129"/>
        <v>0</v>
      </c>
      <c r="CF43" s="194">
        <f t="shared" si="129"/>
        <v>0</v>
      </c>
      <c r="CG43" s="194">
        <f t="shared" si="129"/>
        <v>0</v>
      </c>
      <c r="CH43" s="194">
        <f t="shared" si="129"/>
        <v>0</v>
      </c>
      <c r="CI43" s="194">
        <f t="shared" si="129"/>
        <v>0</v>
      </c>
      <c r="CJ43" s="194">
        <f t="shared" si="129"/>
        <v>0</v>
      </c>
      <c r="CK43" s="194">
        <f t="shared" si="129"/>
        <v>0</v>
      </c>
      <c r="CL43" s="194">
        <f t="shared" si="129"/>
        <v>0</v>
      </c>
      <c r="CM43" s="194">
        <f t="shared" si="129"/>
        <v>0</v>
      </c>
      <c r="CN43" s="194">
        <f t="shared" si="129"/>
        <v>0</v>
      </c>
      <c r="CO43" s="195">
        <f>CN43</f>
        <v>0</v>
      </c>
      <c r="CP43" s="194">
        <f aca="true" t="shared" si="130" ref="CP43:DA43">CO43+CP38-CP41+CP39</f>
        <v>0</v>
      </c>
      <c r="CQ43" s="194">
        <f t="shared" si="130"/>
        <v>0</v>
      </c>
      <c r="CR43" s="194">
        <f t="shared" si="130"/>
        <v>0</v>
      </c>
      <c r="CS43" s="194">
        <f t="shared" si="130"/>
        <v>0</v>
      </c>
      <c r="CT43" s="194">
        <f t="shared" si="130"/>
        <v>0</v>
      </c>
      <c r="CU43" s="194">
        <f t="shared" si="130"/>
        <v>0</v>
      </c>
      <c r="CV43" s="194">
        <f t="shared" si="130"/>
        <v>0</v>
      </c>
      <c r="CW43" s="194">
        <f t="shared" si="130"/>
        <v>0</v>
      </c>
      <c r="CX43" s="194">
        <f t="shared" si="130"/>
        <v>0</v>
      </c>
      <c r="CY43" s="194">
        <f t="shared" si="130"/>
        <v>0</v>
      </c>
      <c r="CZ43" s="194">
        <f t="shared" si="130"/>
        <v>0</v>
      </c>
      <c r="DA43" s="194">
        <f t="shared" si="130"/>
        <v>0</v>
      </c>
      <c r="DB43" s="195">
        <f>DA43</f>
        <v>0</v>
      </c>
      <c r="DC43" s="194">
        <f aca="true" t="shared" si="131" ref="DC43:DN43">DB43+DC38-DC41+DC39</f>
        <v>0</v>
      </c>
      <c r="DD43" s="194">
        <f t="shared" si="131"/>
        <v>0</v>
      </c>
      <c r="DE43" s="194">
        <f t="shared" si="131"/>
        <v>0</v>
      </c>
      <c r="DF43" s="194">
        <f t="shared" si="131"/>
        <v>0</v>
      </c>
      <c r="DG43" s="194">
        <f t="shared" si="131"/>
        <v>0</v>
      </c>
      <c r="DH43" s="194">
        <f t="shared" si="131"/>
        <v>0</v>
      </c>
      <c r="DI43" s="194">
        <f t="shared" si="131"/>
        <v>0</v>
      </c>
      <c r="DJ43" s="194">
        <f t="shared" si="131"/>
        <v>0</v>
      </c>
      <c r="DK43" s="194">
        <f t="shared" si="131"/>
        <v>0</v>
      </c>
      <c r="DL43" s="194">
        <f t="shared" si="131"/>
        <v>0</v>
      </c>
      <c r="DM43" s="194">
        <f t="shared" si="131"/>
        <v>0</v>
      </c>
      <c r="DN43" s="194">
        <f t="shared" si="131"/>
        <v>0</v>
      </c>
      <c r="DO43" s="195">
        <f>DN43</f>
        <v>0</v>
      </c>
    </row>
    <row r="44" spans="1:119" ht="12.75" hidden="1">
      <c r="A44" s="177" t="s">
        <v>78</v>
      </c>
      <c r="B44" s="284">
        <f>Исх!$C$37*12-Исх!$C$38</f>
        <v>75</v>
      </c>
      <c r="CP44" s="180"/>
      <c r="DB44" s="177"/>
      <c r="DO44" s="177"/>
    </row>
    <row r="45" spans="1:119" ht="12.75" hidden="1">
      <c r="A45" s="287" t="s">
        <v>251</v>
      </c>
      <c r="B45" s="288">
        <f>$T$43*$B$20/12/((1-(1+$B$20/12)^-$B44))</f>
        <v>0</v>
      </c>
      <c r="DB45" s="177"/>
      <c r="DO45" s="177"/>
    </row>
    <row r="46" spans="1:119" ht="6" customHeight="1" hidden="1">
      <c r="A46" s="285"/>
      <c r="B46" s="282"/>
      <c r="DB46" s="177"/>
      <c r="DO46" s="177"/>
    </row>
    <row r="47" spans="1:119" ht="12.75" hidden="1">
      <c r="A47" s="270" t="s">
        <v>240</v>
      </c>
      <c r="DB47" s="177"/>
      <c r="DO47" s="177"/>
    </row>
    <row r="48" spans="1:119" ht="12.75" hidden="1" outlineLevel="1">
      <c r="A48" s="271">
        <f>B38+B39-B41</f>
        <v>0</v>
      </c>
      <c r="DB48" s="177"/>
      <c r="DO48" s="177"/>
    </row>
    <row r="49" spans="1:119" ht="12.75" hidden="1" outlineLevel="1">
      <c r="A49" s="271">
        <f>B40-B39-B42</f>
        <v>0</v>
      </c>
      <c r="DB49" s="177"/>
      <c r="DO49" s="177"/>
    </row>
    <row r="50" ht="12.75" hidden="1" collapsed="1"/>
    <row r="51" spans="1:119" ht="12.75" hidden="1">
      <c r="A51" s="296" t="s">
        <v>269</v>
      </c>
      <c r="B51" s="297"/>
      <c r="DB51" s="177"/>
      <c r="DO51" s="177"/>
    </row>
    <row r="52" spans="1:119" ht="15.75" customHeight="1" hidden="1">
      <c r="A52" s="186" t="s">
        <v>11</v>
      </c>
      <c r="B52" s="286">
        <f>Исх!$C$36</f>
        <v>0.07</v>
      </c>
      <c r="C52" s="373">
        <v>2013</v>
      </c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>
        <v>2014</v>
      </c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>
        <v>2015</v>
      </c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>
        <v>2016</v>
      </c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>
        <v>2017</v>
      </c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>
        <v>2018</v>
      </c>
      <c r="BQ52" s="373"/>
      <c r="BR52" s="373"/>
      <c r="BS52" s="373"/>
      <c r="BT52" s="373"/>
      <c r="BU52" s="373"/>
      <c r="BV52" s="373"/>
      <c r="BW52" s="373"/>
      <c r="BX52" s="373"/>
      <c r="BY52" s="373"/>
      <c r="BZ52" s="373"/>
      <c r="CA52" s="373"/>
      <c r="CB52" s="373"/>
      <c r="CC52" s="373">
        <v>2019</v>
      </c>
      <c r="CD52" s="373"/>
      <c r="CE52" s="373"/>
      <c r="CF52" s="373"/>
      <c r="CG52" s="373"/>
      <c r="CH52" s="373"/>
      <c r="CI52" s="373"/>
      <c r="CJ52" s="373"/>
      <c r="CK52" s="373"/>
      <c r="CL52" s="373"/>
      <c r="CM52" s="373"/>
      <c r="CN52" s="373"/>
      <c r="CO52" s="373"/>
      <c r="CP52" s="373">
        <v>2020</v>
      </c>
      <c r="CQ52" s="373"/>
      <c r="CR52" s="373"/>
      <c r="CS52" s="373"/>
      <c r="CT52" s="373"/>
      <c r="CU52" s="373"/>
      <c r="CV52" s="373"/>
      <c r="CW52" s="373"/>
      <c r="CX52" s="373"/>
      <c r="CY52" s="373"/>
      <c r="CZ52" s="373"/>
      <c r="DA52" s="373"/>
      <c r="DB52" s="373"/>
      <c r="DC52" s="373">
        <v>2021</v>
      </c>
      <c r="DD52" s="373"/>
      <c r="DE52" s="373"/>
      <c r="DF52" s="373"/>
      <c r="DG52" s="373"/>
      <c r="DH52" s="373"/>
      <c r="DI52" s="373"/>
      <c r="DJ52" s="373"/>
      <c r="DK52" s="373"/>
      <c r="DL52" s="373"/>
      <c r="DM52" s="373"/>
      <c r="DN52" s="373"/>
      <c r="DO52" s="373"/>
    </row>
    <row r="53" spans="1:119" s="192" customFormat="1" ht="15" customHeight="1" hidden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2" ref="E53:N53">D53+1</f>
        <v>3</v>
      </c>
      <c r="F53" s="190">
        <f t="shared" si="132"/>
        <v>4</v>
      </c>
      <c r="G53" s="190">
        <f t="shared" si="132"/>
        <v>5</v>
      </c>
      <c r="H53" s="190">
        <f t="shared" si="132"/>
        <v>6</v>
      </c>
      <c r="I53" s="190">
        <f t="shared" si="132"/>
        <v>7</v>
      </c>
      <c r="J53" s="190">
        <f t="shared" si="132"/>
        <v>8</v>
      </c>
      <c r="K53" s="190">
        <f t="shared" si="132"/>
        <v>9</v>
      </c>
      <c r="L53" s="190">
        <f t="shared" si="132"/>
        <v>10</v>
      </c>
      <c r="M53" s="190">
        <f t="shared" si="132"/>
        <v>11</v>
      </c>
      <c r="N53" s="190">
        <f t="shared" si="132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3" ref="R53:AA53">Q53+1</f>
        <v>3</v>
      </c>
      <c r="S53" s="190">
        <f t="shared" si="133"/>
        <v>4</v>
      </c>
      <c r="T53" s="190">
        <f t="shared" si="133"/>
        <v>5</v>
      </c>
      <c r="U53" s="190">
        <f t="shared" si="133"/>
        <v>6</v>
      </c>
      <c r="V53" s="190">
        <f t="shared" si="133"/>
        <v>7</v>
      </c>
      <c r="W53" s="190">
        <f t="shared" si="133"/>
        <v>8</v>
      </c>
      <c r="X53" s="190">
        <f t="shared" si="133"/>
        <v>9</v>
      </c>
      <c r="Y53" s="190">
        <f t="shared" si="133"/>
        <v>10</v>
      </c>
      <c r="Z53" s="190">
        <f t="shared" si="133"/>
        <v>11</v>
      </c>
      <c r="AA53" s="190">
        <f t="shared" si="133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4" ref="AE53:AN53">AD53+1</f>
        <v>3</v>
      </c>
      <c r="AF53" s="190">
        <f t="shared" si="134"/>
        <v>4</v>
      </c>
      <c r="AG53" s="190">
        <f t="shared" si="134"/>
        <v>5</v>
      </c>
      <c r="AH53" s="190">
        <f t="shared" si="134"/>
        <v>6</v>
      </c>
      <c r="AI53" s="190">
        <f t="shared" si="134"/>
        <v>7</v>
      </c>
      <c r="AJ53" s="190">
        <f t="shared" si="134"/>
        <v>8</v>
      </c>
      <c r="AK53" s="190">
        <f t="shared" si="134"/>
        <v>9</v>
      </c>
      <c r="AL53" s="190">
        <f t="shared" si="134"/>
        <v>10</v>
      </c>
      <c r="AM53" s="190">
        <f t="shared" si="134"/>
        <v>11</v>
      </c>
      <c r="AN53" s="190">
        <f t="shared" si="134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5" ref="AR53:BA53">AQ53+1</f>
        <v>3</v>
      </c>
      <c r="AS53" s="190">
        <f t="shared" si="135"/>
        <v>4</v>
      </c>
      <c r="AT53" s="190">
        <f t="shared" si="135"/>
        <v>5</v>
      </c>
      <c r="AU53" s="190">
        <f t="shared" si="135"/>
        <v>6</v>
      </c>
      <c r="AV53" s="190">
        <f t="shared" si="135"/>
        <v>7</v>
      </c>
      <c r="AW53" s="190">
        <f t="shared" si="135"/>
        <v>8</v>
      </c>
      <c r="AX53" s="190">
        <f t="shared" si="135"/>
        <v>9</v>
      </c>
      <c r="AY53" s="190">
        <f t="shared" si="135"/>
        <v>10</v>
      </c>
      <c r="AZ53" s="190">
        <f t="shared" si="135"/>
        <v>11</v>
      </c>
      <c r="BA53" s="190">
        <f t="shared" si="135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6" ref="BE53:BN53">BD53+1</f>
        <v>3</v>
      </c>
      <c r="BF53" s="190">
        <f t="shared" si="136"/>
        <v>4</v>
      </c>
      <c r="BG53" s="190">
        <f t="shared" si="136"/>
        <v>5</v>
      </c>
      <c r="BH53" s="190">
        <f t="shared" si="136"/>
        <v>6</v>
      </c>
      <c r="BI53" s="190">
        <f t="shared" si="136"/>
        <v>7</v>
      </c>
      <c r="BJ53" s="190">
        <f t="shared" si="136"/>
        <v>8</v>
      </c>
      <c r="BK53" s="190">
        <f t="shared" si="136"/>
        <v>9</v>
      </c>
      <c r="BL53" s="190">
        <f t="shared" si="136"/>
        <v>10</v>
      </c>
      <c r="BM53" s="190">
        <f t="shared" si="136"/>
        <v>11</v>
      </c>
      <c r="BN53" s="190">
        <f t="shared" si="136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7" ref="BR53:CA53">BQ53+1</f>
        <v>3</v>
      </c>
      <c r="BS53" s="190">
        <f t="shared" si="137"/>
        <v>4</v>
      </c>
      <c r="BT53" s="190">
        <f t="shared" si="137"/>
        <v>5</v>
      </c>
      <c r="BU53" s="190">
        <f t="shared" si="137"/>
        <v>6</v>
      </c>
      <c r="BV53" s="190">
        <f t="shared" si="137"/>
        <v>7</v>
      </c>
      <c r="BW53" s="190">
        <f t="shared" si="137"/>
        <v>8</v>
      </c>
      <c r="BX53" s="190">
        <f t="shared" si="137"/>
        <v>9</v>
      </c>
      <c r="BY53" s="190">
        <f t="shared" si="137"/>
        <v>10</v>
      </c>
      <c r="BZ53" s="190">
        <f t="shared" si="137"/>
        <v>11</v>
      </c>
      <c r="CA53" s="190">
        <f t="shared" si="137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8" ref="CE53:CN53">CD53+1</f>
        <v>3</v>
      </c>
      <c r="CF53" s="190">
        <f t="shared" si="138"/>
        <v>4</v>
      </c>
      <c r="CG53" s="190">
        <f t="shared" si="138"/>
        <v>5</v>
      </c>
      <c r="CH53" s="190">
        <f t="shared" si="138"/>
        <v>6</v>
      </c>
      <c r="CI53" s="190">
        <f t="shared" si="138"/>
        <v>7</v>
      </c>
      <c r="CJ53" s="190">
        <f t="shared" si="138"/>
        <v>8</v>
      </c>
      <c r="CK53" s="190">
        <f t="shared" si="138"/>
        <v>9</v>
      </c>
      <c r="CL53" s="190">
        <f t="shared" si="138"/>
        <v>10</v>
      </c>
      <c r="CM53" s="190">
        <f t="shared" si="138"/>
        <v>11</v>
      </c>
      <c r="CN53" s="190">
        <f t="shared" si="138"/>
        <v>12</v>
      </c>
      <c r="CO53" s="191" t="str">
        <f>CO37</f>
        <v>Итого</v>
      </c>
      <c r="CP53" s="190">
        <v>1</v>
      </c>
      <c r="CQ53" s="190">
        <f aca="true" t="shared" si="139" ref="CQ53:DA53">CP53+1</f>
        <v>2</v>
      </c>
      <c r="CR53" s="190">
        <f t="shared" si="139"/>
        <v>3</v>
      </c>
      <c r="CS53" s="190">
        <f t="shared" si="139"/>
        <v>4</v>
      </c>
      <c r="CT53" s="190">
        <f t="shared" si="139"/>
        <v>5</v>
      </c>
      <c r="CU53" s="190">
        <f t="shared" si="139"/>
        <v>6</v>
      </c>
      <c r="CV53" s="190">
        <f t="shared" si="139"/>
        <v>7</v>
      </c>
      <c r="CW53" s="190">
        <f t="shared" si="139"/>
        <v>8</v>
      </c>
      <c r="CX53" s="190">
        <f t="shared" si="139"/>
        <v>9</v>
      </c>
      <c r="CY53" s="190">
        <f t="shared" si="139"/>
        <v>10</v>
      </c>
      <c r="CZ53" s="190">
        <f t="shared" si="139"/>
        <v>11</v>
      </c>
      <c r="DA53" s="190">
        <f t="shared" si="139"/>
        <v>12</v>
      </c>
      <c r="DB53" s="191" t="str">
        <f>DB37</f>
        <v>Итого</v>
      </c>
      <c r="DC53" s="190">
        <v>1</v>
      </c>
      <c r="DD53" s="190">
        <f aca="true" t="shared" si="140" ref="DD53:DN53">DC53+1</f>
        <v>2</v>
      </c>
      <c r="DE53" s="190">
        <f t="shared" si="140"/>
        <v>3</v>
      </c>
      <c r="DF53" s="190">
        <f t="shared" si="140"/>
        <v>4</v>
      </c>
      <c r="DG53" s="190">
        <f t="shared" si="140"/>
        <v>5</v>
      </c>
      <c r="DH53" s="190">
        <f t="shared" si="140"/>
        <v>6</v>
      </c>
      <c r="DI53" s="190">
        <f t="shared" si="140"/>
        <v>7</v>
      </c>
      <c r="DJ53" s="190">
        <f t="shared" si="140"/>
        <v>8</v>
      </c>
      <c r="DK53" s="190">
        <f t="shared" si="140"/>
        <v>9</v>
      </c>
      <c r="DL53" s="190">
        <f t="shared" si="140"/>
        <v>10</v>
      </c>
      <c r="DM53" s="190">
        <f t="shared" si="140"/>
        <v>11</v>
      </c>
      <c r="DN53" s="190">
        <f t="shared" si="140"/>
        <v>12</v>
      </c>
      <c r="DO53" s="191" t="s">
        <v>0</v>
      </c>
    </row>
    <row r="54" spans="1:119" ht="12.75" hidden="1">
      <c r="A54" s="188" t="s">
        <v>106</v>
      </c>
      <c r="B54" s="193">
        <f>O54+AB54+AO54+BB54+BO54+CB54+CO54+DB54+DO54</f>
        <v>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>
        <f>SUM(C54:N54)</f>
        <v>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 hidden="1">
      <c r="A55" s="188" t="s">
        <v>31</v>
      </c>
      <c r="B55" s="193">
        <f>O55+AB55+AO55+BB55+BO55+CB55+CO55+DB55+DO55</f>
        <v>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0</v>
      </c>
      <c r="V55" s="194"/>
      <c r="W55" s="194"/>
      <c r="X55" s="194"/>
      <c r="Y55" s="194"/>
      <c r="Z55" s="194"/>
      <c r="AA55" s="194"/>
      <c r="AB55" s="195">
        <f>SUM(P55:AA55)</f>
        <v>0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 hidden="1">
      <c r="A56" s="198" t="s">
        <v>13</v>
      </c>
      <c r="B56" s="193">
        <f>O56+AB56+AO56+BB56+BO56+CB56+CO56+DB56+DO56</f>
        <v>0</v>
      </c>
      <c r="C56" s="194"/>
      <c r="D56" s="194">
        <f aca="true" t="shared" si="141" ref="D56:N56">C59*$B52/12</f>
        <v>0</v>
      </c>
      <c r="E56" s="194">
        <f t="shared" si="141"/>
        <v>0</v>
      </c>
      <c r="F56" s="194">
        <f t="shared" si="141"/>
        <v>0</v>
      </c>
      <c r="G56" s="194">
        <f t="shared" si="141"/>
        <v>0</v>
      </c>
      <c r="H56" s="194">
        <f t="shared" si="141"/>
        <v>0</v>
      </c>
      <c r="I56" s="194">
        <f t="shared" si="141"/>
        <v>0</v>
      </c>
      <c r="J56" s="194">
        <f t="shared" si="141"/>
        <v>0</v>
      </c>
      <c r="K56" s="194">
        <f t="shared" si="141"/>
        <v>0</v>
      </c>
      <c r="L56" s="194">
        <f t="shared" si="141"/>
        <v>0</v>
      </c>
      <c r="M56" s="194">
        <f t="shared" si="141"/>
        <v>0</v>
      </c>
      <c r="N56" s="194">
        <f t="shared" si="141"/>
        <v>0</v>
      </c>
      <c r="O56" s="195">
        <f>SUM(C56:N56)</f>
        <v>0</v>
      </c>
      <c r="P56" s="194">
        <f aca="true" t="shared" si="142" ref="P56:AA56">O59*$B52/12</f>
        <v>0</v>
      </c>
      <c r="Q56" s="194">
        <f t="shared" si="142"/>
        <v>0</v>
      </c>
      <c r="R56" s="194">
        <f t="shared" si="142"/>
        <v>0</v>
      </c>
      <c r="S56" s="194">
        <f t="shared" si="142"/>
        <v>0</v>
      </c>
      <c r="T56" s="194">
        <f t="shared" si="142"/>
        <v>0</v>
      </c>
      <c r="U56" s="194">
        <f t="shared" si="142"/>
        <v>0</v>
      </c>
      <c r="V56" s="194">
        <f t="shared" si="142"/>
        <v>0</v>
      </c>
      <c r="W56" s="194">
        <f t="shared" si="142"/>
        <v>0</v>
      </c>
      <c r="X56" s="194">
        <f t="shared" si="142"/>
        <v>0</v>
      </c>
      <c r="Y56" s="194">
        <f t="shared" si="142"/>
        <v>0</v>
      </c>
      <c r="Z56" s="194">
        <f t="shared" si="142"/>
        <v>0</v>
      </c>
      <c r="AA56" s="194">
        <f t="shared" si="142"/>
        <v>0</v>
      </c>
      <c r="AB56" s="195">
        <f>SUM(P56:AA56)</f>
        <v>0</v>
      </c>
      <c r="AC56" s="194">
        <f aca="true" t="shared" si="143" ref="AC56:AN56">AB59*$B52/12</f>
        <v>0</v>
      </c>
      <c r="AD56" s="194">
        <f t="shared" si="143"/>
        <v>0</v>
      </c>
      <c r="AE56" s="194">
        <f t="shared" si="143"/>
        <v>0</v>
      </c>
      <c r="AF56" s="194">
        <f t="shared" si="143"/>
        <v>0</v>
      </c>
      <c r="AG56" s="194">
        <f t="shared" si="143"/>
        <v>0</v>
      </c>
      <c r="AH56" s="194">
        <f t="shared" si="143"/>
        <v>0</v>
      </c>
      <c r="AI56" s="194">
        <f t="shared" si="143"/>
        <v>0</v>
      </c>
      <c r="AJ56" s="194">
        <f t="shared" si="143"/>
        <v>0</v>
      </c>
      <c r="AK56" s="194">
        <f t="shared" si="143"/>
        <v>0</v>
      </c>
      <c r="AL56" s="194">
        <f t="shared" si="143"/>
        <v>0</v>
      </c>
      <c r="AM56" s="194">
        <f t="shared" si="143"/>
        <v>0</v>
      </c>
      <c r="AN56" s="194">
        <f t="shared" si="143"/>
        <v>0</v>
      </c>
      <c r="AO56" s="195">
        <f>SUM(AC56:AN56)</f>
        <v>0</v>
      </c>
      <c r="AP56" s="194">
        <f aca="true" t="shared" si="144" ref="AP56:BA56">AO59*$B52/12</f>
        <v>0</v>
      </c>
      <c r="AQ56" s="194">
        <f t="shared" si="144"/>
        <v>0</v>
      </c>
      <c r="AR56" s="194">
        <f t="shared" si="144"/>
        <v>0</v>
      </c>
      <c r="AS56" s="194">
        <f t="shared" si="144"/>
        <v>0</v>
      </c>
      <c r="AT56" s="194">
        <f t="shared" si="144"/>
        <v>0</v>
      </c>
      <c r="AU56" s="194">
        <f t="shared" si="144"/>
        <v>0</v>
      </c>
      <c r="AV56" s="194">
        <f t="shared" si="144"/>
        <v>0</v>
      </c>
      <c r="AW56" s="194">
        <f t="shared" si="144"/>
        <v>0</v>
      </c>
      <c r="AX56" s="194">
        <f t="shared" si="144"/>
        <v>0</v>
      </c>
      <c r="AY56" s="194">
        <f t="shared" si="144"/>
        <v>0</v>
      </c>
      <c r="AZ56" s="194">
        <f t="shared" si="144"/>
        <v>0</v>
      </c>
      <c r="BA56" s="194">
        <f t="shared" si="144"/>
        <v>0</v>
      </c>
      <c r="BB56" s="195">
        <f>SUM(AP56:BA56)</f>
        <v>0</v>
      </c>
      <c r="BC56" s="194">
        <f aca="true" t="shared" si="145" ref="BC56:BN56">BB59*$B52/12</f>
        <v>0</v>
      </c>
      <c r="BD56" s="194">
        <f t="shared" si="145"/>
        <v>0</v>
      </c>
      <c r="BE56" s="194">
        <f t="shared" si="145"/>
        <v>0</v>
      </c>
      <c r="BF56" s="194">
        <f t="shared" si="145"/>
        <v>0</v>
      </c>
      <c r="BG56" s="194">
        <f t="shared" si="145"/>
        <v>0</v>
      </c>
      <c r="BH56" s="194">
        <f t="shared" si="145"/>
        <v>0</v>
      </c>
      <c r="BI56" s="194">
        <f t="shared" si="145"/>
        <v>0</v>
      </c>
      <c r="BJ56" s="194">
        <f t="shared" si="145"/>
        <v>0</v>
      </c>
      <c r="BK56" s="194">
        <f t="shared" si="145"/>
        <v>0</v>
      </c>
      <c r="BL56" s="194">
        <f t="shared" si="145"/>
        <v>0</v>
      </c>
      <c r="BM56" s="194">
        <f t="shared" si="145"/>
        <v>0</v>
      </c>
      <c r="BN56" s="194">
        <f t="shared" si="145"/>
        <v>0</v>
      </c>
      <c r="BO56" s="195">
        <f>SUM(BC56:BN56)</f>
        <v>0</v>
      </c>
      <c r="BP56" s="194">
        <f aca="true" t="shared" si="146" ref="BP56:CA56">BO59*$B52/12</f>
        <v>0</v>
      </c>
      <c r="BQ56" s="194">
        <f t="shared" si="146"/>
        <v>0</v>
      </c>
      <c r="BR56" s="194">
        <f t="shared" si="146"/>
        <v>0</v>
      </c>
      <c r="BS56" s="194">
        <f t="shared" si="146"/>
        <v>0</v>
      </c>
      <c r="BT56" s="194">
        <f t="shared" si="146"/>
        <v>0</v>
      </c>
      <c r="BU56" s="194">
        <f t="shared" si="146"/>
        <v>0</v>
      </c>
      <c r="BV56" s="194">
        <f t="shared" si="146"/>
        <v>0</v>
      </c>
      <c r="BW56" s="194">
        <f t="shared" si="146"/>
        <v>0</v>
      </c>
      <c r="BX56" s="194">
        <f t="shared" si="146"/>
        <v>0</v>
      </c>
      <c r="BY56" s="194">
        <f t="shared" si="146"/>
        <v>0</v>
      </c>
      <c r="BZ56" s="194">
        <f t="shared" si="146"/>
        <v>0</v>
      </c>
      <c r="CA56" s="194">
        <f t="shared" si="146"/>
        <v>0</v>
      </c>
      <c r="CB56" s="195">
        <f>SUM(BP56:CA56)</f>
        <v>0</v>
      </c>
      <c r="CC56" s="194">
        <f aca="true" t="shared" si="147" ref="CC56:CN56">CB59*$B52/12</f>
        <v>0</v>
      </c>
      <c r="CD56" s="194">
        <f t="shared" si="147"/>
        <v>0</v>
      </c>
      <c r="CE56" s="194">
        <f t="shared" si="147"/>
        <v>0</v>
      </c>
      <c r="CF56" s="194">
        <f t="shared" si="147"/>
        <v>0</v>
      </c>
      <c r="CG56" s="194">
        <f t="shared" si="147"/>
        <v>0</v>
      </c>
      <c r="CH56" s="194">
        <f t="shared" si="147"/>
        <v>0</v>
      </c>
      <c r="CI56" s="194">
        <f t="shared" si="147"/>
        <v>0</v>
      </c>
      <c r="CJ56" s="194">
        <f t="shared" si="147"/>
        <v>0</v>
      </c>
      <c r="CK56" s="194">
        <f t="shared" si="147"/>
        <v>0</v>
      </c>
      <c r="CL56" s="194">
        <f t="shared" si="147"/>
        <v>0</v>
      </c>
      <c r="CM56" s="194">
        <f t="shared" si="147"/>
        <v>0</v>
      </c>
      <c r="CN56" s="194">
        <f t="shared" si="147"/>
        <v>0</v>
      </c>
      <c r="CO56" s="195">
        <f>SUM(CC56:CN56)</f>
        <v>0</v>
      </c>
      <c r="CP56" s="194">
        <f aca="true" t="shared" si="148" ref="CP56:DA56">CO59*$B52/12</f>
        <v>0</v>
      </c>
      <c r="CQ56" s="194">
        <f t="shared" si="148"/>
        <v>0</v>
      </c>
      <c r="CR56" s="194">
        <f t="shared" si="148"/>
        <v>0</v>
      </c>
      <c r="CS56" s="194">
        <f t="shared" si="148"/>
        <v>0</v>
      </c>
      <c r="CT56" s="194">
        <f t="shared" si="148"/>
        <v>0</v>
      </c>
      <c r="CU56" s="194">
        <f t="shared" si="148"/>
        <v>0</v>
      </c>
      <c r="CV56" s="194">
        <f t="shared" si="148"/>
        <v>0</v>
      </c>
      <c r="CW56" s="194">
        <f t="shared" si="148"/>
        <v>0</v>
      </c>
      <c r="CX56" s="194">
        <f t="shared" si="148"/>
        <v>0</v>
      </c>
      <c r="CY56" s="194">
        <f t="shared" si="148"/>
        <v>0</v>
      </c>
      <c r="CZ56" s="194">
        <f t="shared" si="148"/>
        <v>0</v>
      </c>
      <c r="DA56" s="194">
        <f t="shared" si="148"/>
        <v>0</v>
      </c>
      <c r="DB56" s="195">
        <f>SUM(CP56:DA56)</f>
        <v>0</v>
      </c>
      <c r="DC56" s="194">
        <f aca="true" t="shared" si="149" ref="DC56:DN56">DB59*$B52/12</f>
        <v>0</v>
      </c>
      <c r="DD56" s="194">
        <f t="shared" si="149"/>
        <v>0</v>
      </c>
      <c r="DE56" s="194">
        <f t="shared" si="149"/>
        <v>0</v>
      </c>
      <c r="DF56" s="194">
        <f t="shared" si="149"/>
        <v>0</v>
      </c>
      <c r="DG56" s="194">
        <f t="shared" si="149"/>
        <v>0</v>
      </c>
      <c r="DH56" s="194">
        <f t="shared" si="149"/>
        <v>0</v>
      </c>
      <c r="DI56" s="194">
        <f t="shared" si="149"/>
        <v>0</v>
      </c>
      <c r="DJ56" s="194">
        <f t="shared" si="149"/>
        <v>0</v>
      </c>
      <c r="DK56" s="194">
        <f t="shared" si="149"/>
        <v>0</v>
      </c>
      <c r="DL56" s="194">
        <f t="shared" si="149"/>
        <v>0</v>
      </c>
      <c r="DM56" s="194">
        <f t="shared" si="149"/>
        <v>0</v>
      </c>
      <c r="DN56" s="194">
        <f t="shared" si="149"/>
        <v>0</v>
      </c>
      <c r="DO56" s="195">
        <f>SUM(DC56:DN56)</f>
        <v>0</v>
      </c>
    </row>
    <row r="57" spans="1:119" ht="12.75" hidden="1">
      <c r="A57" s="188" t="s">
        <v>14</v>
      </c>
      <c r="B57" s="193">
        <f>O57+AB57+AO57+BB57+BO57+CB57+CO57+DB57+DO57</f>
        <v>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50" ref="V57:AA57">$B61-V56</f>
        <v>0</v>
      </c>
      <c r="W57" s="194">
        <f t="shared" si="150"/>
        <v>0</v>
      </c>
      <c r="X57" s="194">
        <f t="shared" si="150"/>
        <v>0</v>
      </c>
      <c r="Y57" s="194">
        <f t="shared" si="150"/>
        <v>0</v>
      </c>
      <c r="Z57" s="194">
        <f t="shared" si="150"/>
        <v>0</v>
      </c>
      <c r="AA57" s="194">
        <f t="shared" si="150"/>
        <v>0</v>
      </c>
      <c r="AB57" s="195">
        <f>SUM(P57:AA57)</f>
        <v>0</v>
      </c>
      <c r="AC57" s="194">
        <f aca="true" t="shared" si="151" ref="AC57:AN57">$B61-AC56</f>
        <v>0</v>
      </c>
      <c r="AD57" s="194">
        <f t="shared" si="151"/>
        <v>0</v>
      </c>
      <c r="AE57" s="194">
        <f t="shared" si="151"/>
        <v>0</v>
      </c>
      <c r="AF57" s="194">
        <f t="shared" si="151"/>
        <v>0</v>
      </c>
      <c r="AG57" s="194">
        <f t="shared" si="151"/>
        <v>0</v>
      </c>
      <c r="AH57" s="194">
        <f t="shared" si="151"/>
        <v>0</v>
      </c>
      <c r="AI57" s="194">
        <f t="shared" si="151"/>
        <v>0</v>
      </c>
      <c r="AJ57" s="194">
        <f t="shared" si="151"/>
        <v>0</v>
      </c>
      <c r="AK57" s="194">
        <f t="shared" si="151"/>
        <v>0</v>
      </c>
      <c r="AL57" s="194">
        <f t="shared" si="151"/>
        <v>0</v>
      </c>
      <c r="AM57" s="194">
        <f t="shared" si="151"/>
        <v>0</v>
      </c>
      <c r="AN57" s="194">
        <f t="shared" si="151"/>
        <v>0</v>
      </c>
      <c r="AO57" s="195">
        <f>SUM(AC57:AN57)</f>
        <v>0</v>
      </c>
      <c r="AP57" s="194">
        <f aca="true" t="shared" si="152" ref="AP57:BA57">$B61-AP56</f>
        <v>0</v>
      </c>
      <c r="AQ57" s="194">
        <f t="shared" si="152"/>
        <v>0</v>
      </c>
      <c r="AR57" s="194">
        <f t="shared" si="152"/>
        <v>0</v>
      </c>
      <c r="AS57" s="194">
        <f t="shared" si="152"/>
        <v>0</v>
      </c>
      <c r="AT57" s="194">
        <f t="shared" si="152"/>
        <v>0</v>
      </c>
      <c r="AU57" s="194">
        <f t="shared" si="152"/>
        <v>0</v>
      </c>
      <c r="AV57" s="194">
        <f t="shared" si="152"/>
        <v>0</v>
      </c>
      <c r="AW57" s="194">
        <f t="shared" si="152"/>
        <v>0</v>
      </c>
      <c r="AX57" s="194">
        <f t="shared" si="152"/>
        <v>0</v>
      </c>
      <c r="AY57" s="194">
        <f t="shared" si="152"/>
        <v>0</v>
      </c>
      <c r="AZ57" s="194">
        <f t="shared" si="152"/>
        <v>0</v>
      </c>
      <c r="BA57" s="194">
        <f t="shared" si="152"/>
        <v>0</v>
      </c>
      <c r="BB57" s="195">
        <f>SUM(AP57:BA57)</f>
        <v>0</v>
      </c>
      <c r="BC57" s="194">
        <f aca="true" t="shared" si="153" ref="BC57:BN57">$B61-BC56</f>
        <v>0</v>
      </c>
      <c r="BD57" s="194">
        <f t="shared" si="153"/>
        <v>0</v>
      </c>
      <c r="BE57" s="194">
        <f t="shared" si="153"/>
        <v>0</v>
      </c>
      <c r="BF57" s="194">
        <f t="shared" si="153"/>
        <v>0</v>
      </c>
      <c r="BG57" s="194">
        <f t="shared" si="153"/>
        <v>0</v>
      </c>
      <c r="BH57" s="194">
        <f t="shared" si="153"/>
        <v>0</v>
      </c>
      <c r="BI57" s="194">
        <f t="shared" si="153"/>
        <v>0</v>
      </c>
      <c r="BJ57" s="194">
        <f t="shared" si="153"/>
        <v>0</v>
      </c>
      <c r="BK57" s="194">
        <f t="shared" si="153"/>
        <v>0</v>
      </c>
      <c r="BL57" s="194">
        <f t="shared" si="153"/>
        <v>0</v>
      </c>
      <c r="BM57" s="194">
        <f t="shared" si="153"/>
        <v>0</v>
      </c>
      <c r="BN57" s="194">
        <f t="shared" si="153"/>
        <v>0</v>
      </c>
      <c r="BO57" s="195">
        <f>SUM(BC57:BN57)</f>
        <v>0</v>
      </c>
      <c r="BP57" s="194">
        <f aca="true" t="shared" si="154" ref="BP57:CA57">$B61-BP56</f>
        <v>0</v>
      </c>
      <c r="BQ57" s="194">
        <f t="shared" si="154"/>
        <v>0</v>
      </c>
      <c r="BR57" s="194">
        <f t="shared" si="154"/>
        <v>0</v>
      </c>
      <c r="BS57" s="194">
        <f t="shared" si="154"/>
        <v>0</v>
      </c>
      <c r="BT57" s="194">
        <f t="shared" si="154"/>
        <v>0</v>
      </c>
      <c r="BU57" s="194">
        <f t="shared" si="154"/>
        <v>0</v>
      </c>
      <c r="BV57" s="194">
        <f t="shared" si="154"/>
        <v>0</v>
      </c>
      <c r="BW57" s="194">
        <f t="shared" si="154"/>
        <v>0</v>
      </c>
      <c r="BX57" s="194">
        <f t="shared" si="154"/>
        <v>0</v>
      </c>
      <c r="BY57" s="194">
        <f t="shared" si="154"/>
        <v>0</v>
      </c>
      <c r="BZ57" s="194">
        <f t="shared" si="154"/>
        <v>0</v>
      </c>
      <c r="CA57" s="194">
        <f t="shared" si="154"/>
        <v>0</v>
      </c>
      <c r="CB57" s="195">
        <f>SUM(BP57:CA57)</f>
        <v>0</v>
      </c>
      <c r="CC57" s="194">
        <f aca="true" t="shared" si="155" ref="CC57:CN57">$B61-CC56</f>
        <v>0</v>
      </c>
      <c r="CD57" s="194">
        <f t="shared" si="155"/>
        <v>0</v>
      </c>
      <c r="CE57" s="194">
        <f t="shared" si="155"/>
        <v>0</v>
      </c>
      <c r="CF57" s="194">
        <f t="shared" si="155"/>
        <v>0</v>
      </c>
      <c r="CG57" s="194">
        <f t="shared" si="155"/>
        <v>0</v>
      </c>
      <c r="CH57" s="194">
        <f t="shared" si="155"/>
        <v>0</v>
      </c>
      <c r="CI57" s="194">
        <f t="shared" si="155"/>
        <v>0</v>
      </c>
      <c r="CJ57" s="194">
        <f t="shared" si="155"/>
        <v>0</v>
      </c>
      <c r="CK57" s="194">
        <f t="shared" si="155"/>
        <v>0</v>
      </c>
      <c r="CL57" s="194">
        <f t="shared" si="155"/>
        <v>0</v>
      </c>
      <c r="CM57" s="194">
        <f t="shared" si="155"/>
        <v>0</v>
      </c>
      <c r="CN57" s="194">
        <f t="shared" si="155"/>
        <v>0</v>
      </c>
      <c r="CO57" s="195">
        <f>SUM(CC57:CN57)</f>
        <v>0</v>
      </c>
      <c r="CP57" s="194">
        <f aca="true" t="shared" si="156" ref="CP57:CX57">$B61-CP56</f>
        <v>0</v>
      </c>
      <c r="CQ57" s="194">
        <f t="shared" si="156"/>
        <v>0</v>
      </c>
      <c r="CR57" s="194">
        <f t="shared" si="156"/>
        <v>0</v>
      </c>
      <c r="CS57" s="194">
        <f t="shared" si="156"/>
        <v>0</v>
      </c>
      <c r="CT57" s="194">
        <f t="shared" si="156"/>
        <v>0</v>
      </c>
      <c r="CU57" s="194">
        <f t="shared" si="156"/>
        <v>0</v>
      </c>
      <c r="CV57" s="194">
        <f t="shared" si="156"/>
        <v>0</v>
      </c>
      <c r="CW57" s="194">
        <f t="shared" si="156"/>
        <v>0</v>
      </c>
      <c r="CX57" s="194">
        <f t="shared" si="156"/>
        <v>0</v>
      </c>
      <c r="CY57" s="194"/>
      <c r="CZ57" s="194"/>
      <c r="DA57" s="194"/>
      <c r="DB57" s="195">
        <f>SUM(CP57:DA57)</f>
        <v>0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 hidden="1">
      <c r="A58" s="188" t="s">
        <v>15</v>
      </c>
      <c r="B58" s="193">
        <f>O58+AB58+AO58+BB58+BO58+CB58+CO58+DB58+DO58</f>
        <v>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7" ref="V58:AA58">V56</f>
        <v>0</v>
      </c>
      <c r="W58" s="194">
        <f t="shared" si="157"/>
        <v>0</v>
      </c>
      <c r="X58" s="194">
        <f t="shared" si="157"/>
        <v>0</v>
      </c>
      <c r="Y58" s="194">
        <f t="shared" si="157"/>
        <v>0</v>
      </c>
      <c r="Z58" s="194">
        <f t="shared" si="157"/>
        <v>0</v>
      </c>
      <c r="AA58" s="194">
        <f t="shared" si="157"/>
        <v>0</v>
      </c>
      <c r="AB58" s="195">
        <f>SUM(P58:AA58)</f>
        <v>0</v>
      </c>
      <c r="AC58" s="194">
        <f aca="true" t="shared" si="158" ref="AC58:AK58">AC56</f>
        <v>0</v>
      </c>
      <c r="AD58" s="194">
        <f t="shared" si="158"/>
        <v>0</v>
      </c>
      <c r="AE58" s="194">
        <f t="shared" si="158"/>
        <v>0</v>
      </c>
      <c r="AF58" s="194">
        <f t="shared" si="158"/>
        <v>0</v>
      </c>
      <c r="AG58" s="194">
        <f t="shared" si="158"/>
        <v>0</v>
      </c>
      <c r="AH58" s="194">
        <f t="shared" si="158"/>
        <v>0</v>
      </c>
      <c r="AI58" s="194">
        <f t="shared" si="158"/>
        <v>0</v>
      </c>
      <c r="AJ58" s="194">
        <f t="shared" si="158"/>
        <v>0</v>
      </c>
      <c r="AK58" s="194">
        <f t="shared" si="158"/>
        <v>0</v>
      </c>
      <c r="AL58" s="194">
        <f>AL56</f>
        <v>0</v>
      </c>
      <c r="AM58" s="194">
        <f>AM56</f>
        <v>0</v>
      </c>
      <c r="AN58" s="194">
        <f>AN56</f>
        <v>0</v>
      </c>
      <c r="AO58" s="195">
        <f>SUM(AC58:AN58)</f>
        <v>0</v>
      </c>
      <c r="AP58" s="194">
        <f aca="true" t="shared" si="159" ref="AP58:BA58">AP56</f>
        <v>0</v>
      </c>
      <c r="AQ58" s="194">
        <f t="shared" si="159"/>
        <v>0</v>
      </c>
      <c r="AR58" s="194">
        <f t="shared" si="159"/>
        <v>0</v>
      </c>
      <c r="AS58" s="194">
        <f t="shared" si="159"/>
        <v>0</v>
      </c>
      <c r="AT58" s="194">
        <f t="shared" si="159"/>
        <v>0</v>
      </c>
      <c r="AU58" s="194">
        <f t="shared" si="159"/>
        <v>0</v>
      </c>
      <c r="AV58" s="194">
        <f t="shared" si="159"/>
        <v>0</v>
      </c>
      <c r="AW58" s="194">
        <f t="shared" si="159"/>
        <v>0</v>
      </c>
      <c r="AX58" s="194">
        <f t="shared" si="159"/>
        <v>0</v>
      </c>
      <c r="AY58" s="194">
        <f t="shared" si="159"/>
        <v>0</v>
      </c>
      <c r="AZ58" s="194">
        <f t="shared" si="159"/>
        <v>0</v>
      </c>
      <c r="BA58" s="194">
        <f t="shared" si="159"/>
        <v>0</v>
      </c>
      <c r="BB58" s="195">
        <f>SUM(AP58:BA58)</f>
        <v>0</v>
      </c>
      <c r="BC58" s="194">
        <f aca="true" t="shared" si="160" ref="BC58:BN58">BC56</f>
        <v>0</v>
      </c>
      <c r="BD58" s="194">
        <f t="shared" si="160"/>
        <v>0</v>
      </c>
      <c r="BE58" s="194">
        <f t="shared" si="160"/>
        <v>0</v>
      </c>
      <c r="BF58" s="194">
        <f t="shared" si="160"/>
        <v>0</v>
      </c>
      <c r="BG58" s="194">
        <f t="shared" si="160"/>
        <v>0</v>
      </c>
      <c r="BH58" s="194">
        <f t="shared" si="160"/>
        <v>0</v>
      </c>
      <c r="BI58" s="194">
        <f t="shared" si="160"/>
        <v>0</v>
      </c>
      <c r="BJ58" s="194">
        <f t="shared" si="160"/>
        <v>0</v>
      </c>
      <c r="BK58" s="194">
        <f t="shared" si="160"/>
        <v>0</v>
      </c>
      <c r="BL58" s="194">
        <f t="shared" si="160"/>
        <v>0</v>
      </c>
      <c r="BM58" s="194">
        <f t="shared" si="160"/>
        <v>0</v>
      </c>
      <c r="BN58" s="194">
        <f t="shared" si="160"/>
        <v>0</v>
      </c>
      <c r="BO58" s="195">
        <f>SUM(BC58:BN58)</f>
        <v>0</v>
      </c>
      <c r="BP58" s="194">
        <f aca="true" t="shared" si="161" ref="BP58:CA58">BP56</f>
        <v>0</v>
      </c>
      <c r="BQ58" s="194">
        <f t="shared" si="161"/>
        <v>0</v>
      </c>
      <c r="BR58" s="194">
        <f t="shared" si="161"/>
        <v>0</v>
      </c>
      <c r="BS58" s="194">
        <f t="shared" si="161"/>
        <v>0</v>
      </c>
      <c r="BT58" s="194">
        <f t="shared" si="161"/>
        <v>0</v>
      </c>
      <c r="BU58" s="194">
        <f t="shared" si="161"/>
        <v>0</v>
      </c>
      <c r="BV58" s="194">
        <f t="shared" si="161"/>
        <v>0</v>
      </c>
      <c r="BW58" s="194">
        <f t="shared" si="161"/>
        <v>0</v>
      </c>
      <c r="BX58" s="194">
        <f t="shared" si="161"/>
        <v>0</v>
      </c>
      <c r="BY58" s="194">
        <f t="shared" si="161"/>
        <v>0</v>
      </c>
      <c r="BZ58" s="194">
        <f t="shared" si="161"/>
        <v>0</v>
      </c>
      <c r="CA58" s="194">
        <f t="shared" si="161"/>
        <v>0</v>
      </c>
      <c r="CB58" s="195">
        <f>SUM(BP58:CA58)</f>
        <v>0</v>
      </c>
      <c r="CC58" s="194">
        <f aca="true" t="shared" si="162" ref="CC58:CN58">CC56</f>
        <v>0</v>
      </c>
      <c r="CD58" s="194">
        <f t="shared" si="162"/>
        <v>0</v>
      </c>
      <c r="CE58" s="194">
        <f t="shared" si="162"/>
        <v>0</v>
      </c>
      <c r="CF58" s="194">
        <f t="shared" si="162"/>
        <v>0</v>
      </c>
      <c r="CG58" s="194">
        <f t="shared" si="162"/>
        <v>0</v>
      </c>
      <c r="CH58" s="194">
        <f t="shared" si="162"/>
        <v>0</v>
      </c>
      <c r="CI58" s="194">
        <f t="shared" si="162"/>
        <v>0</v>
      </c>
      <c r="CJ58" s="194">
        <f t="shared" si="162"/>
        <v>0</v>
      </c>
      <c r="CK58" s="194">
        <f t="shared" si="162"/>
        <v>0</v>
      </c>
      <c r="CL58" s="194">
        <f t="shared" si="162"/>
        <v>0</v>
      </c>
      <c r="CM58" s="194">
        <f t="shared" si="162"/>
        <v>0</v>
      </c>
      <c r="CN58" s="194">
        <f t="shared" si="162"/>
        <v>0</v>
      </c>
      <c r="CO58" s="195">
        <f>SUM(CC58:CN58)</f>
        <v>0</v>
      </c>
      <c r="CP58" s="194">
        <f aca="true" t="shared" si="163" ref="CP58:DA58">CP56</f>
        <v>0</v>
      </c>
      <c r="CQ58" s="194">
        <f t="shared" si="163"/>
        <v>0</v>
      </c>
      <c r="CR58" s="194">
        <f t="shared" si="163"/>
        <v>0</v>
      </c>
      <c r="CS58" s="194">
        <f t="shared" si="163"/>
        <v>0</v>
      </c>
      <c r="CT58" s="194">
        <f t="shared" si="163"/>
        <v>0</v>
      </c>
      <c r="CU58" s="194">
        <f t="shared" si="163"/>
        <v>0</v>
      </c>
      <c r="CV58" s="194">
        <f t="shared" si="163"/>
        <v>0</v>
      </c>
      <c r="CW58" s="194">
        <f t="shared" si="163"/>
        <v>0</v>
      </c>
      <c r="CX58" s="194">
        <f t="shared" si="163"/>
        <v>0</v>
      </c>
      <c r="CY58" s="194">
        <f t="shared" si="163"/>
        <v>0</v>
      </c>
      <c r="CZ58" s="194">
        <f t="shared" si="163"/>
        <v>0</v>
      </c>
      <c r="DA58" s="194">
        <f t="shared" si="163"/>
        <v>0</v>
      </c>
      <c r="DB58" s="195">
        <f>SUM(CP58:DA58)</f>
        <v>0</v>
      </c>
      <c r="DC58" s="194">
        <f aca="true" t="shared" si="164" ref="DC58:DN58">DC56</f>
        <v>0</v>
      </c>
      <c r="DD58" s="194">
        <f t="shared" si="164"/>
        <v>0</v>
      </c>
      <c r="DE58" s="194">
        <f t="shared" si="164"/>
        <v>0</v>
      </c>
      <c r="DF58" s="194">
        <f t="shared" si="164"/>
        <v>0</v>
      </c>
      <c r="DG58" s="194">
        <f t="shared" si="164"/>
        <v>0</v>
      </c>
      <c r="DH58" s="194">
        <f t="shared" si="164"/>
        <v>0</v>
      </c>
      <c r="DI58" s="194">
        <f t="shared" si="164"/>
        <v>0</v>
      </c>
      <c r="DJ58" s="194">
        <f t="shared" si="164"/>
        <v>0</v>
      </c>
      <c r="DK58" s="194">
        <f t="shared" si="164"/>
        <v>0</v>
      </c>
      <c r="DL58" s="194">
        <f t="shared" si="164"/>
        <v>0</v>
      </c>
      <c r="DM58" s="194">
        <f t="shared" si="164"/>
        <v>0</v>
      </c>
      <c r="DN58" s="194">
        <f t="shared" si="164"/>
        <v>0</v>
      </c>
      <c r="DO58" s="195">
        <f>SUM(DC58:DN58)</f>
        <v>0</v>
      </c>
    </row>
    <row r="59" spans="1:119" ht="12.75" hidden="1">
      <c r="A59" s="188" t="s">
        <v>16</v>
      </c>
      <c r="B59" s="193">
        <f>DO59</f>
        <v>0</v>
      </c>
      <c r="C59" s="194">
        <f>C54</f>
        <v>0</v>
      </c>
      <c r="D59" s="194">
        <f aca="true" t="shared" si="165" ref="D59:N59">C59+D54-D57+D55</f>
        <v>0</v>
      </c>
      <c r="E59" s="194">
        <f t="shared" si="165"/>
        <v>0</v>
      </c>
      <c r="F59" s="194">
        <f t="shared" si="165"/>
        <v>0</v>
      </c>
      <c r="G59" s="194">
        <f t="shared" si="165"/>
        <v>0</v>
      </c>
      <c r="H59" s="194">
        <f t="shared" si="165"/>
        <v>0</v>
      </c>
      <c r="I59" s="194">
        <f t="shared" si="165"/>
        <v>0</v>
      </c>
      <c r="J59" s="194">
        <f t="shared" si="165"/>
        <v>0</v>
      </c>
      <c r="K59" s="194">
        <f t="shared" si="165"/>
        <v>0</v>
      </c>
      <c r="L59" s="194">
        <f t="shared" si="165"/>
        <v>0</v>
      </c>
      <c r="M59" s="194">
        <f t="shared" si="165"/>
        <v>0</v>
      </c>
      <c r="N59" s="194">
        <f t="shared" si="165"/>
        <v>0</v>
      </c>
      <c r="O59" s="195">
        <f>N59</f>
        <v>0</v>
      </c>
      <c r="P59" s="194">
        <f aca="true" t="shared" si="166" ref="P59:AA59">O59+P54-P57+P55</f>
        <v>0</v>
      </c>
      <c r="Q59" s="194">
        <f t="shared" si="166"/>
        <v>0</v>
      </c>
      <c r="R59" s="194">
        <f t="shared" si="166"/>
        <v>0</v>
      </c>
      <c r="S59" s="194">
        <f t="shared" si="166"/>
        <v>0</v>
      </c>
      <c r="T59" s="194">
        <f t="shared" si="166"/>
        <v>0</v>
      </c>
      <c r="U59" s="194">
        <f t="shared" si="166"/>
        <v>0</v>
      </c>
      <c r="V59" s="194">
        <f t="shared" si="166"/>
        <v>0</v>
      </c>
      <c r="W59" s="194">
        <f t="shared" si="166"/>
        <v>0</v>
      </c>
      <c r="X59" s="194">
        <f t="shared" si="166"/>
        <v>0</v>
      </c>
      <c r="Y59" s="194">
        <f t="shared" si="166"/>
        <v>0</v>
      </c>
      <c r="Z59" s="194">
        <f t="shared" si="166"/>
        <v>0</v>
      </c>
      <c r="AA59" s="194">
        <f t="shared" si="166"/>
        <v>0</v>
      </c>
      <c r="AB59" s="195">
        <f>AA59</f>
        <v>0</v>
      </c>
      <c r="AC59" s="194">
        <f aca="true" t="shared" si="167" ref="AC59:AN59">AB59+AC54-AC57+AC55</f>
        <v>0</v>
      </c>
      <c r="AD59" s="194">
        <f t="shared" si="167"/>
        <v>0</v>
      </c>
      <c r="AE59" s="194">
        <f t="shared" si="167"/>
        <v>0</v>
      </c>
      <c r="AF59" s="194">
        <f t="shared" si="167"/>
        <v>0</v>
      </c>
      <c r="AG59" s="194">
        <f t="shared" si="167"/>
        <v>0</v>
      </c>
      <c r="AH59" s="194">
        <f t="shared" si="167"/>
        <v>0</v>
      </c>
      <c r="AI59" s="194">
        <f t="shared" si="167"/>
        <v>0</v>
      </c>
      <c r="AJ59" s="194">
        <f t="shared" si="167"/>
        <v>0</v>
      </c>
      <c r="AK59" s="194">
        <f t="shared" si="167"/>
        <v>0</v>
      </c>
      <c r="AL59" s="194">
        <f t="shared" si="167"/>
        <v>0</v>
      </c>
      <c r="AM59" s="194">
        <f t="shared" si="167"/>
        <v>0</v>
      </c>
      <c r="AN59" s="194">
        <f t="shared" si="167"/>
        <v>0</v>
      </c>
      <c r="AO59" s="195">
        <f>AN59</f>
        <v>0</v>
      </c>
      <c r="AP59" s="194">
        <f aca="true" t="shared" si="168" ref="AP59:BA59">AO59+AP54-AP57+AP55</f>
        <v>0</v>
      </c>
      <c r="AQ59" s="194">
        <f t="shared" si="168"/>
        <v>0</v>
      </c>
      <c r="AR59" s="194">
        <f t="shared" si="168"/>
        <v>0</v>
      </c>
      <c r="AS59" s="194">
        <f t="shared" si="168"/>
        <v>0</v>
      </c>
      <c r="AT59" s="194">
        <f t="shared" si="168"/>
        <v>0</v>
      </c>
      <c r="AU59" s="194">
        <f t="shared" si="168"/>
        <v>0</v>
      </c>
      <c r="AV59" s="194">
        <f t="shared" si="168"/>
        <v>0</v>
      </c>
      <c r="AW59" s="194">
        <f t="shared" si="168"/>
        <v>0</v>
      </c>
      <c r="AX59" s="194">
        <f t="shared" si="168"/>
        <v>0</v>
      </c>
      <c r="AY59" s="194">
        <f t="shared" si="168"/>
        <v>0</v>
      </c>
      <c r="AZ59" s="194">
        <f t="shared" si="168"/>
        <v>0</v>
      </c>
      <c r="BA59" s="194">
        <f t="shared" si="168"/>
        <v>0</v>
      </c>
      <c r="BB59" s="195">
        <f>BA59</f>
        <v>0</v>
      </c>
      <c r="BC59" s="194">
        <f aca="true" t="shared" si="169" ref="BC59:BN59">BB59+BC54-BC57+BC55</f>
        <v>0</v>
      </c>
      <c r="BD59" s="194">
        <f t="shared" si="169"/>
        <v>0</v>
      </c>
      <c r="BE59" s="194">
        <f t="shared" si="169"/>
        <v>0</v>
      </c>
      <c r="BF59" s="194">
        <f t="shared" si="169"/>
        <v>0</v>
      </c>
      <c r="BG59" s="194">
        <f t="shared" si="169"/>
        <v>0</v>
      </c>
      <c r="BH59" s="194">
        <f t="shared" si="169"/>
        <v>0</v>
      </c>
      <c r="BI59" s="194">
        <f t="shared" si="169"/>
        <v>0</v>
      </c>
      <c r="BJ59" s="194">
        <f t="shared" si="169"/>
        <v>0</v>
      </c>
      <c r="BK59" s="194">
        <f t="shared" si="169"/>
        <v>0</v>
      </c>
      <c r="BL59" s="194">
        <f t="shared" si="169"/>
        <v>0</v>
      </c>
      <c r="BM59" s="194">
        <f t="shared" si="169"/>
        <v>0</v>
      </c>
      <c r="BN59" s="194">
        <f t="shared" si="169"/>
        <v>0</v>
      </c>
      <c r="BO59" s="195">
        <f>BN59</f>
        <v>0</v>
      </c>
      <c r="BP59" s="194">
        <f aca="true" t="shared" si="170" ref="BP59:CA59">BO59+BP54-BP57+BP55</f>
        <v>0</v>
      </c>
      <c r="BQ59" s="194">
        <f t="shared" si="170"/>
        <v>0</v>
      </c>
      <c r="BR59" s="194">
        <f t="shared" si="170"/>
        <v>0</v>
      </c>
      <c r="BS59" s="194">
        <f t="shared" si="170"/>
        <v>0</v>
      </c>
      <c r="BT59" s="194">
        <f t="shared" si="170"/>
        <v>0</v>
      </c>
      <c r="BU59" s="194">
        <f t="shared" si="170"/>
        <v>0</v>
      </c>
      <c r="BV59" s="194">
        <f t="shared" si="170"/>
        <v>0</v>
      </c>
      <c r="BW59" s="194">
        <f t="shared" si="170"/>
        <v>0</v>
      </c>
      <c r="BX59" s="194">
        <f t="shared" si="170"/>
        <v>0</v>
      </c>
      <c r="BY59" s="194">
        <f t="shared" si="170"/>
        <v>0</v>
      </c>
      <c r="BZ59" s="194">
        <f t="shared" si="170"/>
        <v>0</v>
      </c>
      <c r="CA59" s="194">
        <f t="shared" si="170"/>
        <v>0</v>
      </c>
      <c r="CB59" s="195">
        <f>CA59</f>
        <v>0</v>
      </c>
      <c r="CC59" s="194">
        <f aca="true" t="shared" si="171" ref="CC59:CN59">CB59+CC54-CC57+CC55</f>
        <v>0</v>
      </c>
      <c r="CD59" s="194">
        <f t="shared" si="171"/>
        <v>0</v>
      </c>
      <c r="CE59" s="194">
        <f t="shared" si="171"/>
        <v>0</v>
      </c>
      <c r="CF59" s="194">
        <f t="shared" si="171"/>
        <v>0</v>
      </c>
      <c r="CG59" s="194">
        <f t="shared" si="171"/>
        <v>0</v>
      </c>
      <c r="CH59" s="194">
        <f t="shared" si="171"/>
        <v>0</v>
      </c>
      <c r="CI59" s="194">
        <f t="shared" si="171"/>
        <v>0</v>
      </c>
      <c r="CJ59" s="194">
        <f t="shared" si="171"/>
        <v>0</v>
      </c>
      <c r="CK59" s="194">
        <f t="shared" si="171"/>
        <v>0</v>
      </c>
      <c r="CL59" s="194">
        <f t="shared" si="171"/>
        <v>0</v>
      </c>
      <c r="CM59" s="194">
        <f t="shared" si="171"/>
        <v>0</v>
      </c>
      <c r="CN59" s="194">
        <f t="shared" si="171"/>
        <v>0</v>
      </c>
      <c r="CO59" s="195">
        <f>CN59</f>
        <v>0</v>
      </c>
      <c r="CP59" s="194">
        <f aca="true" t="shared" si="172" ref="CP59:DA59">CO59+CP54-CP57+CP55</f>
        <v>0</v>
      </c>
      <c r="CQ59" s="194">
        <f t="shared" si="172"/>
        <v>0</v>
      </c>
      <c r="CR59" s="194">
        <f t="shared" si="172"/>
        <v>0</v>
      </c>
      <c r="CS59" s="194">
        <f t="shared" si="172"/>
        <v>0</v>
      </c>
      <c r="CT59" s="194">
        <f t="shared" si="172"/>
        <v>0</v>
      </c>
      <c r="CU59" s="194">
        <f t="shared" si="172"/>
        <v>0</v>
      </c>
      <c r="CV59" s="194">
        <f t="shared" si="172"/>
        <v>0</v>
      </c>
      <c r="CW59" s="194">
        <f t="shared" si="172"/>
        <v>0</v>
      </c>
      <c r="CX59" s="194">
        <f t="shared" si="172"/>
        <v>0</v>
      </c>
      <c r="CY59" s="194">
        <f t="shared" si="172"/>
        <v>0</v>
      </c>
      <c r="CZ59" s="194">
        <f t="shared" si="172"/>
        <v>0</v>
      </c>
      <c r="DA59" s="194">
        <f t="shared" si="172"/>
        <v>0</v>
      </c>
      <c r="DB59" s="195">
        <f>DA59</f>
        <v>0</v>
      </c>
      <c r="DC59" s="194">
        <f aca="true" t="shared" si="173" ref="DC59:DN59">DB59+DC54-DC57+DC55</f>
        <v>0</v>
      </c>
      <c r="DD59" s="194">
        <f t="shared" si="173"/>
        <v>0</v>
      </c>
      <c r="DE59" s="194">
        <f t="shared" si="173"/>
        <v>0</v>
      </c>
      <c r="DF59" s="194">
        <f t="shared" si="173"/>
        <v>0</v>
      </c>
      <c r="DG59" s="194">
        <f t="shared" si="173"/>
        <v>0</v>
      </c>
      <c r="DH59" s="194">
        <f t="shared" si="173"/>
        <v>0</v>
      </c>
      <c r="DI59" s="194">
        <f t="shared" si="173"/>
        <v>0</v>
      </c>
      <c r="DJ59" s="194">
        <f t="shared" si="173"/>
        <v>0</v>
      </c>
      <c r="DK59" s="194">
        <f t="shared" si="173"/>
        <v>0</v>
      </c>
      <c r="DL59" s="194">
        <f t="shared" si="173"/>
        <v>0</v>
      </c>
      <c r="DM59" s="194">
        <f t="shared" si="173"/>
        <v>0</v>
      </c>
      <c r="DN59" s="194">
        <f t="shared" si="173"/>
        <v>0</v>
      </c>
      <c r="DO59" s="195">
        <f>DN59</f>
        <v>0</v>
      </c>
    </row>
    <row r="60" spans="1:119" ht="12.75" hidden="1">
      <c r="A60" s="177" t="s">
        <v>78</v>
      </c>
      <c r="B60" s="284">
        <f>Исх!$C$37*12-Исх!$C$38</f>
        <v>75</v>
      </c>
      <c r="CP60" s="180"/>
      <c r="DB60" s="177"/>
      <c r="DO60" s="177"/>
    </row>
    <row r="61" spans="1:119" ht="12.75" hidden="1">
      <c r="A61" s="287" t="s">
        <v>251</v>
      </c>
      <c r="B61" s="288">
        <f>$U$59*$B$20/12/((1-(1+$B$20/12)^-$B60))</f>
        <v>0</v>
      </c>
      <c r="DB61" s="177"/>
      <c r="DO61" s="177"/>
    </row>
    <row r="62" spans="1:119" ht="6" customHeight="1" hidden="1">
      <c r="A62" s="285"/>
      <c r="B62" s="282"/>
      <c r="DB62" s="177"/>
      <c r="DO62" s="177"/>
    </row>
    <row r="63" spans="1:119" ht="12.75" hidden="1">
      <c r="A63" s="270" t="s">
        <v>240</v>
      </c>
      <c r="DB63" s="177"/>
      <c r="DO63" s="177"/>
    </row>
    <row r="64" spans="1:119" ht="12.75" hidden="1" outlineLevel="1">
      <c r="A64" s="271">
        <f>B54+B55-B57</f>
        <v>0</v>
      </c>
      <c r="DB64" s="177"/>
      <c r="DO64" s="177"/>
    </row>
    <row r="65" spans="1:119" ht="12.75" hidden="1" outlineLevel="1">
      <c r="A65" s="271">
        <f>B56-B55-B58</f>
        <v>0</v>
      </c>
      <c r="DB65" s="177"/>
      <c r="DO65" s="177"/>
    </row>
    <row r="66" ht="12.75" collapsed="1"/>
    <row r="67" spans="1:119" ht="12.75">
      <c r="A67" s="296" t="s">
        <v>268</v>
      </c>
      <c r="B67" s="297"/>
      <c r="DB67" s="177"/>
      <c r="DO67" s="177"/>
    </row>
    <row r="68" spans="1:119" ht="15.75" customHeight="1">
      <c r="A68" s="186" t="s">
        <v>11</v>
      </c>
      <c r="B68" s="286">
        <f>Исх!$C$36</f>
        <v>0.07</v>
      </c>
      <c r="C68" s="373">
        <v>2013</v>
      </c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>
        <v>2014</v>
      </c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>
        <v>2015</v>
      </c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>
        <v>2016</v>
      </c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>
        <v>2017</v>
      </c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>
        <v>2018</v>
      </c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>
        <v>2019</v>
      </c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>
        <v>2020</v>
      </c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>
        <v>2021</v>
      </c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4" ref="E69:N69">D69+1</f>
        <v>3</v>
      </c>
      <c r="F69" s="190">
        <f t="shared" si="174"/>
        <v>4</v>
      </c>
      <c r="G69" s="190">
        <f t="shared" si="174"/>
        <v>5</v>
      </c>
      <c r="H69" s="190">
        <f t="shared" si="174"/>
        <v>6</v>
      </c>
      <c r="I69" s="190">
        <f t="shared" si="174"/>
        <v>7</v>
      </c>
      <c r="J69" s="190">
        <f t="shared" si="174"/>
        <v>8</v>
      </c>
      <c r="K69" s="190">
        <f t="shared" si="174"/>
        <v>9</v>
      </c>
      <c r="L69" s="190">
        <f t="shared" si="174"/>
        <v>10</v>
      </c>
      <c r="M69" s="190">
        <f t="shared" si="174"/>
        <v>11</v>
      </c>
      <c r="N69" s="190">
        <f t="shared" si="174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5" ref="R69:AA69">Q69+1</f>
        <v>3</v>
      </c>
      <c r="S69" s="190">
        <f t="shared" si="175"/>
        <v>4</v>
      </c>
      <c r="T69" s="190">
        <f t="shared" si="175"/>
        <v>5</v>
      </c>
      <c r="U69" s="190">
        <f t="shared" si="175"/>
        <v>6</v>
      </c>
      <c r="V69" s="190">
        <f t="shared" si="175"/>
        <v>7</v>
      </c>
      <c r="W69" s="190">
        <f t="shared" si="175"/>
        <v>8</v>
      </c>
      <c r="X69" s="190">
        <f t="shared" si="175"/>
        <v>9</v>
      </c>
      <c r="Y69" s="190">
        <f t="shared" si="175"/>
        <v>10</v>
      </c>
      <c r="Z69" s="190">
        <f t="shared" si="175"/>
        <v>11</v>
      </c>
      <c r="AA69" s="190">
        <f t="shared" si="175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6" ref="AE69:AN69">AD69+1</f>
        <v>3</v>
      </c>
      <c r="AF69" s="190">
        <f t="shared" si="176"/>
        <v>4</v>
      </c>
      <c r="AG69" s="190">
        <f t="shared" si="176"/>
        <v>5</v>
      </c>
      <c r="AH69" s="190">
        <f t="shared" si="176"/>
        <v>6</v>
      </c>
      <c r="AI69" s="190">
        <f t="shared" si="176"/>
        <v>7</v>
      </c>
      <c r="AJ69" s="190">
        <f t="shared" si="176"/>
        <v>8</v>
      </c>
      <c r="AK69" s="190">
        <f t="shared" si="176"/>
        <v>9</v>
      </c>
      <c r="AL69" s="190">
        <f t="shared" si="176"/>
        <v>10</v>
      </c>
      <c r="AM69" s="190">
        <f t="shared" si="176"/>
        <v>11</v>
      </c>
      <c r="AN69" s="190">
        <f t="shared" si="176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7" ref="AR69:BA69">AQ69+1</f>
        <v>3</v>
      </c>
      <c r="AS69" s="190">
        <f t="shared" si="177"/>
        <v>4</v>
      </c>
      <c r="AT69" s="190">
        <f t="shared" si="177"/>
        <v>5</v>
      </c>
      <c r="AU69" s="190">
        <f t="shared" si="177"/>
        <v>6</v>
      </c>
      <c r="AV69" s="190">
        <f t="shared" si="177"/>
        <v>7</v>
      </c>
      <c r="AW69" s="190">
        <f t="shared" si="177"/>
        <v>8</v>
      </c>
      <c r="AX69" s="190">
        <f t="shared" si="177"/>
        <v>9</v>
      </c>
      <c r="AY69" s="190">
        <f t="shared" si="177"/>
        <v>10</v>
      </c>
      <c r="AZ69" s="190">
        <f t="shared" si="177"/>
        <v>11</v>
      </c>
      <c r="BA69" s="190">
        <f t="shared" si="177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8" ref="BE69:BN69">BD69+1</f>
        <v>3</v>
      </c>
      <c r="BF69" s="190">
        <f t="shared" si="178"/>
        <v>4</v>
      </c>
      <c r="BG69" s="190">
        <f t="shared" si="178"/>
        <v>5</v>
      </c>
      <c r="BH69" s="190">
        <f t="shared" si="178"/>
        <v>6</v>
      </c>
      <c r="BI69" s="190">
        <f t="shared" si="178"/>
        <v>7</v>
      </c>
      <c r="BJ69" s="190">
        <f t="shared" si="178"/>
        <v>8</v>
      </c>
      <c r="BK69" s="190">
        <f t="shared" si="178"/>
        <v>9</v>
      </c>
      <c r="BL69" s="190">
        <f t="shared" si="178"/>
        <v>10</v>
      </c>
      <c r="BM69" s="190">
        <f t="shared" si="178"/>
        <v>11</v>
      </c>
      <c r="BN69" s="190">
        <f t="shared" si="178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9" ref="BR69:CA69">BQ69+1</f>
        <v>3</v>
      </c>
      <c r="BS69" s="190">
        <f t="shared" si="179"/>
        <v>4</v>
      </c>
      <c r="BT69" s="190">
        <f t="shared" si="179"/>
        <v>5</v>
      </c>
      <c r="BU69" s="190">
        <f t="shared" si="179"/>
        <v>6</v>
      </c>
      <c r="BV69" s="190">
        <f t="shared" si="179"/>
        <v>7</v>
      </c>
      <c r="BW69" s="190">
        <f t="shared" si="179"/>
        <v>8</v>
      </c>
      <c r="BX69" s="190">
        <f t="shared" si="179"/>
        <v>9</v>
      </c>
      <c r="BY69" s="190">
        <f t="shared" si="179"/>
        <v>10</v>
      </c>
      <c r="BZ69" s="190">
        <f t="shared" si="179"/>
        <v>11</v>
      </c>
      <c r="CA69" s="190">
        <f t="shared" si="179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80" ref="CE69:CN69">CD69+1</f>
        <v>3</v>
      </c>
      <c r="CF69" s="190">
        <f t="shared" si="180"/>
        <v>4</v>
      </c>
      <c r="CG69" s="190">
        <f t="shared" si="180"/>
        <v>5</v>
      </c>
      <c r="CH69" s="190">
        <f t="shared" si="180"/>
        <v>6</v>
      </c>
      <c r="CI69" s="190">
        <f t="shared" si="180"/>
        <v>7</v>
      </c>
      <c r="CJ69" s="190">
        <f t="shared" si="180"/>
        <v>8</v>
      </c>
      <c r="CK69" s="190">
        <f t="shared" si="180"/>
        <v>9</v>
      </c>
      <c r="CL69" s="190">
        <f t="shared" si="180"/>
        <v>10</v>
      </c>
      <c r="CM69" s="190">
        <f t="shared" si="180"/>
        <v>11</v>
      </c>
      <c r="CN69" s="190">
        <f t="shared" si="180"/>
        <v>12</v>
      </c>
      <c r="CO69" s="191" t="str">
        <f>CO53</f>
        <v>Итого</v>
      </c>
      <c r="CP69" s="190">
        <v>1</v>
      </c>
      <c r="CQ69" s="190">
        <f aca="true" t="shared" si="181" ref="CQ69:DA69">CP69+1</f>
        <v>2</v>
      </c>
      <c r="CR69" s="190">
        <f t="shared" si="181"/>
        <v>3</v>
      </c>
      <c r="CS69" s="190">
        <f t="shared" si="181"/>
        <v>4</v>
      </c>
      <c r="CT69" s="190">
        <f t="shared" si="181"/>
        <v>5</v>
      </c>
      <c r="CU69" s="190">
        <f t="shared" si="181"/>
        <v>6</v>
      </c>
      <c r="CV69" s="190">
        <f t="shared" si="181"/>
        <v>7</v>
      </c>
      <c r="CW69" s="190">
        <f t="shared" si="181"/>
        <v>8</v>
      </c>
      <c r="CX69" s="190">
        <f t="shared" si="181"/>
        <v>9</v>
      </c>
      <c r="CY69" s="190">
        <f t="shared" si="181"/>
        <v>10</v>
      </c>
      <c r="CZ69" s="190">
        <f t="shared" si="181"/>
        <v>11</v>
      </c>
      <c r="DA69" s="190">
        <f t="shared" si="181"/>
        <v>12</v>
      </c>
      <c r="DB69" s="191" t="str">
        <f>DB53</f>
        <v>Итого</v>
      </c>
      <c r="DC69" s="190">
        <v>1</v>
      </c>
      <c r="DD69" s="190">
        <f aca="true" t="shared" si="182" ref="DD69:DN69">DC69+1</f>
        <v>2</v>
      </c>
      <c r="DE69" s="190">
        <f t="shared" si="182"/>
        <v>3</v>
      </c>
      <c r="DF69" s="190">
        <f t="shared" si="182"/>
        <v>4</v>
      </c>
      <c r="DG69" s="190">
        <f t="shared" si="182"/>
        <v>5</v>
      </c>
      <c r="DH69" s="190">
        <f t="shared" si="182"/>
        <v>6</v>
      </c>
      <c r="DI69" s="190">
        <f t="shared" si="182"/>
        <v>7</v>
      </c>
      <c r="DJ69" s="190">
        <f t="shared" si="182"/>
        <v>8</v>
      </c>
      <c r="DK69" s="190">
        <f t="shared" si="182"/>
        <v>9</v>
      </c>
      <c r="DL69" s="190">
        <f t="shared" si="182"/>
        <v>10</v>
      </c>
      <c r="DM69" s="190">
        <f t="shared" si="182"/>
        <v>11</v>
      </c>
      <c r="DN69" s="190">
        <f t="shared" si="182"/>
        <v>12</v>
      </c>
      <c r="DO69" s="191" t="s">
        <v>0</v>
      </c>
    </row>
    <row r="70" spans="1:119" ht="12.75">
      <c r="A70" s="188" t="s">
        <v>106</v>
      </c>
      <c r="B70" s="193">
        <f>O70+AB70+AO70+BB70+BO70+CB70+CO70+DB70+DO70</f>
        <v>373.90224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'1-Ф3'!M$28</f>
        <v>373.90224</v>
      </c>
      <c r="M70" s="194"/>
      <c r="N70" s="194"/>
      <c r="O70" s="195">
        <f>SUM(C70:N70)</f>
        <v>373.90224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6.543289200000001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>
        <f>SUM(O72:P72)</f>
        <v>6.543289200000001</v>
      </c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5">
        <f>SUM(P71:AA71)</f>
        <v>6.543289200000001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110.22146925742734</v>
      </c>
      <c r="C72" s="194"/>
      <c r="D72" s="194">
        <f aca="true" t="shared" si="183" ref="D72:N72">C75*$B68/12</f>
        <v>0</v>
      </c>
      <c r="E72" s="194">
        <f t="shared" si="183"/>
        <v>0</v>
      </c>
      <c r="F72" s="194">
        <f t="shared" si="183"/>
        <v>0</v>
      </c>
      <c r="G72" s="194">
        <f t="shared" si="183"/>
        <v>0</v>
      </c>
      <c r="H72" s="194">
        <f t="shared" si="183"/>
        <v>0</v>
      </c>
      <c r="I72" s="194">
        <f t="shared" si="183"/>
        <v>0</v>
      </c>
      <c r="J72" s="194">
        <f t="shared" si="183"/>
        <v>0</v>
      </c>
      <c r="K72" s="194">
        <f t="shared" si="183"/>
        <v>0</v>
      </c>
      <c r="L72" s="194">
        <f t="shared" si="183"/>
        <v>0</v>
      </c>
      <c r="M72" s="194">
        <f t="shared" si="183"/>
        <v>2.1810964000000004</v>
      </c>
      <c r="N72" s="194">
        <f t="shared" si="183"/>
        <v>2.1810964000000004</v>
      </c>
      <c r="O72" s="195">
        <f>SUM(C72:N72)</f>
        <v>4.362192800000001</v>
      </c>
      <c r="P72" s="194">
        <f aca="true" t="shared" si="184" ref="P72:AA72">O75*$B68/12</f>
        <v>2.1810964000000004</v>
      </c>
      <c r="Q72" s="194">
        <f t="shared" si="184"/>
        <v>2.219265587</v>
      </c>
      <c r="R72" s="194">
        <f t="shared" si="184"/>
        <v>2.219265587</v>
      </c>
      <c r="S72" s="194">
        <f t="shared" si="184"/>
        <v>2.219265587</v>
      </c>
      <c r="T72" s="194">
        <f t="shared" si="184"/>
        <v>2.219265587</v>
      </c>
      <c r="U72" s="194">
        <f t="shared" si="184"/>
        <v>2.219265587</v>
      </c>
      <c r="V72" s="194">
        <f t="shared" si="184"/>
        <v>2.219265587</v>
      </c>
      <c r="W72" s="194">
        <f t="shared" si="184"/>
        <v>2.219265587</v>
      </c>
      <c r="X72" s="194">
        <f t="shared" si="184"/>
        <v>2.1955928939225227</v>
      </c>
      <c r="Y72" s="194">
        <f t="shared" si="184"/>
        <v>2.1717821101354264</v>
      </c>
      <c r="Z72" s="194">
        <f t="shared" si="184"/>
        <v>2.147832430109572</v>
      </c>
      <c r="AA72" s="194">
        <f t="shared" si="184"/>
        <v>2.1237430436169</v>
      </c>
      <c r="AB72" s="195">
        <f>SUM(P72:AA72)</f>
        <v>26.354905986784427</v>
      </c>
      <c r="AC72" s="194">
        <f aca="true" t="shared" si="185" ref="AC72:AN72">AB75*$B68/12</f>
        <v>2.0995131357030212</v>
      </c>
      <c r="AD72" s="194">
        <f t="shared" si="185"/>
        <v>2.0751418866596443</v>
      </c>
      <c r="AE72" s="194">
        <f t="shared" si="185"/>
        <v>2.050628471996848</v>
      </c>
      <c r="AF72" s="194">
        <f t="shared" si="185"/>
        <v>2.025972062415186</v>
      </c>
      <c r="AG72" s="194">
        <f t="shared" si="185"/>
        <v>2.00117182377763</v>
      </c>
      <c r="AH72" s="194">
        <f t="shared" si="185"/>
        <v>1.9762269170813553</v>
      </c>
      <c r="AI72" s="194">
        <f t="shared" si="185"/>
        <v>1.9511364984293527</v>
      </c>
      <c r="AJ72" s="194">
        <f t="shared" si="185"/>
        <v>1.9258997190018794</v>
      </c>
      <c r="AK72" s="194">
        <f t="shared" si="185"/>
        <v>1.900515725027746</v>
      </c>
      <c r="AL72" s="194">
        <f t="shared" si="185"/>
        <v>1.8749836577554306</v>
      </c>
      <c r="AM72" s="194">
        <f t="shared" si="185"/>
        <v>1.8493026534240264</v>
      </c>
      <c r="AN72" s="194">
        <f t="shared" si="185"/>
        <v>1.823471843234022</v>
      </c>
      <c r="AO72" s="195">
        <f>SUM(AC72:AN72)</f>
        <v>23.55396439450614</v>
      </c>
      <c r="AP72" s="194">
        <f aca="true" t="shared" si="186" ref="AP72:BA72">AO75*$B68/12</f>
        <v>1.7974903533179099</v>
      </c>
      <c r="AQ72" s="194">
        <f t="shared" si="186"/>
        <v>1.7713573047106197</v>
      </c>
      <c r="AR72" s="194">
        <f t="shared" si="186"/>
        <v>1.7450718133197876</v>
      </c>
      <c r="AS72" s="194">
        <f t="shared" si="186"/>
        <v>1.7186329898958421</v>
      </c>
      <c r="AT72" s="194">
        <f t="shared" si="186"/>
        <v>1.6920399400019237</v>
      </c>
      <c r="AU72" s="194">
        <f t="shared" si="186"/>
        <v>1.6652917639836238</v>
      </c>
      <c r="AV72" s="194">
        <f t="shared" si="186"/>
        <v>1.6383875569385509</v>
      </c>
      <c r="AW72" s="194">
        <f t="shared" si="186"/>
        <v>1.6113264086857146</v>
      </c>
      <c r="AX72" s="194">
        <f t="shared" si="186"/>
        <v>1.584107403734737</v>
      </c>
      <c r="AY72" s="194">
        <f t="shared" si="186"/>
        <v>1.5567296212548787</v>
      </c>
      <c r="AZ72" s="194">
        <f t="shared" si="186"/>
        <v>1.5291921350438882</v>
      </c>
      <c r="BA72" s="194">
        <f t="shared" si="186"/>
        <v>1.5014940134966663</v>
      </c>
      <c r="BB72" s="195">
        <f>SUM(AP72:BA72)</f>
        <v>19.811121304384145</v>
      </c>
      <c r="BC72" s="194">
        <f aca="true" t="shared" si="187" ref="BC72:BN72">BB75*$B68/12</f>
        <v>1.473634319573753</v>
      </c>
      <c r="BD72" s="194">
        <f t="shared" si="187"/>
        <v>1.4456121107696223</v>
      </c>
      <c r="BE72" s="194">
        <f t="shared" si="187"/>
        <v>1.4174264390808007</v>
      </c>
      <c r="BF72" s="194">
        <f t="shared" si="187"/>
        <v>1.3890763509737944</v>
      </c>
      <c r="BG72" s="194">
        <f t="shared" si="187"/>
        <v>1.3605608873528308</v>
      </c>
      <c r="BH72" s="194">
        <f t="shared" si="187"/>
        <v>1.3318790835274112</v>
      </c>
      <c r="BI72" s="194">
        <f t="shared" si="187"/>
        <v>1.303029969179677</v>
      </c>
      <c r="BJ72" s="194">
        <f t="shared" si="187"/>
        <v>1.2740125683315806</v>
      </c>
      <c r="BK72" s="194">
        <f t="shared" si="187"/>
        <v>1.2448258993118706</v>
      </c>
      <c r="BL72" s="194">
        <f t="shared" si="187"/>
        <v>1.215468974722879</v>
      </c>
      <c r="BM72" s="194">
        <f t="shared" si="187"/>
        <v>1.1859408014071182</v>
      </c>
      <c r="BN72" s="194">
        <f t="shared" si="187"/>
        <v>1.1562403804136823</v>
      </c>
      <c r="BO72" s="195">
        <f>SUM(BC72:BN72)</f>
        <v>15.79770778464502</v>
      </c>
      <c r="BP72" s="194">
        <f aca="true" t="shared" si="188" ref="BP72:CA72">BO75*$B68/12</f>
        <v>1.1263667069644512</v>
      </c>
      <c r="BQ72" s="194">
        <f t="shared" si="188"/>
        <v>1.0963187704200996</v>
      </c>
      <c r="BR72" s="194">
        <f t="shared" si="188"/>
        <v>1.0660955542459059</v>
      </c>
      <c r="BS72" s="194">
        <f t="shared" si="188"/>
        <v>1.0356960359773628</v>
      </c>
      <c r="BT72" s="194">
        <f t="shared" si="188"/>
        <v>1.0051191871855865</v>
      </c>
      <c r="BU72" s="194">
        <f t="shared" si="188"/>
        <v>0.9743639734425248</v>
      </c>
      <c r="BV72" s="194">
        <f t="shared" si="188"/>
        <v>0.943429354285962</v>
      </c>
      <c r="BW72" s="194">
        <f t="shared" si="188"/>
        <v>0.9123142831843191</v>
      </c>
      <c r="BX72" s="194">
        <f t="shared" si="188"/>
        <v>0.8810177075012501</v>
      </c>
      <c r="BY72" s="194">
        <f t="shared" si="188"/>
        <v>0.8495385684600297</v>
      </c>
      <c r="BZ72" s="194">
        <f t="shared" si="188"/>
        <v>0.8178758011077357</v>
      </c>
      <c r="CA72" s="194">
        <f t="shared" si="188"/>
        <v>0.7860283342792199</v>
      </c>
      <c r="CB72" s="195">
        <f>SUM(BP72:CA72)</f>
        <v>11.494164277054448</v>
      </c>
      <c r="CC72" s="194">
        <f aca="true" t="shared" si="189" ref="CC72:CN72">CB75*$B68/12</f>
        <v>0.7539950905608711</v>
      </c>
      <c r="CD72" s="194">
        <f t="shared" si="189"/>
        <v>0.7217749862541653</v>
      </c>
      <c r="CE72" s="194">
        <f t="shared" si="189"/>
        <v>0.6893669313390037</v>
      </c>
      <c r="CF72" s="194">
        <f t="shared" si="189"/>
        <v>0.6567698294368369</v>
      </c>
      <c r="CG72" s="194">
        <f t="shared" si="189"/>
        <v>0.6239825777735742</v>
      </c>
      <c r="CH72" s="194">
        <f t="shared" si="189"/>
        <v>0.5910040671422759</v>
      </c>
      <c r="CI72" s="194">
        <f t="shared" si="189"/>
        <v>0.5578331818656282</v>
      </c>
      <c r="CJ72" s="194">
        <f t="shared" si="189"/>
        <v>0.5244687997582002</v>
      </c>
      <c r="CK72" s="194">
        <f t="shared" si="189"/>
        <v>0.4909097920884787</v>
      </c>
      <c r="CL72" s="194">
        <f t="shared" si="189"/>
        <v>0.457155023540684</v>
      </c>
      <c r="CM72" s="194">
        <f t="shared" si="189"/>
        <v>0.42320335217636035</v>
      </c>
      <c r="CN72" s="194">
        <f t="shared" si="189"/>
        <v>0.38905362939574495</v>
      </c>
      <c r="CO72" s="195">
        <f>SUM(CC72:CN72)</f>
        <v>6.879517261331823</v>
      </c>
      <c r="CP72" s="194">
        <f aca="true" t="shared" si="190" ref="CP72:DA72">CO75*$B68/12</f>
        <v>0.3547046998989092</v>
      </c>
      <c r="CQ72" s="194">
        <f t="shared" si="190"/>
        <v>0.3201554016466753</v>
      </c>
      <c r="CR72" s="194">
        <f t="shared" si="190"/>
        <v>0.28540456582130336</v>
      </c>
      <c r="CS72" s="194">
        <f t="shared" si="190"/>
        <v>0.25045101678695003</v>
      </c>
      <c r="CT72" s="194">
        <f t="shared" si="190"/>
        <v>0.21529357204989638</v>
      </c>
      <c r="CU72" s="194">
        <f t="shared" si="190"/>
        <v>0.17993104221854317</v>
      </c>
      <c r="CV72" s="194">
        <f t="shared" si="190"/>
        <v>0.14436223096317377</v>
      </c>
      <c r="CW72" s="194">
        <f t="shared" si="190"/>
        <v>0.1085859349754814</v>
      </c>
      <c r="CX72" s="194">
        <f t="shared" si="190"/>
        <v>0.0726009439278608</v>
      </c>
      <c r="CY72" s="194">
        <f t="shared" si="190"/>
        <v>0.03640604043246243</v>
      </c>
      <c r="CZ72" s="194">
        <f t="shared" si="190"/>
        <v>7.55913850033115E-15</v>
      </c>
      <c r="DA72" s="194">
        <f t="shared" si="190"/>
        <v>7.55913850033115E-15</v>
      </c>
      <c r="DB72" s="195">
        <f>SUM(CP72:DA72)</f>
        <v>1.9678954487212708</v>
      </c>
      <c r="DC72" s="194">
        <f aca="true" t="shared" si="191" ref="DC72:DN72">DB75*$B68/12</f>
        <v>7.55913850033115E-15</v>
      </c>
      <c r="DD72" s="194">
        <f t="shared" si="191"/>
        <v>7.55913850033115E-15</v>
      </c>
      <c r="DE72" s="194">
        <f t="shared" si="191"/>
        <v>7.55913850033115E-15</v>
      </c>
      <c r="DF72" s="194">
        <f t="shared" si="191"/>
        <v>7.55913850033115E-15</v>
      </c>
      <c r="DG72" s="194">
        <f t="shared" si="191"/>
        <v>7.55913850033115E-15</v>
      </c>
      <c r="DH72" s="194">
        <f t="shared" si="191"/>
        <v>7.55913850033115E-15</v>
      </c>
      <c r="DI72" s="194">
        <f t="shared" si="191"/>
        <v>7.55913850033115E-15</v>
      </c>
      <c r="DJ72" s="194">
        <f t="shared" si="191"/>
        <v>7.55913850033115E-15</v>
      </c>
      <c r="DK72" s="194">
        <f t="shared" si="191"/>
        <v>7.55913850033115E-15</v>
      </c>
      <c r="DL72" s="194">
        <f t="shared" si="191"/>
        <v>7.55913850033115E-15</v>
      </c>
      <c r="DM72" s="194">
        <f t="shared" si="191"/>
        <v>7.55913850033115E-15</v>
      </c>
      <c r="DN72" s="194">
        <f t="shared" si="191"/>
        <v>7.55913850033115E-15</v>
      </c>
      <c r="DO72" s="195">
        <f>SUM(DC72:DN72)</f>
        <v>9.070966200397382E-14</v>
      </c>
    </row>
    <row r="73" spans="1:119" ht="12.75">
      <c r="A73" s="188" t="s">
        <v>14</v>
      </c>
      <c r="B73" s="193">
        <f>O73+AB73+AO73+BB73+BO73+CB73+CO73+DB73+DO73</f>
        <v>380.44552919999853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4.05817595613901</v>
      </c>
      <c r="X73" s="194">
        <f>$B77-X72</f>
        <v>4.081848649216488</v>
      </c>
      <c r="Y73" s="194">
        <f>$B77-Y72</f>
        <v>4.105659433003584</v>
      </c>
      <c r="Z73" s="194">
        <f>$B77-Z72</f>
        <v>4.129609113029439</v>
      </c>
      <c r="AA73" s="194">
        <f>$B77-AA72</f>
        <v>4.153698499522111</v>
      </c>
      <c r="AB73" s="195">
        <f>SUM(P73:AA73)</f>
        <v>20.52899165091063</v>
      </c>
      <c r="AC73" s="194">
        <f aca="true" t="shared" si="192" ref="AC73:AN73">$B77-AC72</f>
        <v>4.1779284074359895</v>
      </c>
      <c r="AD73" s="194">
        <f t="shared" si="192"/>
        <v>4.202299656479367</v>
      </c>
      <c r="AE73" s="194">
        <f t="shared" si="192"/>
        <v>4.226813071142162</v>
      </c>
      <c r="AF73" s="194">
        <f t="shared" si="192"/>
        <v>4.251469480723825</v>
      </c>
      <c r="AG73" s="194">
        <f t="shared" si="192"/>
        <v>4.27626971936138</v>
      </c>
      <c r="AH73" s="194">
        <f t="shared" si="192"/>
        <v>4.301214626057655</v>
      </c>
      <c r="AI73" s="194">
        <f t="shared" si="192"/>
        <v>4.326305044709658</v>
      </c>
      <c r="AJ73" s="194">
        <f t="shared" si="192"/>
        <v>4.351541824137131</v>
      </c>
      <c r="AK73" s="194">
        <f t="shared" si="192"/>
        <v>4.376925818111265</v>
      </c>
      <c r="AL73" s="194">
        <f t="shared" si="192"/>
        <v>4.40245788538358</v>
      </c>
      <c r="AM73" s="194">
        <f t="shared" si="192"/>
        <v>4.428138889714984</v>
      </c>
      <c r="AN73" s="194">
        <f t="shared" si="192"/>
        <v>4.453969699904989</v>
      </c>
      <c r="AO73" s="195">
        <f>SUM(AC73:AN73)</f>
        <v>51.77533412316198</v>
      </c>
      <c r="AP73" s="194">
        <f aca="true" t="shared" si="193" ref="AP73:BA73">$B77-AP72</f>
        <v>4.479951189821101</v>
      </c>
      <c r="AQ73" s="194">
        <f t="shared" si="193"/>
        <v>4.506084238428391</v>
      </c>
      <c r="AR73" s="194">
        <f t="shared" si="193"/>
        <v>4.532369729819223</v>
      </c>
      <c r="AS73" s="194">
        <f t="shared" si="193"/>
        <v>4.558808553243169</v>
      </c>
      <c r="AT73" s="194">
        <f t="shared" si="193"/>
        <v>4.585401603137087</v>
      </c>
      <c r="AU73" s="194">
        <f t="shared" si="193"/>
        <v>4.612149779155387</v>
      </c>
      <c r="AV73" s="194">
        <f t="shared" si="193"/>
        <v>4.63905398620046</v>
      </c>
      <c r="AW73" s="194">
        <f t="shared" si="193"/>
        <v>4.666115134453296</v>
      </c>
      <c r="AX73" s="194">
        <f t="shared" si="193"/>
        <v>4.693334139404274</v>
      </c>
      <c r="AY73" s="194">
        <f t="shared" si="193"/>
        <v>4.720711921884132</v>
      </c>
      <c r="AZ73" s="194">
        <f t="shared" si="193"/>
        <v>4.7482494080951225</v>
      </c>
      <c r="BA73" s="194">
        <f t="shared" si="193"/>
        <v>4.775947529642345</v>
      </c>
      <c r="BB73" s="195">
        <f>SUM(AP73:BA73)</f>
        <v>55.518177213283984</v>
      </c>
      <c r="BC73" s="194">
        <f aca="true" t="shared" si="194" ref="BC73:BN73">$B77-BC72</f>
        <v>4.803807223565258</v>
      </c>
      <c r="BD73" s="194">
        <f t="shared" si="194"/>
        <v>4.831829432369388</v>
      </c>
      <c r="BE73" s="194">
        <f t="shared" si="194"/>
        <v>4.86001510405821</v>
      </c>
      <c r="BF73" s="194">
        <f t="shared" si="194"/>
        <v>4.8883651921652165</v>
      </c>
      <c r="BG73" s="194">
        <f t="shared" si="194"/>
        <v>4.91688065578618</v>
      </c>
      <c r="BH73" s="194">
        <f t="shared" si="194"/>
        <v>4.945562459611599</v>
      </c>
      <c r="BI73" s="194">
        <f t="shared" si="194"/>
        <v>4.974411573959333</v>
      </c>
      <c r="BJ73" s="194">
        <f t="shared" si="194"/>
        <v>5.00342897480743</v>
      </c>
      <c r="BK73" s="194">
        <f t="shared" si="194"/>
        <v>5.03261564382714</v>
      </c>
      <c r="BL73" s="194">
        <f t="shared" si="194"/>
        <v>5.061972568416132</v>
      </c>
      <c r="BM73" s="194">
        <f t="shared" si="194"/>
        <v>5.091500741731893</v>
      </c>
      <c r="BN73" s="194">
        <f t="shared" si="194"/>
        <v>5.121201162725328</v>
      </c>
      <c r="BO73" s="195">
        <f>SUM(BC73:BN73)</f>
        <v>59.53159073302311</v>
      </c>
      <c r="BP73" s="194">
        <f aca="true" t="shared" si="195" ref="BP73:CA73">$B77-BP72</f>
        <v>5.151074836174559</v>
      </c>
      <c r="BQ73" s="194">
        <f t="shared" si="195"/>
        <v>5.181122772718911</v>
      </c>
      <c r="BR73" s="194">
        <f t="shared" si="195"/>
        <v>5.211345988893105</v>
      </c>
      <c r="BS73" s="194">
        <f t="shared" si="195"/>
        <v>5.241745507161648</v>
      </c>
      <c r="BT73" s="194">
        <f t="shared" si="195"/>
        <v>5.272322355953424</v>
      </c>
      <c r="BU73" s="194">
        <f t="shared" si="195"/>
        <v>5.303077569696486</v>
      </c>
      <c r="BV73" s="194">
        <f t="shared" si="195"/>
        <v>5.334012188853048</v>
      </c>
      <c r="BW73" s="194">
        <f t="shared" si="195"/>
        <v>5.365127259954692</v>
      </c>
      <c r="BX73" s="194">
        <f t="shared" si="195"/>
        <v>5.39642383563776</v>
      </c>
      <c r="BY73" s="194">
        <f t="shared" si="195"/>
        <v>5.427902974678981</v>
      </c>
      <c r="BZ73" s="194">
        <f t="shared" si="195"/>
        <v>5.459565742031275</v>
      </c>
      <c r="CA73" s="194">
        <f t="shared" si="195"/>
        <v>5.4914132088597905</v>
      </c>
      <c r="CB73" s="195">
        <f>SUM(BP73:CA73)</f>
        <v>63.83513424061367</v>
      </c>
      <c r="CC73" s="194">
        <f aca="true" t="shared" si="196" ref="CC73:CN73">$B77-CC72</f>
        <v>5.523446452578139</v>
      </c>
      <c r="CD73" s="194">
        <f t="shared" si="196"/>
        <v>5.555666556884845</v>
      </c>
      <c r="CE73" s="194">
        <f t="shared" si="196"/>
        <v>5.588074611800007</v>
      </c>
      <c r="CF73" s="194">
        <f t="shared" si="196"/>
        <v>5.6206717137021736</v>
      </c>
      <c r="CG73" s="194">
        <f t="shared" si="196"/>
        <v>5.653458965365436</v>
      </c>
      <c r="CH73" s="194">
        <f t="shared" si="196"/>
        <v>5.686437475996735</v>
      </c>
      <c r="CI73" s="194">
        <f t="shared" si="196"/>
        <v>5.719608361273383</v>
      </c>
      <c r="CJ73" s="194">
        <f t="shared" si="196"/>
        <v>5.752972743380811</v>
      </c>
      <c r="CK73" s="194">
        <f t="shared" si="196"/>
        <v>5.786531751050532</v>
      </c>
      <c r="CL73" s="194">
        <f t="shared" si="196"/>
        <v>5.820286519598326</v>
      </c>
      <c r="CM73" s="194">
        <f t="shared" si="196"/>
        <v>5.854238190962651</v>
      </c>
      <c r="CN73" s="194">
        <f t="shared" si="196"/>
        <v>5.888387913743266</v>
      </c>
      <c r="CO73" s="195">
        <f>SUM(CC73:CN73)</f>
        <v>68.44978125633631</v>
      </c>
      <c r="CP73" s="194">
        <f aca="true" t="shared" si="197" ref="CP73:CY73">$B77-CP72</f>
        <v>5.922736843240101</v>
      </c>
      <c r="CQ73" s="194">
        <f t="shared" si="197"/>
        <v>5.957286141492335</v>
      </c>
      <c r="CR73" s="194">
        <f t="shared" si="197"/>
        <v>5.992036977317707</v>
      </c>
      <c r="CS73" s="194">
        <f t="shared" si="197"/>
        <v>6.02699052635206</v>
      </c>
      <c r="CT73" s="194">
        <f t="shared" si="197"/>
        <v>6.062147971089114</v>
      </c>
      <c r="CU73" s="194">
        <f t="shared" si="197"/>
        <v>6.0975105009204675</v>
      </c>
      <c r="CV73" s="194">
        <f t="shared" si="197"/>
        <v>6.133079312175837</v>
      </c>
      <c r="CW73" s="194">
        <f t="shared" si="197"/>
        <v>6.168855608163529</v>
      </c>
      <c r="CX73" s="194">
        <f t="shared" si="197"/>
        <v>6.20484059921115</v>
      </c>
      <c r="CY73" s="194">
        <f t="shared" si="197"/>
        <v>6.2410355027065485</v>
      </c>
      <c r="CZ73" s="194"/>
      <c r="DA73" s="194"/>
      <c r="DB73" s="195">
        <f>SUM(CP73:DA73)</f>
        <v>60.80651998266886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103.67818005742737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4">
        <f aca="true" t="shared" si="198" ref="Q74:V74">Q72</f>
        <v>2.219265587</v>
      </c>
      <c r="R74" s="194">
        <f t="shared" si="198"/>
        <v>2.219265587</v>
      </c>
      <c r="S74" s="194">
        <f t="shared" si="198"/>
        <v>2.219265587</v>
      </c>
      <c r="T74" s="194">
        <f t="shared" si="198"/>
        <v>2.219265587</v>
      </c>
      <c r="U74" s="194">
        <f t="shared" si="198"/>
        <v>2.219265587</v>
      </c>
      <c r="V74" s="194">
        <f t="shared" si="198"/>
        <v>2.219265587</v>
      </c>
      <c r="W74" s="194">
        <f>W72</f>
        <v>2.219265587</v>
      </c>
      <c r="X74" s="194">
        <f>X72</f>
        <v>2.1955928939225227</v>
      </c>
      <c r="Y74" s="194">
        <f>Y72</f>
        <v>2.1717821101354264</v>
      </c>
      <c r="Z74" s="194">
        <f>Z72</f>
        <v>2.147832430109572</v>
      </c>
      <c r="AA74" s="194">
        <f>AA72</f>
        <v>2.1237430436169</v>
      </c>
      <c r="AB74" s="195">
        <f>SUM(P74:AA74)</f>
        <v>24.173809586784426</v>
      </c>
      <c r="AC74" s="194">
        <f aca="true" t="shared" si="199" ref="AC74:AK74">AC72</f>
        <v>2.0995131357030212</v>
      </c>
      <c r="AD74" s="194">
        <f t="shared" si="199"/>
        <v>2.0751418866596443</v>
      </c>
      <c r="AE74" s="194">
        <f t="shared" si="199"/>
        <v>2.050628471996848</v>
      </c>
      <c r="AF74" s="194">
        <f t="shared" si="199"/>
        <v>2.025972062415186</v>
      </c>
      <c r="AG74" s="194">
        <f t="shared" si="199"/>
        <v>2.00117182377763</v>
      </c>
      <c r="AH74" s="194">
        <f t="shared" si="199"/>
        <v>1.9762269170813553</v>
      </c>
      <c r="AI74" s="194">
        <f t="shared" si="199"/>
        <v>1.9511364984293527</v>
      </c>
      <c r="AJ74" s="194">
        <f t="shared" si="199"/>
        <v>1.9258997190018794</v>
      </c>
      <c r="AK74" s="194">
        <f t="shared" si="199"/>
        <v>1.900515725027746</v>
      </c>
      <c r="AL74" s="194">
        <f>AL72</f>
        <v>1.8749836577554306</v>
      </c>
      <c r="AM74" s="194">
        <f>AM72</f>
        <v>1.8493026534240264</v>
      </c>
      <c r="AN74" s="194">
        <f>AN72</f>
        <v>1.823471843234022</v>
      </c>
      <c r="AO74" s="195">
        <f>SUM(AC74:AN74)</f>
        <v>23.55396439450614</v>
      </c>
      <c r="AP74" s="194">
        <f aca="true" t="shared" si="200" ref="AP74:BA74">AP72</f>
        <v>1.7974903533179099</v>
      </c>
      <c r="AQ74" s="194">
        <f t="shared" si="200"/>
        <v>1.7713573047106197</v>
      </c>
      <c r="AR74" s="194">
        <f t="shared" si="200"/>
        <v>1.7450718133197876</v>
      </c>
      <c r="AS74" s="194">
        <f t="shared" si="200"/>
        <v>1.7186329898958421</v>
      </c>
      <c r="AT74" s="194">
        <f t="shared" si="200"/>
        <v>1.6920399400019237</v>
      </c>
      <c r="AU74" s="194">
        <f t="shared" si="200"/>
        <v>1.6652917639836238</v>
      </c>
      <c r="AV74" s="194">
        <f t="shared" si="200"/>
        <v>1.6383875569385509</v>
      </c>
      <c r="AW74" s="194">
        <f t="shared" si="200"/>
        <v>1.6113264086857146</v>
      </c>
      <c r="AX74" s="194">
        <f t="shared" si="200"/>
        <v>1.584107403734737</v>
      </c>
      <c r="AY74" s="194">
        <f t="shared" si="200"/>
        <v>1.5567296212548787</v>
      </c>
      <c r="AZ74" s="194">
        <f t="shared" si="200"/>
        <v>1.5291921350438882</v>
      </c>
      <c r="BA74" s="194">
        <f t="shared" si="200"/>
        <v>1.5014940134966663</v>
      </c>
      <c r="BB74" s="195">
        <f>SUM(AP74:BA74)</f>
        <v>19.811121304384145</v>
      </c>
      <c r="BC74" s="194">
        <f aca="true" t="shared" si="201" ref="BC74:BN74">BC72</f>
        <v>1.473634319573753</v>
      </c>
      <c r="BD74" s="194">
        <f t="shared" si="201"/>
        <v>1.4456121107696223</v>
      </c>
      <c r="BE74" s="194">
        <f t="shared" si="201"/>
        <v>1.4174264390808007</v>
      </c>
      <c r="BF74" s="194">
        <f t="shared" si="201"/>
        <v>1.3890763509737944</v>
      </c>
      <c r="BG74" s="194">
        <f t="shared" si="201"/>
        <v>1.3605608873528308</v>
      </c>
      <c r="BH74" s="194">
        <f t="shared" si="201"/>
        <v>1.3318790835274112</v>
      </c>
      <c r="BI74" s="194">
        <f t="shared" si="201"/>
        <v>1.303029969179677</v>
      </c>
      <c r="BJ74" s="194">
        <f t="shared" si="201"/>
        <v>1.2740125683315806</v>
      </c>
      <c r="BK74" s="194">
        <f t="shared" si="201"/>
        <v>1.2448258993118706</v>
      </c>
      <c r="BL74" s="194">
        <f t="shared" si="201"/>
        <v>1.215468974722879</v>
      </c>
      <c r="BM74" s="194">
        <f t="shared" si="201"/>
        <v>1.1859408014071182</v>
      </c>
      <c r="BN74" s="194">
        <f t="shared" si="201"/>
        <v>1.1562403804136823</v>
      </c>
      <c r="BO74" s="195">
        <f>SUM(BC74:BN74)</f>
        <v>15.79770778464502</v>
      </c>
      <c r="BP74" s="194">
        <f aca="true" t="shared" si="202" ref="BP74:CA74">BP72</f>
        <v>1.1263667069644512</v>
      </c>
      <c r="BQ74" s="194">
        <f t="shared" si="202"/>
        <v>1.0963187704200996</v>
      </c>
      <c r="BR74" s="194">
        <f t="shared" si="202"/>
        <v>1.0660955542459059</v>
      </c>
      <c r="BS74" s="194">
        <f t="shared" si="202"/>
        <v>1.0356960359773628</v>
      </c>
      <c r="BT74" s="194">
        <f t="shared" si="202"/>
        <v>1.0051191871855865</v>
      </c>
      <c r="BU74" s="194">
        <f t="shared" si="202"/>
        <v>0.9743639734425248</v>
      </c>
      <c r="BV74" s="194">
        <f t="shared" si="202"/>
        <v>0.943429354285962</v>
      </c>
      <c r="BW74" s="194">
        <f t="shared" si="202"/>
        <v>0.9123142831843191</v>
      </c>
      <c r="BX74" s="194">
        <f t="shared" si="202"/>
        <v>0.8810177075012501</v>
      </c>
      <c r="BY74" s="194">
        <f t="shared" si="202"/>
        <v>0.8495385684600297</v>
      </c>
      <c r="BZ74" s="194">
        <f t="shared" si="202"/>
        <v>0.8178758011077357</v>
      </c>
      <c r="CA74" s="194">
        <f t="shared" si="202"/>
        <v>0.7860283342792199</v>
      </c>
      <c r="CB74" s="195">
        <f>SUM(BP74:CA74)</f>
        <v>11.494164277054448</v>
      </c>
      <c r="CC74" s="194">
        <f aca="true" t="shared" si="203" ref="CC74:CN74">CC72</f>
        <v>0.7539950905608711</v>
      </c>
      <c r="CD74" s="194">
        <f t="shared" si="203"/>
        <v>0.7217749862541653</v>
      </c>
      <c r="CE74" s="194">
        <f t="shared" si="203"/>
        <v>0.6893669313390037</v>
      </c>
      <c r="CF74" s="194">
        <f t="shared" si="203"/>
        <v>0.6567698294368369</v>
      </c>
      <c r="CG74" s="194">
        <f t="shared" si="203"/>
        <v>0.6239825777735742</v>
      </c>
      <c r="CH74" s="194">
        <f t="shared" si="203"/>
        <v>0.5910040671422759</v>
      </c>
      <c r="CI74" s="194">
        <f t="shared" si="203"/>
        <v>0.5578331818656282</v>
      </c>
      <c r="CJ74" s="194">
        <f t="shared" si="203"/>
        <v>0.5244687997582002</v>
      </c>
      <c r="CK74" s="194">
        <f t="shared" si="203"/>
        <v>0.4909097920884787</v>
      </c>
      <c r="CL74" s="194">
        <f t="shared" si="203"/>
        <v>0.457155023540684</v>
      </c>
      <c r="CM74" s="194">
        <f t="shared" si="203"/>
        <v>0.42320335217636035</v>
      </c>
      <c r="CN74" s="194">
        <f t="shared" si="203"/>
        <v>0.38905362939574495</v>
      </c>
      <c r="CO74" s="195">
        <f>SUM(CC74:CN74)</f>
        <v>6.879517261331823</v>
      </c>
      <c r="CP74" s="194">
        <f aca="true" t="shared" si="204" ref="CP74:DA74">CP72</f>
        <v>0.3547046998989092</v>
      </c>
      <c r="CQ74" s="194">
        <f t="shared" si="204"/>
        <v>0.3201554016466753</v>
      </c>
      <c r="CR74" s="194">
        <f t="shared" si="204"/>
        <v>0.28540456582130336</v>
      </c>
      <c r="CS74" s="194">
        <f t="shared" si="204"/>
        <v>0.25045101678695003</v>
      </c>
      <c r="CT74" s="194">
        <f t="shared" si="204"/>
        <v>0.21529357204989638</v>
      </c>
      <c r="CU74" s="194">
        <f t="shared" si="204"/>
        <v>0.17993104221854317</v>
      </c>
      <c r="CV74" s="194">
        <f t="shared" si="204"/>
        <v>0.14436223096317377</v>
      </c>
      <c r="CW74" s="194">
        <f t="shared" si="204"/>
        <v>0.1085859349754814</v>
      </c>
      <c r="CX74" s="194">
        <f t="shared" si="204"/>
        <v>0.0726009439278608</v>
      </c>
      <c r="CY74" s="194">
        <f t="shared" si="204"/>
        <v>0.03640604043246243</v>
      </c>
      <c r="CZ74" s="194">
        <f t="shared" si="204"/>
        <v>7.55913850033115E-15</v>
      </c>
      <c r="DA74" s="194">
        <f t="shared" si="204"/>
        <v>7.55913850033115E-15</v>
      </c>
      <c r="DB74" s="195">
        <f>SUM(CP74:DA74)</f>
        <v>1.9678954487212708</v>
      </c>
      <c r="DC74" s="194">
        <f aca="true" t="shared" si="205" ref="DC74:DN74">DC72</f>
        <v>7.55913850033115E-15</v>
      </c>
      <c r="DD74" s="194">
        <f t="shared" si="205"/>
        <v>7.55913850033115E-15</v>
      </c>
      <c r="DE74" s="194">
        <f t="shared" si="205"/>
        <v>7.55913850033115E-15</v>
      </c>
      <c r="DF74" s="194">
        <f t="shared" si="205"/>
        <v>7.55913850033115E-15</v>
      </c>
      <c r="DG74" s="194">
        <f t="shared" si="205"/>
        <v>7.55913850033115E-15</v>
      </c>
      <c r="DH74" s="194">
        <f t="shared" si="205"/>
        <v>7.55913850033115E-15</v>
      </c>
      <c r="DI74" s="194">
        <f t="shared" si="205"/>
        <v>7.55913850033115E-15</v>
      </c>
      <c r="DJ74" s="194">
        <f t="shared" si="205"/>
        <v>7.55913850033115E-15</v>
      </c>
      <c r="DK74" s="194">
        <f t="shared" si="205"/>
        <v>7.55913850033115E-15</v>
      </c>
      <c r="DL74" s="194">
        <f t="shared" si="205"/>
        <v>7.55913850033115E-15</v>
      </c>
      <c r="DM74" s="194">
        <f t="shared" si="205"/>
        <v>7.55913850033115E-15</v>
      </c>
      <c r="DN74" s="194">
        <f t="shared" si="205"/>
        <v>7.55913850033115E-15</v>
      </c>
      <c r="DO74" s="195">
        <f>SUM(DC74:DN74)</f>
        <v>9.070966200397382E-14</v>
      </c>
    </row>
    <row r="75" spans="1:119" ht="12.75">
      <c r="A75" s="188" t="s">
        <v>16</v>
      </c>
      <c r="B75" s="193">
        <f>DO75</f>
        <v>1.2958523143424827E-12</v>
      </c>
      <c r="C75" s="194">
        <f>C70</f>
        <v>0</v>
      </c>
      <c r="D75" s="194">
        <f aca="true" t="shared" si="206" ref="D75:N75">C75+D70-D73+D71</f>
        <v>0</v>
      </c>
      <c r="E75" s="194">
        <f t="shared" si="206"/>
        <v>0</v>
      </c>
      <c r="F75" s="194">
        <f t="shared" si="206"/>
        <v>0</v>
      </c>
      <c r="G75" s="194">
        <f t="shared" si="206"/>
        <v>0</v>
      </c>
      <c r="H75" s="194">
        <f t="shared" si="206"/>
        <v>0</v>
      </c>
      <c r="I75" s="194">
        <f t="shared" si="206"/>
        <v>0</v>
      </c>
      <c r="J75" s="194">
        <f t="shared" si="206"/>
        <v>0</v>
      </c>
      <c r="K75" s="194">
        <f t="shared" si="206"/>
        <v>0</v>
      </c>
      <c r="L75" s="194">
        <f t="shared" si="206"/>
        <v>373.90224</v>
      </c>
      <c r="M75" s="194">
        <f t="shared" si="206"/>
        <v>373.90224</v>
      </c>
      <c r="N75" s="194">
        <f t="shared" si="206"/>
        <v>373.90224</v>
      </c>
      <c r="O75" s="195">
        <f>N75</f>
        <v>373.90224</v>
      </c>
      <c r="P75" s="194">
        <f aca="true" t="shared" si="207" ref="P75:AA75">O75+P70-P73+P71</f>
        <v>380.4455292</v>
      </c>
      <c r="Q75" s="194">
        <f t="shared" si="207"/>
        <v>380.4455292</v>
      </c>
      <c r="R75" s="194">
        <f t="shared" si="207"/>
        <v>380.4455292</v>
      </c>
      <c r="S75" s="194">
        <f t="shared" si="207"/>
        <v>380.4455292</v>
      </c>
      <c r="T75" s="194">
        <f t="shared" si="207"/>
        <v>380.4455292</v>
      </c>
      <c r="U75" s="194">
        <f t="shared" si="207"/>
        <v>380.4455292</v>
      </c>
      <c r="V75" s="194">
        <f t="shared" si="207"/>
        <v>380.4455292</v>
      </c>
      <c r="W75" s="194">
        <f t="shared" si="207"/>
        <v>376.387353243861</v>
      </c>
      <c r="X75" s="194">
        <f t="shared" si="207"/>
        <v>372.3055045946445</v>
      </c>
      <c r="Y75" s="194">
        <f t="shared" si="207"/>
        <v>368.1998451616409</v>
      </c>
      <c r="Z75" s="194">
        <f t="shared" si="207"/>
        <v>364.07023604861143</v>
      </c>
      <c r="AA75" s="194">
        <f t="shared" si="207"/>
        <v>359.9165375490893</v>
      </c>
      <c r="AB75" s="195">
        <f>AA75</f>
        <v>359.9165375490893</v>
      </c>
      <c r="AC75" s="194">
        <f aca="true" t="shared" si="208" ref="AC75:AN75">AB75+AC70-AC73+AC71</f>
        <v>355.7386091416533</v>
      </c>
      <c r="AD75" s="194">
        <f t="shared" si="208"/>
        <v>351.53630948517394</v>
      </c>
      <c r="AE75" s="194">
        <f t="shared" si="208"/>
        <v>347.3094964140318</v>
      </c>
      <c r="AF75" s="194">
        <f t="shared" si="208"/>
        <v>343.058026933308</v>
      </c>
      <c r="AG75" s="194">
        <f t="shared" si="208"/>
        <v>338.7817572139466</v>
      </c>
      <c r="AH75" s="194">
        <f t="shared" si="208"/>
        <v>334.480542587889</v>
      </c>
      <c r="AI75" s="194">
        <f t="shared" si="208"/>
        <v>330.1542375431793</v>
      </c>
      <c r="AJ75" s="194">
        <f t="shared" si="208"/>
        <v>325.80269571904216</v>
      </c>
      <c r="AK75" s="194">
        <f t="shared" si="208"/>
        <v>321.4257699009309</v>
      </c>
      <c r="AL75" s="194">
        <f t="shared" si="208"/>
        <v>317.02331201554733</v>
      </c>
      <c r="AM75" s="194">
        <f t="shared" si="208"/>
        <v>312.59517312583233</v>
      </c>
      <c r="AN75" s="194">
        <f t="shared" si="208"/>
        <v>308.14120342592736</v>
      </c>
      <c r="AO75" s="195">
        <f>AN75</f>
        <v>308.14120342592736</v>
      </c>
      <c r="AP75" s="194">
        <f aca="true" t="shared" si="209" ref="AP75:BA75">AO75+AP70-AP73+AP71</f>
        <v>303.66125223610624</v>
      </c>
      <c r="AQ75" s="194">
        <f t="shared" si="209"/>
        <v>299.15516799767784</v>
      </c>
      <c r="AR75" s="194">
        <f t="shared" si="209"/>
        <v>294.6227982678586</v>
      </c>
      <c r="AS75" s="194">
        <f t="shared" si="209"/>
        <v>290.06398971461545</v>
      </c>
      <c r="AT75" s="194">
        <f t="shared" si="209"/>
        <v>285.47858811147836</v>
      </c>
      <c r="AU75" s="194">
        <f t="shared" si="209"/>
        <v>280.86643833232296</v>
      </c>
      <c r="AV75" s="194">
        <f t="shared" si="209"/>
        <v>276.2273843461225</v>
      </c>
      <c r="AW75" s="194">
        <f t="shared" si="209"/>
        <v>271.5612692116692</v>
      </c>
      <c r="AX75" s="194">
        <f t="shared" si="209"/>
        <v>266.8679350722649</v>
      </c>
      <c r="AY75" s="194">
        <f t="shared" si="209"/>
        <v>262.1472231503808</v>
      </c>
      <c r="AZ75" s="194">
        <f t="shared" si="209"/>
        <v>257.39897374228565</v>
      </c>
      <c r="BA75" s="194">
        <f t="shared" si="209"/>
        <v>252.6230262126433</v>
      </c>
      <c r="BB75" s="195">
        <f>BA75</f>
        <v>252.6230262126433</v>
      </c>
      <c r="BC75" s="194">
        <f aca="true" t="shared" si="210" ref="BC75:BN75">BB75+BC70-BC73+BC71</f>
        <v>247.81921898907805</v>
      </c>
      <c r="BD75" s="194">
        <f t="shared" si="210"/>
        <v>242.98738955670868</v>
      </c>
      <c r="BE75" s="194">
        <f t="shared" si="210"/>
        <v>238.12737445265046</v>
      </c>
      <c r="BF75" s="194">
        <f t="shared" si="210"/>
        <v>233.23900926048523</v>
      </c>
      <c r="BG75" s="194">
        <f t="shared" si="210"/>
        <v>228.32212860469906</v>
      </c>
      <c r="BH75" s="194">
        <f t="shared" si="210"/>
        <v>223.37656614508745</v>
      </c>
      <c r="BI75" s="194">
        <f t="shared" si="210"/>
        <v>218.4021545711281</v>
      </c>
      <c r="BJ75" s="194">
        <f t="shared" si="210"/>
        <v>213.39872559632067</v>
      </c>
      <c r="BK75" s="194">
        <f t="shared" si="210"/>
        <v>208.36610995249353</v>
      </c>
      <c r="BL75" s="194">
        <f t="shared" si="210"/>
        <v>203.3041373840774</v>
      </c>
      <c r="BM75" s="194">
        <f t="shared" si="210"/>
        <v>198.2126366423455</v>
      </c>
      <c r="BN75" s="194">
        <f t="shared" si="210"/>
        <v>193.09143547962017</v>
      </c>
      <c r="BO75" s="195">
        <f>BN75</f>
        <v>193.09143547962017</v>
      </c>
      <c r="BP75" s="194">
        <f aca="true" t="shared" si="211" ref="BP75:CA75">BO75+BP70-BP73+BP71</f>
        <v>187.94036064344562</v>
      </c>
      <c r="BQ75" s="194">
        <f t="shared" si="211"/>
        <v>182.7592378707267</v>
      </c>
      <c r="BR75" s="194">
        <f t="shared" si="211"/>
        <v>177.5478918818336</v>
      </c>
      <c r="BS75" s="194">
        <f t="shared" si="211"/>
        <v>172.30614637467195</v>
      </c>
      <c r="BT75" s="194">
        <f t="shared" si="211"/>
        <v>167.03382401871852</v>
      </c>
      <c r="BU75" s="194">
        <f t="shared" si="211"/>
        <v>161.73074644902204</v>
      </c>
      <c r="BV75" s="194">
        <f t="shared" si="211"/>
        <v>156.39673426016898</v>
      </c>
      <c r="BW75" s="194">
        <f t="shared" si="211"/>
        <v>151.03160700021428</v>
      </c>
      <c r="BX75" s="194">
        <f t="shared" si="211"/>
        <v>145.63518316457652</v>
      </c>
      <c r="BY75" s="194">
        <f t="shared" si="211"/>
        <v>140.20728018989755</v>
      </c>
      <c r="BZ75" s="194">
        <f t="shared" si="211"/>
        <v>134.74771444786626</v>
      </c>
      <c r="CA75" s="194">
        <f t="shared" si="211"/>
        <v>129.25630123900646</v>
      </c>
      <c r="CB75" s="195">
        <f>CA75</f>
        <v>129.25630123900646</v>
      </c>
      <c r="CC75" s="194">
        <f aca="true" t="shared" si="212" ref="CC75:CN75">CB75+CC70-CC73+CC71</f>
        <v>123.73285478642832</v>
      </c>
      <c r="CD75" s="194">
        <f t="shared" si="212"/>
        <v>118.17718822954348</v>
      </c>
      <c r="CE75" s="194">
        <f t="shared" si="212"/>
        <v>112.58911361774346</v>
      </c>
      <c r="CF75" s="194">
        <f t="shared" si="212"/>
        <v>106.96844190404128</v>
      </c>
      <c r="CG75" s="194">
        <f t="shared" si="212"/>
        <v>101.31498293867585</v>
      </c>
      <c r="CH75" s="194">
        <f t="shared" si="212"/>
        <v>95.62854546267911</v>
      </c>
      <c r="CI75" s="194">
        <f t="shared" si="212"/>
        <v>89.90893710140573</v>
      </c>
      <c r="CJ75" s="194">
        <f t="shared" si="212"/>
        <v>84.15596435802492</v>
      </c>
      <c r="CK75" s="194">
        <f t="shared" si="212"/>
        <v>78.36943260697439</v>
      </c>
      <c r="CL75" s="194">
        <f t="shared" si="212"/>
        <v>72.54914608737606</v>
      </c>
      <c r="CM75" s="194">
        <f t="shared" si="212"/>
        <v>66.69490789641341</v>
      </c>
      <c r="CN75" s="194">
        <f t="shared" si="212"/>
        <v>60.806519982670146</v>
      </c>
      <c r="CO75" s="195">
        <f>CN75</f>
        <v>60.806519982670146</v>
      </c>
      <c r="CP75" s="194">
        <f aca="true" t="shared" si="213" ref="CP75:DA75">CO75+CP70-CP73+CP71</f>
        <v>54.883783139430044</v>
      </c>
      <c r="CQ75" s="194">
        <f t="shared" si="213"/>
        <v>48.92649699793771</v>
      </c>
      <c r="CR75" s="194">
        <f t="shared" si="213"/>
        <v>42.93446002062</v>
      </c>
      <c r="CS75" s="194">
        <f t="shared" si="213"/>
        <v>36.90746949426794</v>
      </c>
      <c r="CT75" s="194">
        <f t="shared" si="213"/>
        <v>30.84532152317883</v>
      </c>
      <c r="CU75" s="194">
        <f t="shared" si="213"/>
        <v>24.74781102225836</v>
      </c>
      <c r="CV75" s="194">
        <f t="shared" si="213"/>
        <v>18.614731710082523</v>
      </c>
      <c r="CW75" s="194">
        <f t="shared" si="213"/>
        <v>12.445876101918994</v>
      </c>
      <c r="CX75" s="194">
        <f t="shared" si="213"/>
        <v>6.241035502707844</v>
      </c>
      <c r="CY75" s="194">
        <f t="shared" si="213"/>
        <v>1.2958523143424827E-12</v>
      </c>
      <c r="CZ75" s="194">
        <f t="shared" si="213"/>
        <v>1.2958523143424827E-12</v>
      </c>
      <c r="DA75" s="194">
        <f t="shared" si="213"/>
        <v>1.2958523143424827E-12</v>
      </c>
      <c r="DB75" s="195">
        <f>DA75</f>
        <v>1.2958523143424827E-12</v>
      </c>
      <c r="DC75" s="194">
        <f aca="true" t="shared" si="214" ref="DC75:DN75">DB75+DC70-DC73+DC71</f>
        <v>1.2958523143424827E-12</v>
      </c>
      <c r="DD75" s="194">
        <f t="shared" si="214"/>
        <v>1.2958523143424827E-12</v>
      </c>
      <c r="DE75" s="194">
        <f t="shared" si="214"/>
        <v>1.2958523143424827E-12</v>
      </c>
      <c r="DF75" s="194">
        <f t="shared" si="214"/>
        <v>1.2958523143424827E-12</v>
      </c>
      <c r="DG75" s="194">
        <f t="shared" si="214"/>
        <v>1.2958523143424827E-12</v>
      </c>
      <c r="DH75" s="194">
        <f t="shared" si="214"/>
        <v>1.2958523143424827E-12</v>
      </c>
      <c r="DI75" s="194">
        <f t="shared" si="214"/>
        <v>1.2958523143424827E-12</v>
      </c>
      <c r="DJ75" s="194">
        <f t="shared" si="214"/>
        <v>1.2958523143424827E-12</v>
      </c>
      <c r="DK75" s="194">
        <f t="shared" si="214"/>
        <v>1.2958523143424827E-12</v>
      </c>
      <c r="DL75" s="194">
        <f t="shared" si="214"/>
        <v>1.2958523143424827E-12</v>
      </c>
      <c r="DM75" s="194">
        <f t="shared" si="214"/>
        <v>1.2958523143424827E-12</v>
      </c>
      <c r="DN75" s="194">
        <f t="shared" si="214"/>
        <v>1.2958523143424827E-12</v>
      </c>
      <c r="DO75" s="195">
        <f>DN75</f>
        <v>1.2958523143424827E-12</v>
      </c>
    </row>
    <row r="76" spans="1:119" ht="12.75">
      <c r="A76" s="177" t="s">
        <v>78</v>
      </c>
      <c r="B76" s="284">
        <f>Исх!$C$37*12-Исх!$C$38</f>
        <v>75</v>
      </c>
      <c r="CP76" s="180"/>
      <c r="DB76" s="177"/>
      <c r="DO76" s="177"/>
    </row>
    <row r="77" spans="1:119" ht="12.75">
      <c r="A77" s="287" t="s">
        <v>251</v>
      </c>
      <c r="B77" s="288">
        <f>$V$75*$B$20/12/((1-(1+$B$20/12)^-$B76))</f>
        <v>6.277441543139011</v>
      </c>
      <c r="DB77" s="177"/>
      <c r="DO77" s="177"/>
    </row>
    <row r="78" spans="1:119" ht="6" customHeight="1">
      <c r="A78" s="285"/>
      <c r="B78" s="282"/>
      <c r="DB78" s="177"/>
      <c r="DO78" s="177"/>
    </row>
    <row r="79" spans="1:119" ht="12.75">
      <c r="A79" s="270" t="s">
        <v>240</v>
      </c>
      <c r="DB79" s="177"/>
      <c r="DO79" s="177"/>
    </row>
    <row r="80" spans="1:119" ht="12.75" hidden="1" outlineLevel="1">
      <c r="A80" s="271">
        <f>B70+B71-B73</f>
        <v>1.4779288903810084E-12</v>
      </c>
      <c r="DB80" s="177"/>
      <c r="DO80" s="177"/>
    </row>
    <row r="81" spans="1:119" ht="12.75" hidden="1" outlineLevel="1">
      <c r="A81" s="271">
        <f>B72-B71-B74</f>
        <v>0</v>
      </c>
      <c r="DB81" s="177"/>
      <c r="DO81" s="177"/>
    </row>
    <row r="82" ht="12.75" collapsed="1"/>
    <row r="83" spans="1:119" ht="12.75">
      <c r="A83" s="296" t="s">
        <v>269</v>
      </c>
      <c r="B83" s="297"/>
      <c r="DB83" s="177"/>
      <c r="DO83" s="177"/>
    </row>
    <row r="84" spans="1:119" ht="15.75" customHeight="1">
      <c r="A84" s="186" t="s">
        <v>11</v>
      </c>
      <c r="B84" s="286">
        <f>Исх!$C$36</f>
        <v>0.07</v>
      </c>
      <c r="C84" s="373">
        <v>2013</v>
      </c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>
        <v>2014</v>
      </c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>
        <v>2015</v>
      </c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>
        <v>2016</v>
      </c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>
        <v>2017</v>
      </c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>
        <v>2018</v>
      </c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>
        <v>2019</v>
      </c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>
        <v>2020</v>
      </c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>
        <v>2021</v>
      </c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5" ref="E85:N85">D85+1</f>
        <v>3</v>
      </c>
      <c r="F85" s="190">
        <f t="shared" si="215"/>
        <v>4</v>
      </c>
      <c r="G85" s="190">
        <f t="shared" si="215"/>
        <v>5</v>
      </c>
      <c r="H85" s="190">
        <f t="shared" si="215"/>
        <v>6</v>
      </c>
      <c r="I85" s="190">
        <f t="shared" si="215"/>
        <v>7</v>
      </c>
      <c r="J85" s="190">
        <f t="shared" si="215"/>
        <v>8</v>
      </c>
      <c r="K85" s="190">
        <f t="shared" si="215"/>
        <v>9</v>
      </c>
      <c r="L85" s="190">
        <f t="shared" si="215"/>
        <v>10</v>
      </c>
      <c r="M85" s="190">
        <f t="shared" si="215"/>
        <v>11</v>
      </c>
      <c r="N85" s="190">
        <f t="shared" si="215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6" ref="R85:AA85">Q85+1</f>
        <v>3</v>
      </c>
      <c r="S85" s="190">
        <f t="shared" si="216"/>
        <v>4</v>
      </c>
      <c r="T85" s="190">
        <f t="shared" si="216"/>
        <v>5</v>
      </c>
      <c r="U85" s="190">
        <f t="shared" si="216"/>
        <v>6</v>
      </c>
      <c r="V85" s="190">
        <f t="shared" si="216"/>
        <v>7</v>
      </c>
      <c r="W85" s="190">
        <f t="shared" si="216"/>
        <v>8</v>
      </c>
      <c r="X85" s="190">
        <f t="shared" si="216"/>
        <v>9</v>
      </c>
      <c r="Y85" s="190">
        <f t="shared" si="216"/>
        <v>10</v>
      </c>
      <c r="Z85" s="190">
        <f t="shared" si="216"/>
        <v>11</v>
      </c>
      <c r="AA85" s="190">
        <f t="shared" si="216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7" ref="AE85:AN85">AD85+1</f>
        <v>3</v>
      </c>
      <c r="AF85" s="190">
        <f t="shared" si="217"/>
        <v>4</v>
      </c>
      <c r="AG85" s="190">
        <f t="shared" si="217"/>
        <v>5</v>
      </c>
      <c r="AH85" s="190">
        <f t="shared" si="217"/>
        <v>6</v>
      </c>
      <c r="AI85" s="190">
        <f t="shared" si="217"/>
        <v>7</v>
      </c>
      <c r="AJ85" s="190">
        <f t="shared" si="217"/>
        <v>8</v>
      </c>
      <c r="AK85" s="190">
        <f t="shared" si="217"/>
        <v>9</v>
      </c>
      <c r="AL85" s="190">
        <f t="shared" si="217"/>
        <v>10</v>
      </c>
      <c r="AM85" s="190">
        <f t="shared" si="217"/>
        <v>11</v>
      </c>
      <c r="AN85" s="190">
        <f t="shared" si="217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8" ref="AR85:BA85">AQ85+1</f>
        <v>3</v>
      </c>
      <c r="AS85" s="190">
        <f t="shared" si="218"/>
        <v>4</v>
      </c>
      <c r="AT85" s="190">
        <f t="shared" si="218"/>
        <v>5</v>
      </c>
      <c r="AU85" s="190">
        <f t="shared" si="218"/>
        <v>6</v>
      </c>
      <c r="AV85" s="190">
        <f t="shared" si="218"/>
        <v>7</v>
      </c>
      <c r="AW85" s="190">
        <f t="shared" si="218"/>
        <v>8</v>
      </c>
      <c r="AX85" s="190">
        <f t="shared" si="218"/>
        <v>9</v>
      </c>
      <c r="AY85" s="190">
        <f t="shared" si="218"/>
        <v>10</v>
      </c>
      <c r="AZ85" s="190">
        <f t="shared" si="218"/>
        <v>11</v>
      </c>
      <c r="BA85" s="190">
        <f t="shared" si="218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9" ref="BE85:BN85">BD85+1</f>
        <v>3</v>
      </c>
      <c r="BF85" s="190">
        <f t="shared" si="219"/>
        <v>4</v>
      </c>
      <c r="BG85" s="190">
        <f t="shared" si="219"/>
        <v>5</v>
      </c>
      <c r="BH85" s="190">
        <f t="shared" si="219"/>
        <v>6</v>
      </c>
      <c r="BI85" s="190">
        <f t="shared" si="219"/>
        <v>7</v>
      </c>
      <c r="BJ85" s="190">
        <f t="shared" si="219"/>
        <v>8</v>
      </c>
      <c r="BK85" s="190">
        <f t="shared" si="219"/>
        <v>9</v>
      </c>
      <c r="BL85" s="190">
        <f t="shared" si="219"/>
        <v>10</v>
      </c>
      <c r="BM85" s="190">
        <f t="shared" si="219"/>
        <v>11</v>
      </c>
      <c r="BN85" s="190">
        <f t="shared" si="219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20" ref="BR85:CA85">BQ85+1</f>
        <v>3</v>
      </c>
      <c r="BS85" s="190">
        <f t="shared" si="220"/>
        <v>4</v>
      </c>
      <c r="BT85" s="190">
        <f t="shared" si="220"/>
        <v>5</v>
      </c>
      <c r="BU85" s="190">
        <f t="shared" si="220"/>
        <v>6</v>
      </c>
      <c r="BV85" s="190">
        <f t="shared" si="220"/>
        <v>7</v>
      </c>
      <c r="BW85" s="190">
        <f t="shared" si="220"/>
        <v>8</v>
      </c>
      <c r="BX85" s="190">
        <f t="shared" si="220"/>
        <v>9</v>
      </c>
      <c r="BY85" s="190">
        <f t="shared" si="220"/>
        <v>10</v>
      </c>
      <c r="BZ85" s="190">
        <f t="shared" si="220"/>
        <v>11</v>
      </c>
      <c r="CA85" s="190">
        <f t="shared" si="220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21" ref="CE85:CN85">CD85+1</f>
        <v>3</v>
      </c>
      <c r="CF85" s="190">
        <f t="shared" si="221"/>
        <v>4</v>
      </c>
      <c r="CG85" s="190">
        <f t="shared" si="221"/>
        <v>5</v>
      </c>
      <c r="CH85" s="190">
        <f t="shared" si="221"/>
        <v>6</v>
      </c>
      <c r="CI85" s="190">
        <f t="shared" si="221"/>
        <v>7</v>
      </c>
      <c r="CJ85" s="190">
        <f t="shared" si="221"/>
        <v>8</v>
      </c>
      <c r="CK85" s="190">
        <f t="shared" si="221"/>
        <v>9</v>
      </c>
      <c r="CL85" s="190">
        <f t="shared" si="221"/>
        <v>10</v>
      </c>
      <c r="CM85" s="190">
        <f t="shared" si="221"/>
        <v>11</v>
      </c>
      <c r="CN85" s="190">
        <f t="shared" si="221"/>
        <v>12</v>
      </c>
      <c r="CO85" s="191" t="str">
        <f>CO69</f>
        <v>Итого</v>
      </c>
      <c r="CP85" s="190">
        <v>1</v>
      </c>
      <c r="CQ85" s="190">
        <f aca="true" t="shared" si="222" ref="CQ85:DA85">CP85+1</f>
        <v>2</v>
      </c>
      <c r="CR85" s="190">
        <f t="shared" si="222"/>
        <v>3</v>
      </c>
      <c r="CS85" s="190">
        <f t="shared" si="222"/>
        <v>4</v>
      </c>
      <c r="CT85" s="190">
        <f t="shared" si="222"/>
        <v>5</v>
      </c>
      <c r="CU85" s="190">
        <f t="shared" si="222"/>
        <v>6</v>
      </c>
      <c r="CV85" s="190">
        <f t="shared" si="222"/>
        <v>7</v>
      </c>
      <c r="CW85" s="190">
        <f t="shared" si="222"/>
        <v>8</v>
      </c>
      <c r="CX85" s="190">
        <f t="shared" si="222"/>
        <v>9</v>
      </c>
      <c r="CY85" s="190">
        <f t="shared" si="222"/>
        <v>10</v>
      </c>
      <c r="CZ85" s="190">
        <f t="shared" si="222"/>
        <v>11</v>
      </c>
      <c r="DA85" s="190">
        <f t="shared" si="222"/>
        <v>12</v>
      </c>
      <c r="DB85" s="191" t="str">
        <f>DB69</f>
        <v>Итого</v>
      </c>
      <c r="DC85" s="190">
        <v>1</v>
      </c>
      <c r="DD85" s="190">
        <f aca="true" t="shared" si="223" ref="DD85:DN85">DC85+1</f>
        <v>2</v>
      </c>
      <c r="DE85" s="190">
        <f t="shared" si="223"/>
        <v>3</v>
      </c>
      <c r="DF85" s="190">
        <f t="shared" si="223"/>
        <v>4</v>
      </c>
      <c r="DG85" s="190">
        <f t="shared" si="223"/>
        <v>5</v>
      </c>
      <c r="DH85" s="190">
        <f t="shared" si="223"/>
        <v>6</v>
      </c>
      <c r="DI85" s="190">
        <f t="shared" si="223"/>
        <v>7</v>
      </c>
      <c r="DJ85" s="190">
        <f t="shared" si="223"/>
        <v>8</v>
      </c>
      <c r="DK85" s="190">
        <f t="shared" si="223"/>
        <v>9</v>
      </c>
      <c r="DL85" s="190">
        <f t="shared" si="223"/>
        <v>10</v>
      </c>
      <c r="DM85" s="190">
        <f t="shared" si="223"/>
        <v>11</v>
      </c>
      <c r="DN85" s="190">
        <f t="shared" si="223"/>
        <v>12</v>
      </c>
      <c r="DO85" s="191" t="s">
        <v>0</v>
      </c>
    </row>
    <row r="86" spans="1:119" ht="12.75">
      <c r="A86" s="188" t="s">
        <v>106</v>
      </c>
      <c r="B86" s="193">
        <f>O86+AB86+AO86+BB86+BO86+CB86+CO86+DB86+DO86</f>
        <v>5050.79024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>
        <f>'1-Ф3'!N$28</f>
        <v>5050.79024</v>
      </c>
      <c r="N86" s="194"/>
      <c r="O86" s="195">
        <f>SUM(C86:N86)</f>
        <v>5050.79024</v>
      </c>
      <c r="P86" s="194"/>
      <c r="Q86" s="194"/>
      <c r="R86" s="194">
        <f>'1-Ф3'!S$28</f>
        <v>0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88.38882920000002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>
        <f>SUM(O88:Q88)</f>
        <v>88.38882920000002</v>
      </c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5">
        <f>SUM(P87:AA87)</f>
        <v>88.38882920000002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1488.9066221263465</v>
      </c>
      <c r="C88" s="194"/>
      <c r="D88" s="194">
        <f aca="true" t="shared" si="224" ref="D88:N88">C91*$B84/12</f>
        <v>0</v>
      </c>
      <c r="E88" s="194">
        <f t="shared" si="224"/>
        <v>0</v>
      </c>
      <c r="F88" s="194">
        <f t="shared" si="224"/>
        <v>0</v>
      </c>
      <c r="G88" s="194">
        <f t="shared" si="224"/>
        <v>0</v>
      </c>
      <c r="H88" s="194">
        <f t="shared" si="224"/>
        <v>0</v>
      </c>
      <c r="I88" s="194">
        <f t="shared" si="224"/>
        <v>0</v>
      </c>
      <c r="J88" s="194">
        <f t="shared" si="224"/>
        <v>0</v>
      </c>
      <c r="K88" s="194">
        <f t="shared" si="224"/>
        <v>0</v>
      </c>
      <c r="L88" s="194">
        <f t="shared" si="224"/>
        <v>0</v>
      </c>
      <c r="M88" s="194">
        <f t="shared" si="224"/>
        <v>0</v>
      </c>
      <c r="N88" s="194">
        <f t="shared" si="224"/>
        <v>29.46294306666667</v>
      </c>
      <c r="O88" s="195">
        <f>SUM(C88:N88)</f>
        <v>29.46294306666667</v>
      </c>
      <c r="P88" s="194">
        <f aca="true" t="shared" si="225" ref="P88:AA88">O91*$B84/12</f>
        <v>29.46294306666667</v>
      </c>
      <c r="Q88" s="194">
        <f t="shared" si="225"/>
        <v>29.46294306666667</v>
      </c>
      <c r="R88" s="194">
        <f t="shared" si="225"/>
        <v>29.97854457033334</v>
      </c>
      <c r="S88" s="194">
        <f t="shared" si="225"/>
        <v>29.97854457033334</v>
      </c>
      <c r="T88" s="194">
        <f t="shared" si="225"/>
        <v>29.97854457033334</v>
      </c>
      <c r="U88" s="194">
        <f t="shared" si="225"/>
        <v>29.97854457033334</v>
      </c>
      <c r="V88" s="194">
        <f t="shared" si="225"/>
        <v>29.97854457033334</v>
      </c>
      <c r="W88" s="194">
        <f t="shared" si="225"/>
        <v>29.97854457033334</v>
      </c>
      <c r="X88" s="194">
        <f t="shared" si="225"/>
        <v>29.97854457033334</v>
      </c>
      <c r="Y88" s="194">
        <f t="shared" si="225"/>
        <v>29.65876631184995</v>
      </c>
      <c r="Z88" s="194">
        <f t="shared" si="225"/>
        <v>29.337122680192067</v>
      </c>
      <c r="AA88" s="194">
        <f t="shared" si="225"/>
        <v>29.013602794016183</v>
      </c>
      <c r="AB88" s="195">
        <f>SUM(P88:AA88)</f>
        <v>356.7851899117249</v>
      </c>
      <c r="AC88" s="194">
        <f aca="true" t="shared" si="226" ref="AC88:AN88">AB91*$B84/12</f>
        <v>28.688195708504278</v>
      </c>
      <c r="AD88" s="194">
        <f t="shared" si="226"/>
        <v>28.36089041499355</v>
      </c>
      <c r="AE88" s="194">
        <f t="shared" si="226"/>
        <v>28.031675840604006</v>
      </c>
      <c r="AF88" s="194">
        <f t="shared" si="226"/>
        <v>27.70054084786386</v>
      </c>
      <c r="AG88" s="194">
        <f t="shared" si="226"/>
        <v>27.36747423433273</v>
      </c>
      <c r="AH88" s="194">
        <f t="shared" si="226"/>
        <v>27.032464732222664</v>
      </c>
      <c r="AI88" s="194">
        <f t="shared" si="226"/>
        <v>26.69550100801696</v>
      </c>
      <c r="AJ88" s="194">
        <f t="shared" si="226"/>
        <v>26.356571662086726</v>
      </c>
      <c r="AK88" s="194">
        <f t="shared" si="226"/>
        <v>26.015665228305227</v>
      </c>
      <c r="AL88" s="194">
        <f t="shared" si="226"/>
        <v>25.67277017366001</v>
      </c>
      <c r="AM88" s="194">
        <f t="shared" si="226"/>
        <v>25.327874897862685</v>
      </c>
      <c r="AN88" s="194">
        <f t="shared" si="226"/>
        <v>24.980967732956547</v>
      </c>
      <c r="AO88" s="195">
        <f>SUM(AC88:AN88)</f>
        <v>322.23059248140925</v>
      </c>
      <c r="AP88" s="194">
        <f aca="true" t="shared" si="227" ref="AP88:BA88">AO91*$B84/12</f>
        <v>24.63203694292179</v>
      </c>
      <c r="AQ88" s="194">
        <f t="shared" si="227"/>
        <v>24.281070723278503</v>
      </c>
      <c r="AR88" s="194">
        <f t="shared" si="227"/>
        <v>23.928057200687288</v>
      </c>
      <c r="AS88" s="194">
        <f t="shared" si="227"/>
        <v>23.572984432547628</v>
      </c>
      <c r="AT88" s="194">
        <f t="shared" si="227"/>
        <v>23.215840406593824</v>
      </c>
      <c r="AU88" s="194">
        <f t="shared" si="227"/>
        <v>22.856613040488615</v>
      </c>
      <c r="AV88" s="194">
        <f t="shared" si="227"/>
        <v>22.495290181414465</v>
      </c>
      <c r="AW88" s="194">
        <f t="shared" si="227"/>
        <v>22.13185960566238</v>
      </c>
      <c r="AX88" s="194">
        <f t="shared" si="227"/>
        <v>21.766309018218408</v>
      </c>
      <c r="AY88" s="194">
        <f t="shared" si="227"/>
        <v>21.39862605234768</v>
      </c>
      <c r="AZ88" s="194">
        <f t="shared" si="227"/>
        <v>21.02879826917604</v>
      </c>
      <c r="BA88" s="194">
        <f t="shared" si="227"/>
        <v>20.65681315726923</v>
      </c>
      <c r="BB88" s="195">
        <f>SUM(AP88:BA88)</f>
        <v>271.9642990306059</v>
      </c>
      <c r="BC88" s="194">
        <f aca="true" t="shared" si="228" ref="BC88:BN88">BB91*$B84/12</f>
        <v>20.28265813220963</v>
      </c>
      <c r="BD88" s="194">
        <f t="shared" si="228"/>
        <v>19.906320536170515</v>
      </c>
      <c r="BE88" s="194">
        <f t="shared" si="228"/>
        <v>19.52778763748784</v>
      </c>
      <c r="BF88" s="194">
        <f t="shared" si="228"/>
        <v>19.147046630229518</v>
      </c>
      <c r="BG88" s="194">
        <f t="shared" si="228"/>
        <v>18.764084633762184</v>
      </c>
      <c r="BH88" s="194">
        <f t="shared" si="228"/>
        <v>18.37888869231546</v>
      </c>
      <c r="BI88" s="194">
        <f t="shared" si="228"/>
        <v>17.99144577454363</v>
      </c>
      <c r="BJ88" s="194">
        <f t="shared" si="228"/>
        <v>17.601742773084798</v>
      </c>
      <c r="BK88" s="194">
        <f t="shared" si="228"/>
        <v>17.209766504117457</v>
      </c>
      <c r="BL88" s="194">
        <f t="shared" si="228"/>
        <v>16.81550370691447</v>
      </c>
      <c r="BM88" s="194">
        <f t="shared" si="228"/>
        <v>16.41894104339447</v>
      </c>
      <c r="BN88" s="194">
        <f t="shared" si="228"/>
        <v>16.0200650976706</v>
      </c>
      <c r="BO88" s="195">
        <f>SUM(BC88:BN88)</f>
        <v>218.06425116190056</v>
      </c>
      <c r="BP88" s="194">
        <f aca="true" t="shared" si="229" ref="BP88:CA88">BO91*$B84/12</f>
        <v>15.618862375596677</v>
      </c>
      <c r="BQ88" s="194">
        <f t="shared" si="229"/>
        <v>15.215319304310652</v>
      </c>
      <c r="BR88" s="194">
        <f t="shared" si="229"/>
        <v>14.809422231775462</v>
      </c>
      <c r="BS88" s="194">
        <f t="shared" si="229"/>
        <v>14.40115742631715</v>
      </c>
      <c r="BT88" s="194">
        <f t="shared" si="229"/>
        <v>13.990511076160331</v>
      </c>
      <c r="BU88" s="194">
        <f t="shared" si="229"/>
        <v>13.577469288960929</v>
      </c>
      <c r="BV88" s="194">
        <f t="shared" si="229"/>
        <v>13.162018091336199</v>
      </c>
      <c r="BW88" s="194">
        <f t="shared" si="229"/>
        <v>12.744143428391991</v>
      </c>
      <c r="BX88" s="194">
        <f t="shared" si="229"/>
        <v>12.323831163247272</v>
      </c>
      <c r="BY88" s="194">
        <f t="shared" si="229"/>
        <v>11.901067076555881</v>
      </c>
      <c r="BZ88" s="194">
        <f t="shared" si="229"/>
        <v>11.475836866025451</v>
      </c>
      <c r="CA88" s="194">
        <f t="shared" si="229"/>
        <v>11.048126145933596</v>
      </c>
      <c r="CB88" s="195">
        <f>SUM(BP88:CA88)</f>
        <v>160.2677644746116</v>
      </c>
      <c r="CC88" s="194">
        <f aca="true" t="shared" si="230" ref="CC88:CN88">CB91*$B84/12</f>
        <v>10.617920446641206</v>
      </c>
      <c r="CD88" s="194">
        <f t="shared" si="230"/>
        <v>10.185205214102941</v>
      </c>
      <c r="CE88" s="194">
        <f t="shared" si="230"/>
        <v>9.749965809374872</v>
      </c>
      <c r="CF88" s="194">
        <f t="shared" si="230"/>
        <v>9.312187508119225</v>
      </c>
      <c r="CG88" s="194">
        <f t="shared" si="230"/>
        <v>8.87185550010625</v>
      </c>
      <c r="CH88" s="194">
        <f t="shared" si="230"/>
        <v>8.428954888713198</v>
      </c>
      <c r="CI88" s="194">
        <f t="shared" si="230"/>
        <v>7.983470690420355</v>
      </c>
      <c r="CJ88" s="194">
        <f t="shared" si="230"/>
        <v>7.535387834304139</v>
      </c>
      <c r="CK88" s="194">
        <f t="shared" si="230"/>
        <v>7.0846911615272425</v>
      </c>
      <c r="CL88" s="194">
        <f t="shared" si="230"/>
        <v>6.631365424825815</v>
      </c>
      <c r="CM88" s="194">
        <f t="shared" si="230"/>
        <v>6.175395287993628</v>
      </c>
      <c r="CN88" s="194">
        <f t="shared" si="230"/>
        <v>5.716765325363254</v>
      </c>
      <c r="CO88" s="195">
        <f>SUM(CC88:CN88)</f>
        <v>98.29316509149214</v>
      </c>
      <c r="CP88" s="194">
        <f aca="true" t="shared" si="231" ref="CP88:DA88">CO91*$B84/12</f>
        <v>5.255460021284203</v>
      </c>
      <c r="CQ88" s="194">
        <f t="shared" si="231"/>
        <v>4.791463769598026</v>
      </c>
      <c r="CR88" s="194">
        <f t="shared" si="231"/>
        <v>4.3247608731103435</v>
      </c>
      <c r="CS88" s="194">
        <f t="shared" si="231"/>
        <v>3.8553355430598177</v>
      </c>
      <c r="CT88" s="194">
        <f t="shared" si="231"/>
        <v>3.383171898583997</v>
      </c>
      <c r="CU88" s="194">
        <f t="shared" si="231"/>
        <v>2.9082539661820674</v>
      </c>
      <c r="CV88" s="194">
        <f t="shared" si="231"/>
        <v>2.4305656791744594</v>
      </c>
      <c r="CW88" s="194">
        <f t="shared" si="231"/>
        <v>1.9500908771593073</v>
      </c>
      <c r="CX88" s="194">
        <f t="shared" si="231"/>
        <v>1.4668133054657335</v>
      </c>
      <c r="CY88" s="194">
        <f t="shared" si="231"/>
        <v>0.980716614603947</v>
      </c>
      <c r="CZ88" s="194">
        <f t="shared" si="231"/>
        <v>0.4917843597121336</v>
      </c>
      <c r="DA88" s="194">
        <f t="shared" si="231"/>
        <v>1.177961432100953E-13</v>
      </c>
      <c r="DB88" s="195">
        <f>SUM(CP88:DA88)</f>
        <v>31.838416907934153</v>
      </c>
      <c r="DC88" s="194">
        <f aca="true" t="shared" si="232" ref="DC88:DN88">DB91*$B84/12</f>
        <v>1.177961432100953E-13</v>
      </c>
      <c r="DD88" s="194">
        <f t="shared" si="232"/>
        <v>1.177961432100953E-13</v>
      </c>
      <c r="DE88" s="194">
        <f t="shared" si="232"/>
        <v>1.177961432100953E-13</v>
      </c>
      <c r="DF88" s="194">
        <f t="shared" si="232"/>
        <v>1.177961432100953E-13</v>
      </c>
      <c r="DG88" s="194">
        <f t="shared" si="232"/>
        <v>1.177961432100953E-13</v>
      </c>
      <c r="DH88" s="194">
        <f t="shared" si="232"/>
        <v>1.177961432100953E-13</v>
      </c>
      <c r="DI88" s="194">
        <f t="shared" si="232"/>
        <v>1.177961432100953E-13</v>
      </c>
      <c r="DJ88" s="194">
        <f t="shared" si="232"/>
        <v>1.177961432100953E-13</v>
      </c>
      <c r="DK88" s="194">
        <f t="shared" si="232"/>
        <v>1.177961432100953E-13</v>
      </c>
      <c r="DL88" s="194">
        <f t="shared" si="232"/>
        <v>1.177961432100953E-13</v>
      </c>
      <c r="DM88" s="194">
        <f t="shared" si="232"/>
        <v>1.177961432100953E-13</v>
      </c>
      <c r="DN88" s="194">
        <f t="shared" si="232"/>
        <v>1.177961432100953E-13</v>
      </c>
      <c r="DO88" s="195">
        <f>SUM(DC88:DN88)</f>
        <v>1.413553718521144E-12</v>
      </c>
    </row>
    <row r="89" spans="1:119" ht="12.75">
      <c r="A89" s="188" t="s">
        <v>14</v>
      </c>
      <c r="B89" s="193">
        <f>O89+AB89+AO89+BB89+BO89+CB89+CO89+DB89+DO89</f>
        <v>5139.17906919998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54.819130025724334</v>
      </c>
      <c r="Y89" s="194">
        <f>$B93-Y88</f>
        <v>55.13890828420773</v>
      </c>
      <c r="Z89" s="194">
        <f>$B93-Z88</f>
        <v>55.46055191586561</v>
      </c>
      <c r="AA89" s="194">
        <f>$B93-AA88</f>
        <v>55.784071802041495</v>
      </c>
      <c r="AB89" s="195">
        <f>SUM(P89:AA89)</f>
        <v>221.20266202783918</v>
      </c>
      <c r="AC89" s="194">
        <f aca="true" t="shared" si="233" ref="AC89:AN89">$B93-AC88</f>
        <v>56.109478887553394</v>
      </c>
      <c r="AD89" s="194">
        <f t="shared" si="233"/>
        <v>56.43678418106413</v>
      </c>
      <c r="AE89" s="194">
        <f t="shared" si="233"/>
        <v>56.765998755453666</v>
      </c>
      <c r="AF89" s="194">
        <f t="shared" si="233"/>
        <v>57.09713374819381</v>
      </c>
      <c r="AG89" s="194">
        <f t="shared" si="233"/>
        <v>57.43020036172494</v>
      </c>
      <c r="AH89" s="194">
        <f t="shared" si="233"/>
        <v>57.76520986383501</v>
      </c>
      <c r="AI89" s="194">
        <f t="shared" si="233"/>
        <v>58.10217358804071</v>
      </c>
      <c r="AJ89" s="194">
        <f t="shared" si="233"/>
        <v>58.44110293397095</v>
      </c>
      <c r="AK89" s="194">
        <f t="shared" si="233"/>
        <v>58.78200936775245</v>
      </c>
      <c r="AL89" s="194">
        <f t="shared" si="233"/>
        <v>59.12490442239766</v>
      </c>
      <c r="AM89" s="194">
        <f t="shared" si="233"/>
        <v>59.46979969819499</v>
      </c>
      <c r="AN89" s="194">
        <f t="shared" si="233"/>
        <v>59.81670686310113</v>
      </c>
      <c r="AO89" s="195">
        <f>SUM(AC89:AN89)</f>
        <v>695.3415026712828</v>
      </c>
      <c r="AP89" s="194">
        <f aca="true" t="shared" si="234" ref="AP89:BA89">$B93-AP88</f>
        <v>60.16563765313589</v>
      </c>
      <c r="AQ89" s="194">
        <f t="shared" si="234"/>
        <v>60.51660387277917</v>
      </c>
      <c r="AR89" s="194">
        <f t="shared" si="234"/>
        <v>60.86961739537038</v>
      </c>
      <c r="AS89" s="194">
        <f t="shared" si="234"/>
        <v>61.22469016351005</v>
      </c>
      <c r="AT89" s="194">
        <f t="shared" si="234"/>
        <v>61.58183418946385</v>
      </c>
      <c r="AU89" s="194">
        <f t="shared" si="234"/>
        <v>61.941061555569064</v>
      </c>
      <c r="AV89" s="194">
        <f t="shared" si="234"/>
        <v>62.302384414643214</v>
      </c>
      <c r="AW89" s="194">
        <f t="shared" si="234"/>
        <v>62.66581499039529</v>
      </c>
      <c r="AX89" s="194">
        <f t="shared" si="234"/>
        <v>63.03136557783927</v>
      </c>
      <c r="AY89" s="194">
        <f t="shared" si="234"/>
        <v>63.399048543709995</v>
      </c>
      <c r="AZ89" s="194">
        <f t="shared" si="234"/>
        <v>63.76887632688164</v>
      </c>
      <c r="BA89" s="194">
        <f t="shared" si="234"/>
        <v>64.14086143878845</v>
      </c>
      <c r="BB89" s="195">
        <f>SUM(AP89:BA89)</f>
        <v>745.6077961220861</v>
      </c>
      <c r="BC89" s="194">
        <f aca="true" t="shared" si="235" ref="BC89:BN89">$B93-BC88</f>
        <v>64.51501646384804</v>
      </c>
      <c r="BD89" s="194">
        <f t="shared" si="235"/>
        <v>64.89135405988716</v>
      </c>
      <c r="BE89" s="194">
        <f t="shared" si="235"/>
        <v>65.26988695856983</v>
      </c>
      <c r="BF89" s="194">
        <f t="shared" si="235"/>
        <v>65.65062796582816</v>
      </c>
      <c r="BG89" s="194">
        <f t="shared" si="235"/>
        <v>66.0335899622955</v>
      </c>
      <c r="BH89" s="194">
        <f t="shared" si="235"/>
        <v>66.41878590374222</v>
      </c>
      <c r="BI89" s="194">
        <f t="shared" si="235"/>
        <v>66.80622882151404</v>
      </c>
      <c r="BJ89" s="194">
        <f t="shared" si="235"/>
        <v>67.19593182297288</v>
      </c>
      <c r="BK89" s="194">
        <f t="shared" si="235"/>
        <v>67.58790809194022</v>
      </c>
      <c r="BL89" s="194">
        <f t="shared" si="235"/>
        <v>67.9821708891432</v>
      </c>
      <c r="BM89" s="194">
        <f t="shared" si="235"/>
        <v>68.3787335526632</v>
      </c>
      <c r="BN89" s="194">
        <f t="shared" si="235"/>
        <v>68.77760949838708</v>
      </c>
      <c r="BO89" s="195">
        <f>SUM(BC89:BN89)</f>
        <v>799.5078439907915</v>
      </c>
      <c r="BP89" s="194">
        <f aca="true" t="shared" si="236" ref="BP89:CA89">$B93-BP88</f>
        <v>69.178812220461</v>
      </c>
      <c r="BQ89" s="194">
        <f t="shared" si="236"/>
        <v>69.58235529174702</v>
      </c>
      <c r="BR89" s="194">
        <f t="shared" si="236"/>
        <v>69.98825236428222</v>
      </c>
      <c r="BS89" s="194">
        <f t="shared" si="236"/>
        <v>70.39651716974052</v>
      </c>
      <c r="BT89" s="194">
        <f t="shared" si="236"/>
        <v>70.80716351989734</v>
      </c>
      <c r="BU89" s="194">
        <f t="shared" si="236"/>
        <v>71.22020530709675</v>
      </c>
      <c r="BV89" s="194">
        <f t="shared" si="236"/>
        <v>71.63565650472148</v>
      </c>
      <c r="BW89" s="194">
        <f t="shared" si="236"/>
        <v>72.05353116766568</v>
      </c>
      <c r="BX89" s="194">
        <f t="shared" si="236"/>
        <v>72.4738434328104</v>
      </c>
      <c r="BY89" s="194">
        <f t="shared" si="236"/>
        <v>72.8966075195018</v>
      </c>
      <c r="BZ89" s="194">
        <f t="shared" si="236"/>
        <v>73.32183773003223</v>
      </c>
      <c r="CA89" s="194">
        <f t="shared" si="236"/>
        <v>73.74954845012408</v>
      </c>
      <c r="CB89" s="195">
        <f>SUM(BP89:CA89)</f>
        <v>857.3043306780806</v>
      </c>
      <c r="CC89" s="194">
        <f aca="true" t="shared" si="237" ref="CC89:CN89">$B93-CC88</f>
        <v>74.17975414941647</v>
      </c>
      <c r="CD89" s="194">
        <f t="shared" si="237"/>
        <v>74.61246938195474</v>
      </c>
      <c r="CE89" s="194">
        <f t="shared" si="237"/>
        <v>75.0477087866828</v>
      </c>
      <c r="CF89" s="194">
        <f t="shared" si="237"/>
        <v>75.48548708793845</v>
      </c>
      <c r="CG89" s="194">
        <f t="shared" si="237"/>
        <v>75.92581909595143</v>
      </c>
      <c r="CH89" s="194">
        <f t="shared" si="237"/>
        <v>76.36871970734448</v>
      </c>
      <c r="CI89" s="194">
        <f t="shared" si="237"/>
        <v>76.81420390563731</v>
      </c>
      <c r="CJ89" s="194">
        <f t="shared" si="237"/>
        <v>77.26228676175353</v>
      </c>
      <c r="CK89" s="194">
        <f t="shared" si="237"/>
        <v>77.71298343453043</v>
      </c>
      <c r="CL89" s="194">
        <f t="shared" si="237"/>
        <v>78.16630917123186</v>
      </c>
      <c r="CM89" s="194">
        <f t="shared" si="237"/>
        <v>78.62227930806405</v>
      </c>
      <c r="CN89" s="194">
        <f t="shared" si="237"/>
        <v>79.08090927069442</v>
      </c>
      <c r="CO89" s="195">
        <f>SUM(CC89:CN89)</f>
        <v>919.2789300612001</v>
      </c>
      <c r="CP89" s="194">
        <f aca="true" t="shared" si="238" ref="CP89:CZ89">$B93-CP88</f>
        <v>79.54221457477347</v>
      </c>
      <c r="CQ89" s="194">
        <f t="shared" si="238"/>
        <v>80.00621082645965</v>
      </c>
      <c r="CR89" s="194">
        <f t="shared" si="238"/>
        <v>80.47291372294733</v>
      </c>
      <c r="CS89" s="194">
        <f t="shared" si="238"/>
        <v>80.94233905299785</v>
      </c>
      <c r="CT89" s="194">
        <f t="shared" si="238"/>
        <v>81.41450269747368</v>
      </c>
      <c r="CU89" s="194">
        <f t="shared" si="238"/>
        <v>81.8894206298756</v>
      </c>
      <c r="CV89" s="194">
        <f t="shared" si="238"/>
        <v>82.36710891688321</v>
      </c>
      <c r="CW89" s="194">
        <f t="shared" si="238"/>
        <v>82.84758371889836</v>
      </c>
      <c r="CX89" s="194">
        <f t="shared" si="238"/>
        <v>83.33086129059194</v>
      </c>
      <c r="CY89" s="194">
        <f t="shared" si="238"/>
        <v>83.81695798145373</v>
      </c>
      <c r="CZ89" s="194">
        <f t="shared" si="238"/>
        <v>84.30589023634555</v>
      </c>
      <c r="DA89" s="194"/>
      <c r="DB89" s="195">
        <f>SUM(CP89:DA89)</f>
        <v>900.9360036487004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1400.5177929263464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4">
        <f aca="true" t="shared" si="239" ref="R90:W90">R88</f>
        <v>29.97854457033334</v>
      </c>
      <c r="S90" s="194">
        <f t="shared" si="239"/>
        <v>29.97854457033334</v>
      </c>
      <c r="T90" s="194">
        <f t="shared" si="239"/>
        <v>29.97854457033334</v>
      </c>
      <c r="U90" s="194">
        <f t="shared" si="239"/>
        <v>29.97854457033334</v>
      </c>
      <c r="V90" s="194">
        <f t="shared" si="239"/>
        <v>29.97854457033334</v>
      </c>
      <c r="W90" s="194">
        <f t="shared" si="239"/>
        <v>29.97854457033334</v>
      </c>
      <c r="X90" s="194">
        <f>X88</f>
        <v>29.97854457033334</v>
      </c>
      <c r="Y90" s="194">
        <f>Y88</f>
        <v>29.65876631184995</v>
      </c>
      <c r="Z90" s="194">
        <f>Z88</f>
        <v>29.337122680192067</v>
      </c>
      <c r="AA90" s="194">
        <f>AA88</f>
        <v>29.013602794016183</v>
      </c>
      <c r="AB90" s="195">
        <f>SUM(P90:AA90)</f>
        <v>297.85930377839156</v>
      </c>
      <c r="AC90" s="194">
        <f aca="true" t="shared" si="240" ref="AC90:AK90">AC88</f>
        <v>28.688195708504278</v>
      </c>
      <c r="AD90" s="194">
        <f t="shared" si="240"/>
        <v>28.36089041499355</v>
      </c>
      <c r="AE90" s="194">
        <f t="shared" si="240"/>
        <v>28.031675840604006</v>
      </c>
      <c r="AF90" s="194">
        <f t="shared" si="240"/>
        <v>27.70054084786386</v>
      </c>
      <c r="AG90" s="194">
        <f t="shared" si="240"/>
        <v>27.36747423433273</v>
      </c>
      <c r="AH90" s="194">
        <f t="shared" si="240"/>
        <v>27.032464732222664</v>
      </c>
      <c r="AI90" s="194">
        <f t="shared" si="240"/>
        <v>26.69550100801696</v>
      </c>
      <c r="AJ90" s="194">
        <f t="shared" si="240"/>
        <v>26.356571662086726</v>
      </c>
      <c r="AK90" s="194">
        <f t="shared" si="240"/>
        <v>26.015665228305227</v>
      </c>
      <c r="AL90" s="194">
        <f>AL88</f>
        <v>25.67277017366001</v>
      </c>
      <c r="AM90" s="194">
        <f>AM88</f>
        <v>25.327874897862685</v>
      </c>
      <c r="AN90" s="194">
        <f>AN88</f>
        <v>24.980967732956547</v>
      </c>
      <c r="AO90" s="195">
        <f>SUM(AC90:AN90)</f>
        <v>322.23059248140925</v>
      </c>
      <c r="AP90" s="194">
        <f aca="true" t="shared" si="241" ref="AP90:BA90">AP88</f>
        <v>24.63203694292179</v>
      </c>
      <c r="AQ90" s="194">
        <f t="shared" si="241"/>
        <v>24.281070723278503</v>
      </c>
      <c r="AR90" s="194">
        <f t="shared" si="241"/>
        <v>23.928057200687288</v>
      </c>
      <c r="AS90" s="194">
        <f t="shared" si="241"/>
        <v>23.572984432547628</v>
      </c>
      <c r="AT90" s="194">
        <f t="shared" si="241"/>
        <v>23.215840406593824</v>
      </c>
      <c r="AU90" s="194">
        <f t="shared" si="241"/>
        <v>22.856613040488615</v>
      </c>
      <c r="AV90" s="194">
        <f t="shared" si="241"/>
        <v>22.495290181414465</v>
      </c>
      <c r="AW90" s="194">
        <f t="shared" si="241"/>
        <v>22.13185960566238</v>
      </c>
      <c r="AX90" s="194">
        <f t="shared" si="241"/>
        <v>21.766309018218408</v>
      </c>
      <c r="AY90" s="194">
        <f t="shared" si="241"/>
        <v>21.39862605234768</v>
      </c>
      <c r="AZ90" s="194">
        <f t="shared" si="241"/>
        <v>21.02879826917604</v>
      </c>
      <c r="BA90" s="194">
        <f t="shared" si="241"/>
        <v>20.65681315726923</v>
      </c>
      <c r="BB90" s="195">
        <f>SUM(AP90:BA90)</f>
        <v>271.9642990306059</v>
      </c>
      <c r="BC90" s="194">
        <f aca="true" t="shared" si="242" ref="BC90:BN90">BC88</f>
        <v>20.28265813220963</v>
      </c>
      <c r="BD90" s="194">
        <f t="shared" si="242"/>
        <v>19.906320536170515</v>
      </c>
      <c r="BE90" s="194">
        <f t="shared" si="242"/>
        <v>19.52778763748784</v>
      </c>
      <c r="BF90" s="194">
        <f t="shared" si="242"/>
        <v>19.147046630229518</v>
      </c>
      <c r="BG90" s="194">
        <f t="shared" si="242"/>
        <v>18.764084633762184</v>
      </c>
      <c r="BH90" s="194">
        <f t="shared" si="242"/>
        <v>18.37888869231546</v>
      </c>
      <c r="BI90" s="194">
        <f t="shared" si="242"/>
        <v>17.99144577454363</v>
      </c>
      <c r="BJ90" s="194">
        <f t="shared" si="242"/>
        <v>17.601742773084798</v>
      </c>
      <c r="BK90" s="194">
        <f t="shared" si="242"/>
        <v>17.209766504117457</v>
      </c>
      <c r="BL90" s="194">
        <f t="shared" si="242"/>
        <v>16.81550370691447</v>
      </c>
      <c r="BM90" s="194">
        <f t="shared" si="242"/>
        <v>16.41894104339447</v>
      </c>
      <c r="BN90" s="194">
        <f t="shared" si="242"/>
        <v>16.0200650976706</v>
      </c>
      <c r="BO90" s="195">
        <f>SUM(BC90:BN90)</f>
        <v>218.06425116190056</v>
      </c>
      <c r="BP90" s="194">
        <f aca="true" t="shared" si="243" ref="BP90:CA90">BP88</f>
        <v>15.618862375596677</v>
      </c>
      <c r="BQ90" s="194">
        <f t="shared" si="243"/>
        <v>15.215319304310652</v>
      </c>
      <c r="BR90" s="194">
        <f t="shared" si="243"/>
        <v>14.809422231775462</v>
      </c>
      <c r="BS90" s="194">
        <f t="shared" si="243"/>
        <v>14.40115742631715</v>
      </c>
      <c r="BT90" s="194">
        <f t="shared" si="243"/>
        <v>13.990511076160331</v>
      </c>
      <c r="BU90" s="194">
        <f t="shared" si="243"/>
        <v>13.577469288960929</v>
      </c>
      <c r="BV90" s="194">
        <f t="shared" si="243"/>
        <v>13.162018091336199</v>
      </c>
      <c r="BW90" s="194">
        <f t="shared" si="243"/>
        <v>12.744143428391991</v>
      </c>
      <c r="BX90" s="194">
        <f t="shared" si="243"/>
        <v>12.323831163247272</v>
      </c>
      <c r="BY90" s="194">
        <f t="shared" si="243"/>
        <v>11.901067076555881</v>
      </c>
      <c r="BZ90" s="194">
        <f t="shared" si="243"/>
        <v>11.475836866025451</v>
      </c>
      <c r="CA90" s="194">
        <f t="shared" si="243"/>
        <v>11.048126145933596</v>
      </c>
      <c r="CB90" s="195">
        <f>SUM(BP90:CA90)</f>
        <v>160.2677644746116</v>
      </c>
      <c r="CC90" s="194">
        <f aca="true" t="shared" si="244" ref="CC90:CN90">CC88</f>
        <v>10.617920446641206</v>
      </c>
      <c r="CD90" s="194">
        <f t="shared" si="244"/>
        <v>10.185205214102941</v>
      </c>
      <c r="CE90" s="194">
        <f t="shared" si="244"/>
        <v>9.749965809374872</v>
      </c>
      <c r="CF90" s="194">
        <f t="shared" si="244"/>
        <v>9.312187508119225</v>
      </c>
      <c r="CG90" s="194">
        <f t="shared" si="244"/>
        <v>8.87185550010625</v>
      </c>
      <c r="CH90" s="194">
        <f t="shared" si="244"/>
        <v>8.428954888713198</v>
      </c>
      <c r="CI90" s="194">
        <f t="shared" si="244"/>
        <v>7.983470690420355</v>
      </c>
      <c r="CJ90" s="194">
        <f t="shared" si="244"/>
        <v>7.535387834304139</v>
      </c>
      <c r="CK90" s="194">
        <f t="shared" si="244"/>
        <v>7.0846911615272425</v>
      </c>
      <c r="CL90" s="194">
        <f t="shared" si="244"/>
        <v>6.631365424825815</v>
      </c>
      <c r="CM90" s="194">
        <f t="shared" si="244"/>
        <v>6.175395287993628</v>
      </c>
      <c r="CN90" s="194">
        <f t="shared" si="244"/>
        <v>5.716765325363254</v>
      </c>
      <c r="CO90" s="195">
        <f>SUM(CC90:CN90)</f>
        <v>98.29316509149214</v>
      </c>
      <c r="CP90" s="194">
        <f aca="true" t="shared" si="245" ref="CP90:DA90">CP88</f>
        <v>5.255460021284203</v>
      </c>
      <c r="CQ90" s="194">
        <f t="shared" si="245"/>
        <v>4.791463769598026</v>
      </c>
      <c r="CR90" s="194">
        <f t="shared" si="245"/>
        <v>4.3247608731103435</v>
      </c>
      <c r="CS90" s="194">
        <f t="shared" si="245"/>
        <v>3.8553355430598177</v>
      </c>
      <c r="CT90" s="194">
        <f t="shared" si="245"/>
        <v>3.383171898583997</v>
      </c>
      <c r="CU90" s="194">
        <f t="shared" si="245"/>
        <v>2.9082539661820674</v>
      </c>
      <c r="CV90" s="194">
        <f t="shared" si="245"/>
        <v>2.4305656791744594</v>
      </c>
      <c r="CW90" s="194">
        <f t="shared" si="245"/>
        <v>1.9500908771593073</v>
      </c>
      <c r="CX90" s="194">
        <f t="shared" si="245"/>
        <v>1.4668133054657335</v>
      </c>
      <c r="CY90" s="194">
        <f t="shared" si="245"/>
        <v>0.980716614603947</v>
      </c>
      <c r="CZ90" s="194">
        <f t="shared" si="245"/>
        <v>0.4917843597121336</v>
      </c>
      <c r="DA90" s="194">
        <f t="shared" si="245"/>
        <v>1.177961432100953E-13</v>
      </c>
      <c r="DB90" s="195">
        <f>SUM(CP90:DA90)</f>
        <v>31.838416907934153</v>
      </c>
      <c r="DC90" s="194">
        <f aca="true" t="shared" si="246" ref="DC90:DN90">DC88</f>
        <v>1.177961432100953E-13</v>
      </c>
      <c r="DD90" s="194">
        <f t="shared" si="246"/>
        <v>1.177961432100953E-13</v>
      </c>
      <c r="DE90" s="194">
        <f t="shared" si="246"/>
        <v>1.177961432100953E-13</v>
      </c>
      <c r="DF90" s="194">
        <f t="shared" si="246"/>
        <v>1.177961432100953E-13</v>
      </c>
      <c r="DG90" s="194">
        <f t="shared" si="246"/>
        <v>1.177961432100953E-13</v>
      </c>
      <c r="DH90" s="194">
        <f t="shared" si="246"/>
        <v>1.177961432100953E-13</v>
      </c>
      <c r="DI90" s="194">
        <f t="shared" si="246"/>
        <v>1.177961432100953E-13</v>
      </c>
      <c r="DJ90" s="194">
        <f t="shared" si="246"/>
        <v>1.177961432100953E-13</v>
      </c>
      <c r="DK90" s="194">
        <f t="shared" si="246"/>
        <v>1.177961432100953E-13</v>
      </c>
      <c r="DL90" s="194">
        <f t="shared" si="246"/>
        <v>1.177961432100953E-13</v>
      </c>
      <c r="DM90" s="194">
        <f t="shared" si="246"/>
        <v>1.177961432100953E-13</v>
      </c>
      <c r="DN90" s="194">
        <f t="shared" si="246"/>
        <v>1.177961432100953E-13</v>
      </c>
      <c r="DO90" s="195">
        <f>SUM(DC90:DN90)</f>
        <v>1.413553718521144E-12</v>
      </c>
    </row>
    <row r="91" spans="1:119" ht="12.75">
      <c r="A91" s="188" t="s">
        <v>16</v>
      </c>
      <c r="B91" s="193">
        <f>DO91</f>
        <v>2.0193624550302047E-11</v>
      </c>
      <c r="C91" s="194">
        <f>C86</f>
        <v>0</v>
      </c>
      <c r="D91" s="194">
        <f aca="true" t="shared" si="247" ref="D91:N91">C91+D86-D89+D87</f>
        <v>0</v>
      </c>
      <c r="E91" s="194">
        <f t="shared" si="247"/>
        <v>0</v>
      </c>
      <c r="F91" s="194">
        <f t="shared" si="247"/>
        <v>0</v>
      </c>
      <c r="G91" s="194">
        <f t="shared" si="247"/>
        <v>0</v>
      </c>
      <c r="H91" s="194">
        <f t="shared" si="247"/>
        <v>0</v>
      </c>
      <c r="I91" s="194">
        <f t="shared" si="247"/>
        <v>0</v>
      </c>
      <c r="J91" s="194">
        <f t="shared" si="247"/>
        <v>0</v>
      </c>
      <c r="K91" s="194">
        <f t="shared" si="247"/>
        <v>0</v>
      </c>
      <c r="L91" s="194">
        <f t="shared" si="247"/>
        <v>0</v>
      </c>
      <c r="M91" s="194">
        <f t="shared" si="247"/>
        <v>5050.79024</v>
      </c>
      <c r="N91" s="194">
        <f t="shared" si="247"/>
        <v>5050.79024</v>
      </c>
      <c r="O91" s="195">
        <f>N91</f>
        <v>5050.79024</v>
      </c>
      <c r="P91" s="194">
        <f aca="true" t="shared" si="248" ref="P91:AA91">O91+P86-P89+P87</f>
        <v>5050.79024</v>
      </c>
      <c r="Q91" s="194">
        <f t="shared" si="248"/>
        <v>5139.1790692</v>
      </c>
      <c r="R91" s="194">
        <f t="shared" si="248"/>
        <v>5139.1790692</v>
      </c>
      <c r="S91" s="194">
        <f t="shared" si="248"/>
        <v>5139.1790692</v>
      </c>
      <c r="T91" s="194">
        <f t="shared" si="248"/>
        <v>5139.1790692</v>
      </c>
      <c r="U91" s="194">
        <f t="shared" si="248"/>
        <v>5139.1790692</v>
      </c>
      <c r="V91" s="194">
        <f t="shared" si="248"/>
        <v>5139.1790692</v>
      </c>
      <c r="W91" s="194">
        <f t="shared" si="248"/>
        <v>5139.1790692</v>
      </c>
      <c r="X91" s="194">
        <f t="shared" si="248"/>
        <v>5084.359939174276</v>
      </c>
      <c r="Y91" s="194">
        <f t="shared" si="248"/>
        <v>5029.2210308900685</v>
      </c>
      <c r="Z91" s="194">
        <f t="shared" si="248"/>
        <v>4973.760478974203</v>
      </c>
      <c r="AA91" s="194">
        <f t="shared" si="248"/>
        <v>4917.976407172161</v>
      </c>
      <c r="AB91" s="195">
        <f>AA91</f>
        <v>4917.976407172161</v>
      </c>
      <c r="AC91" s="194">
        <f aca="true" t="shared" si="249" ref="AC91:AN91">AB91+AC86-AC89+AC87</f>
        <v>4861.866928284608</v>
      </c>
      <c r="AD91" s="194">
        <f t="shared" si="249"/>
        <v>4805.430144103543</v>
      </c>
      <c r="AE91" s="194">
        <f t="shared" si="249"/>
        <v>4748.66414534809</v>
      </c>
      <c r="AF91" s="194">
        <f t="shared" si="249"/>
        <v>4691.5670115998955</v>
      </c>
      <c r="AG91" s="194">
        <f t="shared" si="249"/>
        <v>4634.136811238171</v>
      </c>
      <c r="AH91" s="194">
        <f t="shared" si="249"/>
        <v>4576.371601374336</v>
      </c>
      <c r="AI91" s="194">
        <f t="shared" si="249"/>
        <v>4518.269427786296</v>
      </c>
      <c r="AJ91" s="194">
        <f t="shared" si="249"/>
        <v>4459.828324852325</v>
      </c>
      <c r="AK91" s="194">
        <f t="shared" si="249"/>
        <v>4401.046315484572</v>
      </c>
      <c r="AL91" s="194">
        <f t="shared" si="249"/>
        <v>4341.921411062174</v>
      </c>
      <c r="AM91" s="194">
        <f t="shared" si="249"/>
        <v>4282.451611363979</v>
      </c>
      <c r="AN91" s="194">
        <f t="shared" si="249"/>
        <v>4222.634904500878</v>
      </c>
      <c r="AO91" s="195">
        <f>AN91</f>
        <v>4222.634904500878</v>
      </c>
      <c r="AP91" s="194">
        <f aca="true" t="shared" si="250" ref="AP91:BA91">AO91+AP86-AP89+AP87</f>
        <v>4162.469266847743</v>
      </c>
      <c r="AQ91" s="194">
        <f t="shared" si="250"/>
        <v>4101.9526629749635</v>
      </c>
      <c r="AR91" s="194">
        <f t="shared" si="250"/>
        <v>4041.083045579593</v>
      </c>
      <c r="AS91" s="194">
        <f t="shared" si="250"/>
        <v>3979.858355416083</v>
      </c>
      <c r="AT91" s="194">
        <f t="shared" si="250"/>
        <v>3918.2765212266195</v>
      </c>
      <c r="AU91" s="194">
        <f t="shared" si="250"/>
        <v>3856.3354596710506</v>
      </c>
      <c r="AV91" s="194">
        <f t="shared" si="250"/>
        <v>3794.0330752564073</v>
      </c>
      <c r="AW91" s="194">
        <f t="shared" si="250"/>
        <v>3731.367260266012</v>
      </c>
      <c r="AX91" s="194">
        <f t="shared" si="250"/>
        <v>3668.335894688173</v>
      </c>
      <c r="AY91" s="194">
        <f t="shared" si="250"/>
        <v>3604.9368461444633</v>
      </c>
      <c r="AZ91" s="194">
        <f t="shared" si="250"/>
        <v>3541.1679698175817</v>
      </c>
      <c r="BA91" s="194">
        <f t="shared" si="250"/>
        <v>3477.0271083787934</v>
      </c>
      <c r="BB91" s="195">
        <f>BA91</f>
        <v>3477.0271083787934</v>
      </c>
      <c r="BC91" s="194">
        <f aca="true" t="shared" si="251" ref="BC91:BN91">BB91+BC86-BC89+BC87</f>
        <v>3412.5120919149454</v>
      </c>
      <c r="BD91" s="194">
        <f t="shared" si="251"/>
        <v>3347.620737855058</v>
      </c>
      <c r="BE91" s="194">
        <f t="shared" si="251"/>
        <v>3282.3508508964883</v>
      </c>
      <c r="BF91" s="194">
        <f t="shared" si="251"/>
        <v>3216.70022293066</v>
      </c>
      <c r="BG91" s="194">
        <f t="shared" si="251"/>
        <v>3150.6666329683644</v>
      </c>
      <c r="BH91" s="194">
        <f t="shared" si="251"/>
        <v>3084.247847064622</v>
      </c>
      <c r="BI91" s="194">
        <f t="shared" si="251"/>
        <v>3017.4416182431078</v>
      </c>
      <c r="BJ91" s="194">
        <f t="shared" si="251"/>
        <v>2950.245686420135</v>
      </c>
      <c r="BK91" s="194">
        <f t="shared" si="251"/>
        <v>2882.6577783281946</v>
      </c>
      <c r="BL91" s="194">
        <f t="shared" si="251"/>
        <v>2814.6756074390514</v>
      </c>
      <c r="BM91" s="194">
        <f t="shared" si="251"/>
        <v>2746.2968738863883</v>
      </c>
      <c r="BN91" s="194">
        <f t="shared" si="251"/>
        <v>2677.5192643880014</v>
      </c>
      <c r="BO91" s="195">
        <f>BN91</f>
        <v>2677.5192643880014</v>
      </c>
      <c r="BP91" s="194">
        <f aca="true" t="shared" si="252" ref="BP91:CA91">BO91+BP86-BP89+BP87</f>
        <v>2608.34045216754</v>
      </c>
      <c r="BQ91" s="194">
        <f t="shared" si="252"/>
        <v>2538.7580968757934</v>
      </c>
      <c r="BR91" s="194">
        <f t="shared" si="252"/>
        <v>2468.769844511511</v>
      </c>
      <c r="BS91" s="194">
        <f t="shared" si="252"/>
        <v>2398.3733273417706</v>
      </c>
      <c r="BT91" s="194">
        <f t="shared" si="252"/>
        <v>2327.5661638218735</v>
      </c>
      <c r="BU91" s="194">
        <f t="shared" si="252"/>
        <v>2256.3459585147766</v>
      </c>
      <c r="BV91" s="194">
        <f t="shared" si="252"/>
        <v>2184.7103020100553</v>
      </c>
      <c r="BW91" s="194">
        <f t="shared" si="252"/>
        <v>2112.6567708423895</v>
      </c>
      <c r="BX91" s="194">
        <f t="shared" si="252"/>
        <v>2040.1829274095792</v>
      </c>
      <c r="BY91" s="194">
        <f t="shared" si="252"/>
        <v>1967.2863198900773</v>
      </c>
      <c r="BZ91" s="194">
        <f t="shared" si="252"/>
        <v>1893.964482160045</v>
      </c>
      <c r="CA91" s="194">
        <f t="shared" si="252"/>
        <v>1820.2149337099208</v>
      </c>
      <c r="CB91" s="195">
        <f>CA91</f>
        <v>1820.2149337099208</v>
      </c>
      <c r="CC91" s="194">
        <f aca="true" t="shared" si="253" ref="CC91:CN91">CB91+CC86-CC89+CC87</f>
        <v>1746.0351795605043</v>
      </c>
      <c r="CD91" s="194">
        <f t="shared" si="253"/>
        <v>1671.4227101785496</v>
      </c>
      <c r="CE91" s="194">
        <f t="shared" si="253"/>
        <v>1596.3750013918668</v>
      </c>
      <c r="CF91" s="194">
        <f t="shared" si="253"/>
        <v>1520.8895143039283</v>
      </c>
      <c r="CG91" s="194">
        <f t="shared" si="253"/>
        <v>1444.9636952079768</v>
      </c>
      <c r="CH91" s="194">
        <f t="shared" si="253"/>
        <v>1368.5949755006322</v>
      </c>
      <c r="CI91" s="194">
        <f t="shared" si="253"/>
        <v>1291.780771594995</v>
      </c>
      <c r="CJ91" s="194">
        <f t="shared" si="253"/>
        <v>1214.5184848332415</v>
      </c>
      <c r="CK91" s="194">
        <f t="shared" si="253"/>
        <v>1136.805501398711</v>
      </c>
      <c r="CL91" s="194">
        <f t="shared" si="253"/>
        <v>1058.639192227479</v>
      </c>
      <c r="CM91" s="194">
        <f t="shared" si="253"/>
        <v>980.016912919415</v>
      </c>
      <c r="CN91" s="194">
        <f t="shared" si="253"/>
        <v>900.9360036487205</v>
      </c>
      <c r="CO91" s="195">
        <f>CN91</f>
        <v>900.9360036487205</v>
      </c>
      <c r="CP91" s="194">
        <f aca="true" t="shared" si="254" ref="CP91:DA91">CO91+CP86-CP89+CP87</f>
        <v>821.3937890739471</v>
      </c>
      <c r="CQ91" s="194">
        <f t="shared" si="254"/>
        <v>741.3875782474875</v>
      </c>
      <c r="CR91" s="194">
        <f t="shared" si="254"/>
        <v>660.9146645245402</v>
      </c>
      <c r="CS91" s="194">
        <f t="shared" si="254"/>
        <v>579.9723254715423</v>
      </c>
      <c r="CT91" s="194">
        <f t="shared" si="254"/>
        <v>498.5578227740686</v>
      </c>
      <c r="CU91" s="194">
        <f t="shared" si="254"/>
        <v>416.668402144193</v>
      </c>
      <c r="CV91" s="194">
        <f t="shared" si="254"/>
        <v>334.30129322730977</v>
      </c>
      <c r="CW91" s="194">
        <f t="shared" si="254"/>
        <v>251.4537095084114</v>
      </c>
      <c r="CX91" s="194">
        <f t="shared" si="254"/>
        <v>168.12284821781947</v>
      </c>
      <c r="CY91" s="194">
        <f t="shared" si="254"/>
        <v>84.30589023636574</v>
      </c>
      <c r="CZ91" s="194">
        <f t="shared" si="254"/>
        <v>2.0193624550302047E-11</v>
      </c>
      <c r="DA91" s="194">
        <f t="shared" si="254"/>
        <v>2.0193624550302047E-11</v>
      </c>
      <c r="DB91" s="195">
        <f>DA91</f>
        <v>2.0193624550302047E-11</v>
      </c>
      <c r="DC91" s="194">
        <f aca="true" t="shared" si="255" ref="DC91:DN91">DB91+DC86-DC89+DC87</f>
        <v>2.0193624550302047E-11</v>
      </c>
      <c r="DD91" s="194">
        <f t="shared" si="255"/>
        <v>2.0193624550302047E-11</v>
      </c>
      <c r="DE91" s="194">
        <f t="shared" si="255"/>
        <v>2.0193624550302047E-11</v>
      </c>
      <c r="DF91" s="194">
        <f t="shared" si="255"/>
        <v>2.0193624550302047E-11</v>
      </c>
      <c r="DG91" s="194">
        <f t="shared" si="255"/>
        <v>2.0193624550302047E-11</v>
      </c>
      <c r="DH91" s="194">
        <f t="shared" si="255"/>
        <v>2.0193624550302047E-11</v>
      </c>
      <c r="DI91" s="194">
        <f t="shared" si="255"/>
        <v>2.0193624550302047E-11</v>
      </c>
      <c r="DJ91" s="194">
        <f t="shared" si="255"/>
        <v>2.0193624550302047E-11</v>
      </c>
      <c r="DK91" s="194">
        <f t="shared" si="255"/>
        <v>2.0193624550302047E-11</v>
      </c>
      <c r="DL91" s="194">
        <f t="shared" si="255"/>
        <v>2.0193624550302047E-11</v>
      </c>
      <c r="DM91" s="194">
        <f t="shared" si="255"/>
        <v>2.0193624550302047E-11</v>
      </c>
      <c r="DN91" s="194">
        <f t="shared" si="255"/>
        <v>2.0193624550302047E-11</v>
      </c>
      <c r="DO91" s="195">
        <f>DN91</f>
        <v>2.0193624550302047E-11</v>
      </c>
    </row>
    <row r="92" spans="1:119" ht="12.75">
      <c r="A92" s="177" t="s">
        <v>78</v>
      </c>
      <c r="B92" s="284">
        <f>Исх!$C$37*12-Исх!$C$38</f>
        <v>75</v>
      </c>
      <c r="CP92" s="180"/>
      <c r="DB92" s="177"/>
      <c r="DO92" s="177"/>
    </row>
    <row r="93" spans="1:119" ht="12.75">
      <c r="A93" s="287" t="s">
        <v>251</v>
      </c>
      <c r="B93" s="288">
        <f>$W$91*$B$20/12/((1-(1+$B$20/12)^-$B92))</f>
        <v>84.79767459605767</v>
      </c>
      <c r="DB93" s="177"/>
      <c r="DO93" s="177"/>
    </row>
    <row r="94" spans="1:119" ht="7.5" customHeight="1">
      <c r="A94" s="285"/>
      <c r="B94" s="282"/>
      <c r="DB94" s="177"/>
      <c r="DO94" s="177"/>
    </row>
    <row r="95" spans="1:119" ht="12.75">
      <c r="A95" s="270" t="s">
        <v>240</v>
      </c>
      <c r="DB95" s="177"/>
      <c r="DO95" s="177"/>
    </row>
    <row r="96" spans="1:119" ht="12.75" hidden="1" outlineLevel="1">
      <c r="A96" s="271">
        <f>B86+B87-B89</f>
        <v>2.000888343900442E-11</v>
      </c>
      <c r="DB96" s="177"/>
      <c r="DO96" s="177"/>
    </row>
    <row r="97" spans="1:119" ht="12.75" hidden="1" outlineLevel="1">
      <c r="A97" s="271">
        <f>B88-B87-B90</f>
        <v>0</v>
      </c>
      <c r="DB97" s="177"/>
      <c r="DO97" s="177"/>
    </row>
    <row r="98" ht="12.75" collapsed="1"/>
  </sheetData>
  <sheetProtection/>
  <mergeCells count="54">
    <mergeCell ref="CP20:DB20"/>
    <mergeCell ref="CC5:CO5"/>
    <mergeCell ref="C5:O5"/>
    <mergeCell ref="P5:AB5"/>
    <mergeCell ref="AC5:AO5"/>
    <mergeCell ref="AP5:BB5"/>
    <mergeCell ref="BC5:BO5"/>
    <mergeCell ref="BP5:CB5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36:O36"/>
    <mergeCell ref="P36:AB36"/>
    <mergeCell ref="AC36:AO36"/>
    <mergeCell ref="AP36:BB36"/>
    <mergeCell ref="BC36:BO36"/>
    <mergeCell ref="BP36:CB36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T31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4" sqref="H24"/>
    </sheetView>
  </sheetViews>
  <sheetFormatPr defaultColWidth="8.875" defaultRowHeight="12.75" outlineLevelRow="1" outlineLevelCol="1"/>
  <cols>
    <col min="1" max="1" width="35.753906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4.12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2" spans="1:19" ht="12.75">
      <c r="A2" s="62" t="s">
        <v>256</v>
      </c>
      <c r="B2" s="173"/>
      <c r="Q2" s="147"/>
      <c r="R2" s="201"/>
      <c r="S2" s="171"/>
    </row>
    <row r="3" spans="1:19" ht="17.25" customHeight="1">
      <c r="A3" s="374" t="s">
        <v>185</v>
      </c>
      <c r="B3" s="375" t="s">
        <v>155</v>
      </c>
      <c r="C3" s="375" t="s">
        <v>156</v>
      </c>
      <c r="D3" s="376" t="s">
        <v>189</v>
      </c>
      <c r="E3" s="328">
        <v>2013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30"/>
      <c r="Q3" s="91" t="s">
        <v>0</v>
      </c>
      <c r="R3" s="201"/>
      <c r="S3" s="202"/>
    </row>
    <row r="4" spans="1:17" ht="12.75">
      <c r="A4" s="374"/>
      <c r="B4" s="375"/>
      <c r="C4" s="375"/>
      <c r="D4" s="376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2.75" hidden="1">
      <c r="A5" s="204" t="s">
        <v>184</v>
      </c>
      <c r="B5" s="205"/>
      <c r="C5" s="205"/>
      <c r="D5" s="144">
        <f aca="true" t="shared" si="0" ref="D5:Q5">SUM(D6:D7)</f>
        <v>0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0</v>
      </c>
      <c r="P5" s="144">
        <f t="shared" si="0"/>
        <v>0</v>
      </c>
      <c r="Q5" s="144">
        <f t="shared" si="0"/>
        <v>0</v>
      </c>
      <c r="S5" s="78"/>
    </row>
    <row r="6" spans="1:17" ht="12.75" hidden="1" outlineLevel="1">
      <c r="A6" s="252"/>
      <c r="B6" s="243"/>
      <c r="C6" s="243"/>
      <c r="D6" s="154">
        <f>B6*C6</f>
        <v>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>
        <f>SUM(E6:P6)</f>
        <v>0</v>
      </c>
    </row>
    <row r="7" spans="1:17" ht="12.75" hidden="1" outlineLevel="1">
      <c r="A7" s="252"/>
      <c r="B7" s="84"/>
      <c r="C7" s="145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7" ht="12.75" collapsed="1">
      <c r="A8" s="204" t="s">
        <v>105</v>
      </c>
      <c r="B8" s="205"/>
      <c r="C8" s="205"/>
      <c r="D8" s="144">
        <f aca="true" t="shared" si="1" ref="D8:Q8">SUM(D9:D15)</f>
        <v>747.80448</v>
      </c>
      <c r="E8" s="144">
        <f t="shared" si="1"/>
        <v>0</v>
      </c>
      <c r="F8" s="144">
        <f t="shared" si="1"/>
        <v>0</v>
      </c>
      <c r="G8" s="144">
        <f t="shared" si="1"/>
        <v>0</v>
      </c>
      <c r="H8" s="144">
        <f t="shared" si="1"/>
        <v>0</v>
      </c>
      <c r="I8" s="144">
        <f t="shared" si="1"/>
        <v>0</v>
      </c>
      <c r="J8" s="144">
        <f t="shared" si="1"/>
        <v>0</v>
      </c>
      <c r="K8" s="144">
        <f t="shared" si="1"/>
        <v>0</v>
      </c>
      <c r="L8" s="144">
        <f t="shared" si="1"/>
        <v>0</v>
      </c>
      <c r="M8" s="144">
        <f t="shared" si="1"/>
        <v>0</v>
      </c>
      <c r="N8" s="144">
        <f t="shared" si="1"/>
        <v>373.90224</v>
      </c>
      <c r="O8" s="144">
        <f t="shared" si="1"/>
        <v>0</v>
      </c>
      <c r="P8" s="144">
        <f t="shared" si="1"/>
        <v>373.90224</v>
      </c>
      <c r="Q8" s="144">
        <f t="shared" si="1"/>
        <v>747.80448</v>
      </c>
    </row>
    <row r="9" spans="1:20" ht="12.75" outlineLevel="1">
      <c r="A9" s="252" t="s">
        <v>344</v>
      </c>
      <c r="B9" s="145">
        <v>1</v>
      </c>
      <c r="C9" s="145">
        <f>12.86*Исх!$C$7*1.2</f>
        <v>71.60448</v>
      </c>
      <c r="D9" s="154">
        <f aca="true" t="shared" si="2" ref="D9:D15">B9*C9</f>
        <v>71.60448</v>
      </c>
      <c r="E9" s="154"/>
      <c r="F9" s="154"/>
      <c r="G9" s="154"/>
      <c r="H9" s="154"/>
      <c r="I9" s="154"/>
      <c r="J9" s="154"/>
      <c r="K9" s="154"/>
      <c r="L9" s="154"/>
      <c r="M9" s="154"/>
      <c r="N9" s="154">
        <f>$D9/2</f>
        <v>35.80224</v>
      </c>
      <c r="O9" s="154"/>
      <c r="P9" s="154">
        <f>$D9/2</f>
        <v>35.80224</v>
      </c>
      <c r="Q9" s="155">
        <f aca="true" t="shared" si="3" ref="Q9:Q15">SUM(E9:P9)</f>
        <v>71.60448</v>
      </c>
      <c r="S9" s="290" t="s">
        <v>351</v>
      </c>
      <c r="T9" s="314"/>
    </row>
    <row r="10" spans="1:20" ht="25.5" outlineLevel="1">
      <c r="A10" s="252" t="s">
        <v>345</v>
      </c>
      <c r="B10" s="145">
        <v>1</v>
      </c>
      <c r="C10" s="145">
        <v>35</v>
      </c>
      <c r="D10" s="154">
        <f t="shared" si="2"/>
        <v>35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f aca="true" t="shared" si="4" ref="N10:P15">$D10/2</f>
        <v>17.5</v>
      </c>
      <c r="O10" s="154"/>
      <c r="P10" s="154">
        <f t="shared" si="4"/>
        <v>17.5</v>
      </c>
      <c r="Q10" s="155">
        <f t="shared" si="3"/>
        <v>35</v>
      </c>
      <c r="T10" s="314"/>
    </row>
    <row r="11" spans="1:20" ht="12.75" outlineLevel="1">
      <c r="A11" s="252" t="s">
        <v>346</v>
      </c>
      <c r="B11" s="145">
        <v>1</v>
      </c>
      <c r="C11" s="145">
        <f>50*Исх!$C$7*1.1</f>
        <v>255.2</v>
      </c>
      <c r="D11" s="154">
        <f t="shared" si="2"/>
        <v>255.2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f t="shared" si="4"/>
        <v>127.6</v>
      </c>
      <c r="O11" s="154"/>
      <c r="P11" s="154">
        <f t="shared" si="4"/>
        <v>127.6</v>
      </c>
      <c r="Q11" s="155">
        <f t="shared" si="3"/>
        <v>255.2</v>
      </c>
      <c r="S11" s="290" t="s">
        <v>352</v>
      </c>
      <c r="T11" s="314"/>
    </row>
    <row r="12" spans="1:20" ht="12.75" outlineLevel="1">
      <c r="A12" s="252" t="s">
        <v>347</v>
      </c>
      <c r="B12" s="145">
        <v>1</v>
      </c>
      <c r="C12" s="145">
        <v>66</v>
      </c>
      <c r="D12" s="154">
        <f t="shared" si="2"/>
        <v>66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>
        <f t="shared" si="4"/>
        <v>33</v>
      </c>
      <c r="O12" s="154"/>
      <c r="P12" s="154">
        <f t="shared" si="4"/>
        <v>33</v>
      </c>
      <c r="Q12" s="155">
        <f t="shared" si="3"/>
        <v>66</v>
      </c>
      <c r="S12" s="290" t="s">
        <v>353</v>
      </c>
      <c r="T12" s="314"/>
    </row>
    <row r="13" spans="1:20" ht="12.75" outlineLevel="1">
      <c r="A13" s="252" t="s">
        <v>348</v>
      </c>
      <c r="B13" s="145">
        <v>2</v>
      </c>
      <c r="C13" s="145">
        <v>25</v>
      </c>
      <c r="D13" s="154">
        <f t="shared" si="2"/>
        <v>50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f t="shared" si="4"/>
        <v>25</v>
      </c>
      <c r="O13" s="154"/>
      <c r="P13" s="154">
        <f t="shared" si="4"/>
        <v>25</v>
      </c>
      <c r="Q13" s="155">
        <f t="shared" si="3"/>
        <v>50</v>
      </c>
      <c r="T13" s="314"/>
    </row>
    <row r="14" spans="1:20" ht="12.75" outlineLevel="1">
      <c r="A14" s="252" t="s">
        <v>349</v>
      </c>
      <c r="B14" s="145">
        <v>2</v>
      </c>
      <c r="C14" s="145">
        <v>25</v>
      </c>
      <c r="D14" s="154">
        <f t="shared" si="2"/>
        <v>50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f t="shared" si="4"/>
        <v>25</v>
      </c>
      <c r="O14" s="154"/>
      <c r="P14" s="154">
        <f t="shared" si="4"/>
        <v>25</v>
      </c>
      <c r="Q14" s="155">
        <f t="shared" si="3"/>
        <v>50</v>
      </c>
      <c r="T14" s="314"/>
    </row>
    <row r="15" spans="1:20" ht="12.75" outlineLevel="1">
      <c r="A15" s="252" t="s">
        <v>350</v>
      </c>
      <c r="B15" s="145">
        <v>2</v>
      </c>
      <c r="C15" s="145">
        <v>110</v>
      </c>
      <c r="D15" s="154">
        <f t="shared" si="2"/>
        <v>220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f>$D15/2</f>
        <v>110</v>
      </c>
      <c r="O15" s="154"/>
      <c r="P15" s="154">
        <f t="shared" si="4"/>
        <v>110</v>
      </c>
      <c r="Q15" s="155">
        <f t="shared" si="3"/>
        <v>220</v>
      </c>
      <c r="T15" s="314"/>
    </row>
    <row r="16" spans="1:17" ht="12.75">
      <c r="A16" s="204" t="s">
        <v>342</v>
      </c>
      <c r="B16" s="205"/>
      <c r="C16" s="205"/>
      <c r="D16" s="144">
        <f aca="true" t="shared" si="5" ref="D16:Q16">SUM(D17:D18)</f>
        <v>4676.888</v>
      </c>
      <c r="E16" s="144">
        <f t="shared" si="5"/>
        <v>0</v>
      </c>
      <c r="F16" s="144">
        <f t="shared" si="5"/>
        <v>0</v>
      </c>
      <c r="G16" s="144">
        <f t="shared" si="5"/>
        <v>0</v>
      </c>
      <c r="H16" s="144">
        <f t="shared" si="5"/>
        <v>0</v>
      </c>
      <c r="I16" s="144">
        <f t="shared" si="5"/>
        <v>0</v>
      </c>
      <c r="J16" s="144">
        <f t="shared" si="5"/>
        <v>0</v>
      </c>
      <c r="K16" s="144">
        <f t="shared" si="5"/>
        <v>0</v>
      </c>
      <c r="L16" s="144">
        <f t="shared" si="5"/>
        <v>0</v>
      </c>
      <c r="M16" s="144">
        <f t="shared" si="5"/>
        <v>0</v>
      </c>
      <c r="N16" s="144">
        <f t="shared" si="5"/>
        <v>0</v>
      </c>
      <c r="O16" s="144">
        <f t="shared" si="5"/>
        <v>0</v>
      </c>
      <c r="P16" s="144">
        <f t="shared" si="5"/>
        <v>4676.888</v>
      </c>
      <c r="Q16" s="144">
        <f t="shared" si="5"/>
        <v>4676.888</v>
      </c>
    </row>
    <row r="17" spans="1:20" ht="12.75" outlineLevel="1">
      <c r="A17" s="279" t="s">
        <v>343</v>
      </c>
      <c r="B17" s="145">
        <v>1</v>
      </c>
      <c r="C17" s="145">
        <f>584.5*Исх!$C$7*1.1</f>
        <v>2983.288</v>
      </c>
      <c r="D17" s="154">
        <f>B17*C17</f>
        <v>2983.288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>
        <f>D17</f>
        <v>2983.288</v>
      </c>
      <c r="Q17" s="155">
        <f>SUM(E17:P17)</f>
        <v>2983.288</v>
      </c>
      <c r="S17" s="290" t="s">
        <v>327</v>
      </c>
      <c r="T17" s="314"/>
    </row>
    <row r="18" spans="1:20" ht="12.75" outlineLevel="1">
      <c r="A18" s="279" t="s">
        <v>354</v>
      </c>
      <c r="B18" s="145">
        <v>1</v>
      </c>
      <c r="C18" s="145">
        <f>365*Исх!$C$7</f>
        <v>1693.6</v>
      </c>
      <c r="D18" s="154">
        <f>B18*C18</f>
        <v>1693.6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>
        <f>D18</f>
        <v>1693.6</v>
      </c>
      <c r="Q18" s="155">
        <f>SUM(E18:P18)</f>
        <v>1693.6</v>
      </c>
      <c r="S18" s="290" t="s">
        <v>355</v>
      </c>
      <c r="T18" s="314"/>
    </row>
    <row r="19" spans="1:17" ht="12.75">
      <c r="A19" s="141" t="s">
        <v>0</v>
      </c>
      <c r="B19" s="168"/>
      <c r="C19" s="168"/>
      <c r="D19" s="168">
        <f aca="true" t="shared" si="6" ref="D19:Q19">D5+D8+D16</f>
        <v>5424.69248</v>
      </c>
      <c r="E19" s="168">
        <f t="shared" si="6"/>
        <v>0</v>
      </c>
      <c r="F19" s="168">
        <f t="shared" si="6"/>
        <v>0</v>
      </c>
      <c r="G19" s="168">
        <f t="shared" si="6"/>
        <v>0</v>
      </c>
      <c r="H19" s="168">
        <f t="shared" si="6"/>
        <v>0</v>
      </c>
      <c r="I19" s="168">
        <f t="shared" si="6"/>
        <v>0</v>
      </c>
      <c r="J19" s="168">
        <f t="shared" si="6"/>
        <v>0</v>
      </c>
      <c r="K19" s="168">
        <f t="shared" si="6"/>
        <v>0</v>
      </c>
      <c r="L19" s="168">
        <f t="shared" si="6"/>
        <v>0</v>
      </c>
      <c r="M19" s="168">
        <f t="shared" si="6"/>
        <v>0</v>
      </c>
      <c r="N19" s="168">
        <f t="shared" si="6"/>
        <v>373.90224</v>
      </c>
      <c r="O19" s="168">
        <f t="shared" si="6"/>
        <v>0</v>
      </c>
      <c r="P19" s="168">
        <f t="shared" si="6"/>
        <v>5050.79024</v>
      </c>
      <c r="Q19" s="168">
        <f t="shared" si="6"/>
        <v>5424.69248</v>
      </c>
    </row>
    <row r="20" ht="12.75">
      <c r="D20" s="201">
        <f>D19-Q19</f>
        <v>0</v>
      </c>
    </row>
    <row r="21" spans="2:4" ht="12.75">
      <c r="B21" s="147" t="s">
        <v>59</v>
      </c>
      <c r="C21" s="201" t="s">
        <v>43</v>
      </c>
      <c r="D21" s="206" t="s">
        <v>98</v>
      </c>
    </row>
    <row r="22" spans="1:4" ht="12.75">
      <c r="A22" s="78" t="s">
        <v>109</v>
      </c>
      <c r="B22" s="201">
        <f>D5</f>
        <v>0</v>
      </c>
      <c r="C22" s="201">
        <f>B22/Исх!$C$19</f>
        <v>0</v>
      </c>
      <c r="D22" s="169">
        <f>B22/Исх!$C$5</f>
        <v>0</v>
      </c>
    </row>
    <row r="23" spans="1:4" ht="12.75">
      <c r="A23" s="78" t="s">
        <v>105</v>
      </c>
      <c r="B23" s="201">
        <f>D8</f>
        <v>747.80448</v>
      </c>
      <c r="C23" s="201">
        <f>B23/Исх!$C$19</f>
        <v>667.6825714285714</v>
      </c>
      <c r="D23" s="169">
        <f>B23/Исх!$C$5</f>
        <v>4.8924074582924435</v>
      </c>
    </row>
    <row r="24" spans="1:12" ht="12.75">
      <c r="A24" s="78" t="s">
        <v>190</v>
      </c>
      <c r="B24" s="201">
        <f>D16</f>
        <v>4676.888</v>
      </c>
      <c r="C24" s="201">
        <f>B24/Исх!$C$19</f>
        <v>4175.7928571428565</v>
      </c>
      <c r="D24" s="169">
        <f>B24/Исх!$C$5</f>
        <v>30.59789335950278</v>
      </c>
      <c r="L24" s="173"/>
    </row>
    <row r="25" spans="1:4" ht="12.75">
      <c r="A25" s="62" t="s">
        <v>89</v>
      </c>
      <c r="B25" s="207">
        <f>SUM(B22:B24)</f>
        <v>5424.69248</v>
      </c>
      <c r="C25" s="207">
        <f>SUM(C22:C24)</f>
        <v>4843.475428571428</v>
      </c>
      <c r="D25" s="207">
        <f>SUM(D22:D24)</f>
        <v>35.49030081779522</v>
      </c>
    </row>
    <row r="28" spans="1:17" ht="12.75">
      <c r="A28" s="78" t="s">
        <v>250</v>
      </c>
      <c r="D28" s="201">
        <f>Q28</f>
        <v>0</v>
      </c>
      <c r="L28" s="201">
        <f>K28+L5</f>
        <v>0</v>
      </c>
      <c r="M28" s="201">
        <f>L28+M5</f>
        <v>0</v>
      </c>
      <c r="N28" s="201">
        <f>M28+N5</f>
        <v>0</v>
      </c>
      <c r="O28" s="201">
        <f>N28+O5</f>
        <v>0</v>
      </c>
      <c r="Q28" s="201">
        <f>P28</f>
        <v>0</v>
      </c>
    </row>
    <row r="29" spans="1:17" ht="12.75">
      <c r="A29" s="78" t="s">
        <v>265</v>
      </c>
      <c r="D29" s="201">
        <f>Q29</f>
        <v>0</v>
      </c>
      <c r="L29" s="201">
        <f>K29+L8</f>
        <v>0</v>
      </c>
      <c r="M29" s="201">
        <f>L29+M8</f>
        <v>0</v>
      </c>
      <c r="N29" s="201">
        <f>M29+N8</f>
        <v>373.90224</v>
      </c>
      <c r="O29" s="201">
        <f>N29+O8</f>
        <v>373.90224</v>
      </c>
      <c r="Q29" s="201">
        <f>P29</f>
        <v>0</v>
      </c>
    </row>
    <row r="30" spans="1:17" ht="12.75">
      <c r="A30" s="78" t="s">
        <v>266</v>
      </c>
      <c r="D30" s="201">
        <f>Q30</f>
        <v>5424.69248</v>
      </c>
      <c r="O30" s="201"/>
      <c r="P30" s="201">
        <f>D5+D8+D16</f>
        <v>5424.69248</v>
      </c>
      <c r="Q30" s="201">
        <f>SUM(E30:P30)</f>
        <v>5424.69248</v>
      </c>
    </row>
    <row r="31" spans="1:17" ht="12.75">
      <c r="A31" s="78" t="s">
        <v>299</v>
      </c>
      <c r="D31" s="201">
        <f>D30/Исх!$C$19</f>
        <v>4843.475428571428</v>
      </c>
      <c r="P31" s="201">
        <f>P30/Исх!$C$19</f>
        <v>4843.475428571428</v>
      </c>
      <c r="Q31" s="201">
        <f>Q30/Исх!$C$19</f>
        <v>4843.475428571428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9" r:id="rId1" display="http://nsk.pulscen.ru/products/trubogib_gidravlicheski_tg_1_14308224"/>
    <hyperlink ref="S11" r:id="rId2" display="http://www.metalweb.ru/Урал/Цены/Сверлильные_станки/"/>
    <hyperlink ref="S12" r:id="rId3" display="http://astana.satu.kz/p64240-svarochnyj-apparat-tdm.html"/>
    <hyperlink ref="S17" r:id="rId4" display="http://www.avtogaz.ru/evroplatforma/"/>
    <hyperlink ref="S18" r:id="rId5" display="http://www.agroserver.ru/b/bolgarskiy-pogruzchik-dv1792-3-5-tn-2006g-v-akpp-162422.htm"/>
  </hyperlink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334</v>
      </c>
      <c r="B4" s="210">
        <f>'2-ф2'!P5</f>
        <v>0</v>
      </c>
      <c r="C4" s="210">
        <f>'2-ф2'!AC5</f>
        <v>26013.950892857134</v>
      </c>
      <c r="D4" s="210">
        <f>'2-ф2'!AP5</f>
        <v>39508.92857142858</v>
      </c>
      <c r="E4" s="210">
        <f>'2-ф2'!AQ5</f>
        <v>42857.14285714285</v>
      </c>
      <c r="F4" s="210">
        <f>'2-ф2'!AR5</f>
        <v>45535.71428571428</v>
      </c>
      <c r="G4" s="210">
        <f>'2-ф2'!AS5</f>
        <v>48214.28571428571</v>
      </c>
      <c r="H4" s="210">
        <f>'2-ф2'!AT5</f>
        <v>50892.85714285714</v>
      </c>
      <c r="I4" s="210">
        <f>'2-ф2'!AU5</f>
        <v>53571.428571428565</v>
      </c>
    </row>
    <row r="5" spans="1:9" ht="12.75">
      <c r="A5" s="209" t="s">
        <v>90</v>
      </c>
      <c r="B5" s="211">
        <f aca="true" t="shared" si="1" ref="B5:H5">B4-B6</f>
        <v>-33.82513586666667</v>
      </c>
      <c r="C5" s="211">
        <f t="shared" si="1"/>
        <v>-2530.499131391378</v>
      </c>
      <c r="D5" s="211">
        <f t="shared" si="1"/>
        <v>7576.129554552659</v>
      </c>
      <c r="E5" s="211">
        <f t="shared" si="1"/>
        <v>10128.407676807852</v>
      </c>
      <c r="F5" s="211">
        <f t="shared" si="1"/>
        <v>12184.936326767733</v>
      </c>
      <c r="G5" s="211">
        <f t="shared" si="1"/>
        <v>14245.651545534041</v>
      </c>
      <c r="H5" s="211">
        <f t="shared" si="1"/>
        <v>16310.855980504311</v>
      </c>
      <c r="I5" s="211">
        <f>I4-I6</f>
        <v>18380.83753907191</v>
      </c>
    </row>
    <row r="6" spans="1:9" ht="12.75">
      <c r="A6" s="209" t="s">
        <v>335</v>
      </c>
      <c r="B6" s="212">
        <f aca="true" t="shared" si="2" ref="B6:H6">SUM(B7:B8)</f>
        <v>33.82513586666667</v>
      </c>
      <c r="C6" s="212">
        <f t="shared" si="2"/>
        <v>28544.450024248512</v>
      </c>
      <c r="D6" s="212">
        <f t="shared" si="2"/>
        <v>31932.79901687592</v>
      </c>
      <c r="E6" s="212">
        <f t="shared" si="2"/>
        <v>32728.735180334996</v>
      </c>
      <c r="F6" s="212">
        <f t="shared" si="2"/>
        <v>33350.77795894655</v>
      </c>
      <c r="G6" s="212">
        <f t="shared" si="2"/>
        <v>33968.63416875167</v>
      </c>
      <c r="H6" s="212">
        <f t="shared" si="2"/>
        <v>34582.001162352826</v>
      </c>
      <c r="I6" s="212">
        <f>SUM(I7:I8)</f>
        <v>35190.59103235666</v>
      </c>
    </row>
    <row r="7" spans="1:9" ht="12.75">
      <c r="A7" s="209" t="s">
        <v>91</v>
      </c>
      <c r="B7" s="210">
        <f>'2-ф2'!P12+'2-ф2'!P11+'2-ф2'!P10</f>
        <v>33.82513586666667</v>
      </c>
      <c r="C7" s="210">
        <f>'2-ф2'!AC12+'2-ф2'!AC11+'2-ф2'!AC10</f>
        <v>21940.800015898512</v>
      </c>
      <c r="D7" s="210">
        <f>'2-ф2'!AP12+'2-ф2'!AP11+'2-ф2'!AP10</f>
        <v>21903.44447687592</v>
      </c>
      <c r="E7" s="210">
        <f>'2-ф2'!AQ12+'2-ф2'!AQ11+'2-ф2'!AQ10</f>
        <v>21849.435340334992</v>
      </c>
      <c r="F7" s="210">
        <f>'2-ф2'!AR12+'2-ф2'!AR11+'2-ф2'!AR10</f>
        <v>21791.521878946547</v>
      </c>
      <c r="G7" s="210">
        <f>'2-ф2'!AS12+'2-ф2'!AS11+'2-ф2'!AS10</f>
        <v>21729.421848751666</v>
      </c>
      <c r="H7" s="210">
        <f>'2-ф2'!AT12+'2-ф2'!AT11+'2-ф2'!AT10</f>
        <v>21662.832602352824</v>
      </c>
      <c r="I7" s="210">
        <f>'2-ф2'!AU12+'2-ф2'!AU11+'2-ф2'!AU10</f>
        <v>21591.466232356655</v>
      </c>
    </row>
    <row r="8" spans="1:9" ht="12.75">
      <c r="A8" s="209" t="s">
        <v>92</v>
      </c>
      <c r="B8" s="210">
        <f>'2-ф2'!P7</f>
        <v>0</v>
      </c>
      <c r="C8" s="210">
        <f>'2-ф2'!AC7</f>
        <v>6603.65000835</v>
      </c>
      <c r="D8" s="210">
        <f>'2-ф2'!AP7</f>
        <v>10029.35454</v>
      </c>
      <c r="E8" s="210">
        <f>'2-ф2'!AQ7</f>
        <v>10879.299840000001</v>
      </c>
      <c r="F8" s="210">
        <f>'2-ф2'!AR7</f>
        <v>11559.256080000003</v>
      </c>
      <c r="G8" s="210">
        <f>'2-ф2'!AS7</f>
        <v>12239.212320000002</v>
      </c>
      <c r="H8" s="210">
        <f>'2-ф2'!AT7</f>
        <v>12919.16856</v>
      </c>
      <c r="I8" s="210">
        <f>'2-ф2'!AU7</f>
        <v>13599.124800000001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19410.300884507134</v>
      </c>
      <c r="D9" s="212">
        <f t="shared" si="3"/>
        <v>29479.57403142858</v>
      </c>
      <c r="E9" s="212">
        <f t="shared" si="3"/>
        <v>31977.843017142848</v>
      </c>
      <c r="F9" s="212">
        <f t="shared" si="3"/>
        <v>33976.45820571428</v>
      </c>
      <c r="G9" s="212">
        <f t="shared" si="3"/>
        <v>35975.073394285704</v>
      </c>
      <c r="H9" s="212">
        <f t="shared" si="3"/>
        <v>37973.68858285714</v>
      </c>
      <c r="I9" s="212">
        <f>I4-I8</f>
        <v>39972.30377142856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0.7461496703999999</v>
      </c>
      <c r="D10" s="213">
        <f t="shared" si="4"/>
        <v>0.7461496704</v>
      </c>
      <c r="E10" s="213">
        <f t="shared" si="4"/>
        <v>0.7461496703999999</v>
      </c>
      <c r="F10" s="213">
        <f t="shared" si="4"/>
        <v>0.7461496704</v>
      </c>
      <c r="G10" s="213">
        <f t="shared" si="4"/>
        <v>0.7461496703999998</v>
      </c>
      <c r="H10" s="213">
        <f t="shared" si="4"/>
        <v>0.7461496704</v>
      </c>
      <c r="I10" s="213">
        <f>I9/I4</f>
        <v>0.7461496703999999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29405.360460906417</v>
      </c>
      <c r="D11" s="212">
        <f>D7/D10</f>
        <v>29355.296056264157</v>
      </c>
      <c r="E11" s="212">
        <f t="shared" si="5"/>
        <v>29282.912272308356</v>
      </c>
      <c r="F11" s="212">
        <f t="shared" si="5"/>
        <v>29205.295858757705</v>
      </c>
      <c r="G11" s="212">
        <f t="shared" si="5"/>
        <v>29122.06854839572</v>
      </c>
      <c r="H11" s="212">
        <f t="shared" si="5"/>
        <v>29032.824729038202</v>
      </c>
      <c r="I11" s="212">
        <f>I7/I10</f>
        <v>28937.178543256323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-0.13036887714662712</v>
      </c>
      <c r="D12" s="215">
        <f>(D4-D11)/D4</f>
        <v>0.2569958964290204</v>
      </c>
      <c r="E12" s="215">
        <f t="shared" si="6"/>
        <v>0.31673204697947155</v>
      </c>
      <c r="F12" s="215">
        <f t="shared" si="6"/>
        <v>0.3586287968272817</v>
      </c>
      <c r="G12" s="215">
        <f t="shared" si="6"/>
        <v>0.39598672640364424</v>
      </c>
      <c r="H12" s="215">
        <f t="shared" si="6"/>
        <v>0.42953046146451246</v>
      </c>
      <c r="I12" s="215">
        <f>(I4-I11)/I4</f>
        <v>0.4598393338592152</v>
      </c>
    </row>
    <row r="13" spans="1:9" ht="12.75">
      <c r="A13" s="209" t="s">
        <v>103</v>
      </c>
      <c r="B13" s="216" t="e">
        <f aca="true" t="shared" si="7" ref="B13:H13">100%-B12</f>
        <v>#DIV/0!</v>
      </c>
      <c r="C13" s="216">
        <f t="shared" si="7"/>
        <v>1.1303688771466271</v>
      </c>
      <c r="D13" s="216">
        <f t="shared" si="7"/>
        <v>0.7430041035709796</v>
      </c>
      <c r="E13" s="216">
        <f t="shared" si="7"/>
        <v>0.6832679530205285</v>
      </c>
      <c r="F13" s="216">
        <f t="shared" si="7"/>
        <v>0.6413712031727183</v>
      </c>
      <c r="G13" s="216">
        <f t="shared" si="7"/>
        <v>0.6040132735963557</v>
      </c>
      <c r="H13" s="216">
        <f t="shared" si="7"/>
        <v>0.5704695385354875</v>
      </c>
      <c r="I13" s="216">
        <f>100%-I12</f>
        <v>0.5401606661407847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L16" sqref="L16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326</v>
      </c>
    </row>
    <row r="2" ht="13.5" customHeight="1">
      <c r="A2" s="229" t="s">
        <v>408</v>
      </c>
    </row>
    <row r="3" ht="13.5" customHeight="1"/>
    <row r="4" spans="1:5" ht="13.5" customHeight="1">
      <c r="A4" s="224" t="s">
        <v>204</v>
      </c>
      <c r="B4" s="253" t="s">
        <v>89</v>
      </c>
      <c r="C4" s="253">
        <v>2013</v>
      </c>
      <c r="D4" s="253">
        <v>2014</v>
      </c>
      <c r="E4" s="253" t="s">
        <v>168</v>
      </c>
    </row>
    <row r="5" spans="1:5" ht="13.5" customHeight="1">
      <c r="A5" s="220" t="s">
        <v>308</v>
      </c>
      <c r="B5" s="221">
        <f>'1-Ф3'!B20</f>
        <v>5424.692480000001</v>
      </c>
      <c r="C5" s="221">
        <f>'1-Ф3'!P20</f>
        <v>5424.692480000001</v>
      </c>
      <c r="D5" s="221">
        <f>'1-Ф3'!AC20</f>
        <v>0</v>
      </c>
      <c r="E5" s="226">
        <f>B5/$B$7</f>
        <v>0.6456702964001263</v>
      </c>
    </row>
    <row r="6" spans="1:5" ht="13.5" customHeight="1">
      <c r="A6" s="220" t="s">
        <v>167</v>
      </c>
      <c r="B6" s="221">
        <f>'1-Ф3'!B26-'1-Ф3'!B20</f>
        <v>2976.9523072</v>
      </c>
      <c r="C6" s="221">
        <f>'1-Ф3'!P26-'1-Ф3'!P20</f>
        <v>761.5509888000006</v>
      </c>
      <c r="D6" s="221">
        <f>'1-Ф3'!AC26-'1-Ф3'!AC20</f>
        <v>2215.4013184000005</v>
      </c>
      <c r="E6" s="226">
        <f>B6/$B$7</f>
        <v>0.3543297035998737</v>
      </c>
    </row>
    <row r="7" spans="1:5" ht="13.5" customHeight="1">
      <c r="A7" s="222" t="s">
        <v>89</v>
      </c>
      <c r="B7" s="223">
        <f>SUM(B5:B6)</f>
        <v>8401.6447872</v>
      </c>
      <c r="C7" s="223">
        <f>SUM(C5:C6)</f>
        <v>6186.243468800001</v>
      </c>
      <c r="D7" s="223">
        <f>SUM(D5:D6)</f>
        <v>2215.4013184000005</v>
      </c>
      <c r="E7" s="227">
        <f>SUM(E5:E6)</f>
        <v>1</v>
      </c>
    </row>
    <row r="8" spans="1:2" ht="13.5" customHeight="1">
      <c r="A8" s="74"/>
      <c r="B8" s="75"/>
    </row>
    <row r="9" spans="1:5" ht="13.5" customHeight="1">
      <c r="A9" s="224" t="s">
        <v>205</v>
      </c>
      <c r="B9" s="253" t="s">
        <v>89</v>
      </c>
      <c r="C9" s="253">
        <f>C4</f>
        <v>2013</v>
      </c>
      <c r="D9" s="253">
        <f>D4</f>
        <v>2014</v>
      </c>
      <c r="E9" s="225" t="s">
        <v>168</v>
      </c>
    </row>
    <row r="10" spans="1:12" ht="12.75">
      <c r="A10" s="220" t="s">
        <v>307</v>
      </c>
      <c r="B10" s="221">
        <f>'1-Ф3'!B27</f>
        <v>2976.9523072000006</v>
      </c>
      <c r="C10" s="221">
        <f>'1-Ф3'!P27</f>
        <v>761.5509888000001</v>
      </c>
      <c r="D10" s="221">
        <f>'1-Ф3'!AC27</f>
        <v>2215.4013184000005</v>
      </c>
      <c r="E10" s="226">
        <f>B10/$B$12</f>
        <v>0.35432970359987376</v>
      </c>
      <c r="K10" s="299">
        <f>B10/Исх!$C$5</f>
        <v>19.47629903303893</v>
      </c>
      <c r="L10" s="300" t="s">
        <v>98</v>
      </c>
    </row>
    <row r="11" spans="1:12" ht="13.5" customHeight="1">
      <c r="A11" s="220" t="s">
        <v>104</v>
      </c>
      <c r="B11" s="221">
        <f>'1-Ф3'!B28</f>
        <v>5424.692480000001</v>
      </c>
      <c r="C11" s="221">
        <f>'1-Ф3'!P28</f>
        <v>5424.692480000001</v>
      </c>
      <c r="D11" s="221">
        <f>'1-Ф3'!AC28</f>
        <v>0</v>
      </c>
      <c r="E11" s="226">
        <f>B11/$B$12</f>
        <v>0.6456702964001263</v>
      </c>
      <c r="K11" s="299">
        <f>B11/Исх!$C$5</f>
        <v>35.49030081779523</v>
      </c>
      <c r="L11" s="300" t="s">
        <v>98</v>
      </c>
    </row>
    <row r="12" spans="1:5" ht="12.75">
      <c r="A12" s="222" t="s">
        <v>89</v>
      </c>
      <c r="B12" s="223">
        <f>SUM(B10:B11)</f>
        <v>8401.6447872</v>
      </c>
      <c r="C12" s="223">
        <f>SUM(C10:C11)</f>
        <v>6186.243468800001</v>
      </c>
      <c r="D12" s="223">
        <f>SUM(D10:D11)</f>
        <v>2215.4013184000005</v>
      </c>
      <c r="E12" s="227">
        <f>SUM(E10:E11)</f>
        <v>1</v>
      </c>
    </row>
    <row r="13" spans="1:2" ht="12.75">
      <c r="A13" s="77"/>
      <c r="B13" s="76"/>
    </row>
    <row r="14" spans="1:2" ht="12.75">
      <c r="A14" s="298" t="s">
        <v>271</v>
      </c>
      <c r="B14" s="76"/>
    </row>
    <row r="15" spans="1:2" ht="12.75">
      <c r="A15" s="272" t="s">
        <v>270</v>
      </c>
      <c r="B15" s="273" t="s">
        <v>8</v>
      </c>
    </row>
    <row r="16" spans="1:2" ht="12.75">
      <c r="A16" s="220" t="s">
        <v>169</v>
      </c>
      <c r="B16" s="221" t="s">
        <v>170</v>
      </c>
    </row>
    <row r="17" spans="1:2" ht="12.75">
      <c r="A17" s="220" t="s">
        <v>171</v>
      </c>
      <c r="B17" s="277">
        <f>Исх!C36</f>
        <v>0.07</v>
      </c>
    </row>
    <row r="18" spans="1:2" ht="12.75">
      <c r="A18" s="220" t="s">
        <v>194</v>
      </c>
      <c r="B18" s="228">
        <f>Исх!C37</f>
        <v>7</v>
      </c>
    </row>
    <row r="19" spans="1:2" ht="12.75">
      <c r="A19" s="220" t="s">
        <v>172</v>
      </c>
      <c r="B19" s="221" t="s">
        <v>173</v>
      </c>
    </row>
    <row r="20" spans="1:2" ht="12.75">
      <c r="A20" s="220" t="s">
        <v>174</v>
      </c>
      <c r="B20" s="221">
        <f>Исх!C38</f>
        <v>9</v>
      </c>
    </row>
    <row r="21" spans="1:2" ht="12.75">
      <c r="A21" s="220" t="s">
        <v>175</v>
      </c>
      <c r="B21" s="221">
        <f>Исх!C39</f>
        <v>3</v>
      </c>
    </row>
    <row r="22" spans="1:2" ht="12.75">
      <c r="A22" s="220" t="s">
        <v>336</v>
      </c>
      <c r="B22" s="221" t="s">
        <v>253</v>
      </c>
    </row>
    <row r="24" spans="1:2" ht="12.75">
      <c r="A24" s="298" t="s">
        <v>254</v>
      </c>
      <c r="B24" s="71"/>
    </row>
    <row r="25" spans="1:8" ht="12.75">
      <c r="A25" s="224" t="s">
        <v>28</v>
      </c>
      <c r="B25" s="289">
        <v>2014</v>
      </c>
      <c r="C25" s="253">
        <f aca="true" t="shared" si="0" ref="C25:H25">B25+1</f>
        <v>2015</v>
      </c>
      <c r="D25" s="289">
        <f t="shared" si="0"/>
        <v>2016</v>
      </c>
      <c r="E25" s="289">
        <f t="shared" si="0"/>
        <v>2017</v>
      </c>
      <c r="F25" s="289">
        <f t="shared" si="0"/>
        <v>2018</v>
      </c>
      <c r="G25" s="289">
        <f t="shared" si="0"/>
        <v>2019</v>
      </c>
      <c r="H25" s="289">
        <f t="shared" si="0"/>
        <v>2020</v>
      </c>
    </row>
    <row r="26" spans="1:8" ht="12.75">
      <c r="A26" s="220" t="s">
        <v>272</v>
      </c>
      <c r="B26" s="221">
        <f>'2-ф2'!AC5</f>
        <v>26013.950892857134</v>
      </c>
      <c r="C26" s="221">
        <f>'2-ф2'!AP5</f>
        <v>39508.92857142858</v>
      </c>
      <c r="D26" s="221">
        <f>'2-ф2'!AQ5</f>
        <v>42857.14285714285</v>
      </c>
      <c r="E26" s="221">
        <f>'2-ф2'!AR5</f>
        <v>45535.71428571428</v>
      </c>
      <c r="F26" s="221">
        <f>'2-ф2'!AS5</f>
        <v>48214.28571428571</v>
      </c>
      <c r="G26" s="221">
        <f>'2-ф2'!AT5</f>
        <v>50892.85714285714</v>
      </c>
      <c r="H26" s="221">
        <f>'2-ф2'!AU5</f>
        <v>53571.428571428565</v>
      </c>
    </row>
    <row r="27" spans="1:8" ht="12.75">
      <c r="A27" s="220" t="s">
        <v>273</v>
      </c>
      <c r="B27" s="221">
        <f>'2-ф2'!AC9</f>
        <v>19410.300884507134</v>
      </c>
      <c r="C27" s="221">
        <f>'2-ф2'!AP9</f>
        <v>29479.57403142858</v>
      </c>
      <c r="D27" s="221">
        <f>'2-ф2'!AQ9</f>
        <v>31977.843017142848</v>
      </c>
      <c r="E27" s="221">
        <f>'2-ф2'!AR9</f>
        <v>33976.45820571428</v>
      </c>
      <c r="F27" s="221">
        <f>'2-ф2'!AS9</f>
        <v>35975.073394285704</v>
      </c>
      <c r="G27" s="221">
        <f>'2-ф2'!AT9</f>
        <v>37973.68858285714</v>
      </c>
      <c r="H27" s="221">
        <f>'2-ф2'!AU9</f>
        <v>39972.30377142856</v>
      </c>
    </row>
    <row r="28" spans="1:8" ht="12.75">
      <c r="A28" s="220" t="s">
        <v>274</v>
      </c>
      <c r="B28" s="221">
        <f>'2-ф2'!AC15</f>
        <v>-2530.499131391376</v>
      </c>
      <c r="C28" s="221">
        <f>'2-ф2'!AP15</f>
        <v>6573.768497093732</v>
      </c>
      <c r="D28" s="221">
        <f>'2-ф2'!AQ15</f>
        <v>8102.726141446285</v>
      </c>
      <c r="E28" s="221">
        <f>'2-ф2'!AR15</f>
        <v>9747.949061414189</v>
      </c>
      <c r="F28" s="221">
        <f>'2-ф2'!AS15</f>
        <v>11396.52123642723</v>
      </c>
      <c r="G28" s="221">
        <f>'2-ф2'!AT15</f>
        <v>13048.684784403453</v>
      </c>
      <c r="H28" s="221">
        <f>'2-ф2'!AU15</f>
        <v>14704.670031257521</v>
      </c>
    </row>
    <row r="29" spans="1:8" ht="12.75">
      <c r="A29" s="220" t="s">
        <v>275</v>
      </c>
      <c r="B29" s="226">
        <f>B28/B26</f>
        <v>-0.09727469471337383</v>
      </c>
      <c r="C29" s="226">
        <f aca="true" t="shared" si="1" ref="C29:H29">C28/C26</f>
        <v>0.16638690885299384</v>
      </c>
      <c r="D29" s="226">
        <f t="shared" si="1"/>
        <v>0.18906360996708002</v>
      </c>
      <c r="E29" s="226">
        <f t="shared" si="1"/>
        <v>0.21407260683889984</v>
      </c>
      <c r="F29" s="226">
        <f t="shared" si="1"/>
        <v>0.2363722923110833</v>
      </c>
      <c r="G29" s="226">
        <f t="shared" si="1"/>
        <v>0.2563952097988047</v>
      </c>
      <c r="H29" s="226">
        <f t="shared" si="1"/>
        <v>0.2744871739168071</v>
      </c>
    </row>
    <row r="30" spans="1:8" ht="12.75">
      <c r="A30" s="222" t="s">
        <v>309</v>
      </c>
      <c r="B30" s="223">
        <f>'1-Ф3'!AC33</f>
        <v>285.53540729893075</v>
      </c>
      <c r="C30" s="223">
        <f>'1-Ф3'!AP33</f>
        <v>6310.999203156443</v>
      </c>
      <c r="D30" s="223">
        <f>'1-Ф3'!AQ33</f>
        <v>7785.947710968055</v>
      </c>
      <c r="E30" s="223">
        <f>'1-Ф3'!AR33</f>
        <v>9373.257169547516</v>
      </c>
      <c r="F30" s="223">
        <f>'1-Ф3'!AS33</f>
        <v>10959.729314365675</v>
      </c>
      <c r="G30" s="223">
        <f>'1-Ф3'!AT33</f>
        <v>12545.30361594306</v>
      </c>
      <c r="H30" s="223">
        <f>'1-Ф3'!AU33</f>
        <v>14227.275050483304</v>
      </c>
    </row>
    <row r="32" spans="1:2" ht="12.75">
      <c r="A32" s="298" t="s">
        <v>276</v>
      </c>
      <c r="B32" s="71"/>
    </row>
    <row r="33" spans="1:2" ht="12.75">
      <c r="A33" s="224" t="s">
        <v>333</v>
      </c>
      <c r="B33" s="289">
        <f>'1-Ф3'!BA34</f>
        <v>2018</v>
      </c>
    </row>
    <row r="34" spans="1:2" ht="12.75">
      <c r="A34" s="220" t="s">
        <v>176</v>
      </c>
      <c r="B34" s="226">
        <f>'1-Ф3'!BA47</f>
        <v>0.6562612260990199</v>
      </c>
    </row>
    <row r="35" spans="1:2" ht="12.75">
      <c r="A35" s="220" t="s">
        <v>177</v>
      </c>
      <c r="B35" s="221">
        <f>'1-Ф3'!BA45</f>
        <v>17510.071817174714</v>
      </c>
    </row>
    <row r="36" spans="1:2" ht="12.75">
      <c r="A36" s="220" t="s">
        <v>310</v>
      </c>
      <c r="B36" s="228">
        <f>'1-Ф3'!BA46</f>
        <v>3.3675284230091593</v>
      </c>
    </row>
    <row r="37" spans="1:2" ht="12.75">
      <c r="A37" s="220" t="s">
        <v>178</v>
      </c>
      <c r="B37" s="228">
        <f>'1-Ф3'!B48</f>
        <v>2.0167188353221133</v>
      </c>
    </row>
    <row r="38" spans="1:2" ht="12.75">
      <c r="A38" s="220" t="s">
        <v>179</v>
      </c>
      <c r="B38" s="228">
        <f>'1-Ф3'!B49</f>
        <v>2.210667551072105</v>
      </c>
    </row>
    <row r="40" ht="12.75">
      <c r="A40" s="229" t="s">
        <v>277</v>
      </c>
    </row>
    <row r="41" spans="1:8" ht="12.75">
      <c r="A41" s="224" t="s">
        <v>28</v>
      </c>
      <c r="B41" s="289">
        <v>2014</v>
      </c>
      <c r="C41" s="225">
        <f aca="true" t="shared" si="2" ref="C41:H41">B41+1</f>
        <v>2015</v>
      </c>
      <c r="D41" s="289">
        <f t="shared" si="2"/>
        <v>2016</v>
      </c>
      <c r="E41" s="289">
        <f t="shared" si="2"/>
        <v>2017</v>
      </c>
      <c r="F41" s="289">
        <f t="shared" si="2"/>
        <v>2018</v>
      </c>
      <c r="G41" s="289">
        <f t="shared" si="2"/>
        <v>2019</v>
      </c>
      <c r="H41" s="289">
        <f t="shared" si="2"/>
        <v>2020</v>
      </c>
    </row>
    <row r="42" spans="1:8" ht="12.75">
      <c r="A42" s="220" t="s">
        <v>200</v>
      </c>
      <c r="B42" s="226">
        <f>Производство!AC6</f>
        <v>0.5125000000000001</v>
      </c>
      <c r="C42" s="226">
        <f>Производство!AP6</f>
        <v>0.7375000000000002</v>
      </c>
      <c r="D42" s="226">
        <f>Производство!AQ6</f>
        <v>0.8</v>
      </c>
      <c r="E42" s="226">
        <f>Производство!AR6</f>
        <v>0.85</v>
      </c>
      <c r="F42" s="226">
        <f>Производство!AS6</f>
        <v>0.9</v>
      </c>
      <c r="G42" s="226">
        <f>Производство!AT6</f>
        <v>0.95</v>
      </c>
      <c r="H42" s="226">
        <f>Производство!AU6</f>
        <v>1</v>
      </c>
    </row>
    <row r="43" spans="1:8" ht="12.75">
      <c r="A43" s="220" t="s">
        <v>409</v>
      </c>
      <c r="B43" s="221">
        <f>Производство!AC7</f>
        <v>3075</v>
      </c>
      <c r="C43" s="221">
        <f>Производство!AP7</f>
        <v>4425</v>
      </c>
      <c r="D43" s="221">
        <f>Производство!AQ7</f>
        <v>4800</v>
      </c>
      <c r="E43" s="221">
        <f>Производство!AR7</f>
        <v>5100</v>
      </c>
      <c r="F43" s="221">
        <f>Производство!AS7</f>
        <v>5400</v>
      </c>
      <c r="G43" s="221">
        <f>Производство!AT7</f>
        <v>5700</v>
      </c>
      <c r="H43" s="221">
        <f>Производство!AU7</f>
        <v>6000</v>
      </c>
    </row>
    <row r="45" ht="12.75">
      <c r="A45" s="229" t="s">
        <v>180</v>
      </c>
    </row>
    <row r="46" spans="1:8" ht="12.75">
      <c r="A46" s="377" t="s">
        <v>181</v>
      </c>
      <c r="B46" s="379" t="s">
        <v>285</v>
      </c>
      <c r="C46" s="379"/>
      <c r="D46" s="379"/>
      <c r="E46" s="379"/>
      <c r="F46" s="379"/>
      <c r="G46" s="379"/>
      <c r="H46" s="309" t="s">
        <v>311</v>
      </c>
    </row>
    <row r="47" spans="1:8" ht="12.75">
      <c r="A47" s="378"/>
      <c r="B47" s="289" t="s">
        <v>278</v>
      </c>
      <c r="C47" s="289" t="s">
        <v>279</v>
      </c>
      <c r="D47" s="289" t="s">
        <v>280</v>
      </c>
      <c r="E47" s="289" t="s">
        <v>281</v>
      </c>
      <c r="F47" s="289" t="s">
        <v>282</v>
      </c>
      <c r="G47" s="289" t="s">
        <v>283</v>
      </c>
      <c r="H47" s="289" t="s">
        <v>284</v>
      </c>
    </row>
    <row r="48" spans="1:8" ht="25.5">
      <c r="A48" s="230" t="s">
        <v>255</v>
      </c>
      <c r="B48" s="231"/>
      <c r="C48" s="231"/>
      <c r="D48" s="226"/>
      <c r="E48" s="226"/>
      <c r="F48" s="226"/>
      <c r="G48" s="226"/>
      <c r="H48" s="226"/>
    </row>
    <row r="49" spans="1:8" ht="12.75">
      <c r="A49" s="220" t="s">
        <v>325</v>
      </c>
      <c r="B49" s="226"/>
      <c r="C49" s="231"/>
      <c r="D49" s="231"/>
      <c r="E49" s="226"/>
      <c r="F49" s="226"/>
      <c r="G49" s="226"/>
      <c r="H49" s="226"/>
    </row>
    <row r="50" spans="1:8" ht="12.75">
      <c r="A50" s="220" t="s">
        <v>182</v>
      </c>
      <c r="B50" s="226"/>
      <c r="C50" s="226"/>
      <c r="D50" s="231"/>
      <c r="E50" s="226"/>
      <c r="F50" s="226"/>
      <c r="G50" s="226"/>
      <c r="H50" s="226"/>
    </row>
    <row r="51" spans="1:8" ht="12.75">
      <c r="A51" s="220" t="s">
        <v>183</v>
      </c>
      <c r="B51" s="226"/>
      <c r="C51" s="226"/>
      <c r="D51" s="231"/>
      <c r="E51" s="231"/>
      <c r="F51" s="226"/>
      <c r="G51" s="226"/>
      <c r="H51" s="226"/>
    </row>
    <row r="52" spans="1:8" ht="12.75">
      <c r="A52" s="220" t="s">
        <v>312</v>
      </c>
      <c r="B52" s="226"/>
      <c r="C52" s="226"/>
      <c r="D52" s="226"/>
      <c r="E52" s="231"/>
      <c r="F52" s="226"/>
      <c r="G52" s="226"/>
      <c r="H52" s="226"/>
    </row>
    <row r="53" spans="1:8" ht="12.75">
      <c r="A53" s="220" t="s">
        <v>315</v>
      </c>
      <c r="B53" s="226"/>
      <c r="C53" s="226"/>
      <c r="D53" s="226"/>
      <c r="E53" s="226"/>
      <c r="F53" s="231"/>
      <c r="G53" s="226"/>
      <c r="H53" s="226"/>
    </row>
    <row r="54" spans="1:8" ht="12.75">
      <c r="A54" s="220" t="s">
        <v>323</v>
      </c>
      <c r="B54" s="226"/>
      <c r="C54" s="226"/>
      <c r="D54" s="226"/>
      <c r="E54" s="226"/>
      <c r="F54" s="226"/>
      <c r="G54" s="231"/>
      <c r="H54" s="226"/>
    </row>
    <row r="55" spans="1:8" ht="12.75">
      <c r="A55" s="220" t="s">
        <v>324</v>
      </c>
      <c r="B55" s="221"/>
      <c r="C55" s="226"/>
      <c r="D55" s="226"/>
      <c r="E55" s="226"/>
      <c r="F55" s="226"/>
      <c r="G55" s="231"/>
      <c r="H55" s="226"/>
    </row>
    <row r="56" spans="1:8" ht="12.75">
      <c r="A56" s="220" t="s">
        <v>313</v>
      </c>
      <c r="B56" s="221"/>
      <c r="C56" s="226"/>
      <c r="D56" s="226"/>
      <c r="E56" s="226"/>
      <c r="F56" s="226"/>
      <c r="G56" s="226"/>
      <c r="H56" s="231"/>
    </row>
    <row r="57" spans="1:8" ht="12.75">
      <c r="A57" s="220" t="s">
        <v>314</v>
      </c>
      <c r="B57" s="221"/>
      <c r="C57" s="221"/>
      <c r="D57" s="226"/>
      <c r="E57" s="226"/>
      <c r="F57" s="226"/>
      <c r="G57" s="226"/>
      <c r="H57" s="231"/>
    </row>
    <row r="59" ht="12.75">
      <c r="A59" s="229" t="s">
        <v>186</v>
      </c>
    </row>
    <row r="61" spans="1:2" ht="12.75">
      <c r="A61" s="272" t="s">
        <v>188</v>
      </c>
      <c r="B61" s="273" t="s">
        <v>189</v>
      </c>
    </row>
    <row r="62" spans="1:2" ht="12.75">
      <c r="A62" s="220" t="s">
        <v>41</v>
      </c>
      <c r="B62" s="221">
        <f>'1-Ф3'!B16</f>
        <v>21204.34905205714</v>
      </c>
    </row>
    <row r="63" spans="1:2" ht="12.75">
      <c r="A63" s="220" t="str">
        <f>'2-ф2'!A14</f>
        <v>Корпоративный подоходный налог</v>
      </c>
      <c r="B63" s="221">
        <f>'1-Ф3'!B15</f>
        <v>15252.498871196092</v>
      </c>
    </row>
    <row r="64" spans="1:2" ht="12.75">
      <c r="A64" s="220" t="s">
        <v>187</v>
      </c>
      <c r="B64" s="221">
        <f>(ФОТ!K29-ФОТ!J29)*12*7</f>
        <v>24423.168000000016</v>
      </c>
    </row>
    <row r="65" spans="1:2" ht="12.75">
      <c r="A65" s="220" t="s">
        <v>322</v>
      </c>
      <c r="B65" s="221">
        <f>SUM(Пост!C21:I21)*12</f>
        <v>111.99999999999999</v>
      </c>
    </row>
    <row r="66" spans="1:2" ht="12.75">
      <c r="A66" s="222" t="s">
        <v>0</v>
      </c>
      <c r="B66" s="223">
        <f>SUM(B62:B65)</f>
        <v>60992.015923253246</v>
      </c>
    </row>
  </sheetData>
  <sheetProtection/>
  <mergeCells count="2">
    <mergeCell ref="A46:A47"/>
    <mergeCell ref="B46:G46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0"/>
  <sheetViews>
    <sheetView showGridLines="0" showZeros="0" zoomScalePageLayoutView="0" workbookViewId="0" topLeftCell="A1">
      <pane xSplit="3" ySplit="4" topLeftCell="J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110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37" t="s">
        <v>3</v>
      </c>
      <c r="B3" s="341" t="s">
        <v>89</v>
      </c>
      <c r="C3" s="91"/>
      <c r="D3" s="336">
        <v>2013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>
        <v>2014</v>
      </c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28">
        <v>2015</v>
      </c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30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38"/>
      <c r="B4" s="341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111</v>
      </c>
      <c r="AR4" s="90" t="s">
        <v>111</v>
      </c>
      <c r="AS4" s="90" t="s">
        <v>111</v>
      </c>
      <c r="AT4" s="90" t="s">
        <v>111</v>
      </c>
      <c r="AU4" s="90" t="s">
        <v>111</v>
      </c>
    </row>
    <row r="5" spans="1:48" s="89" customFormat="1" ht="15" customHeight="1">
      <c r="A5" s="95" t="s">
        <v>337</v>
      </c>
      <c r="B5" s="96">
        <f>SUM(B6:B6)</f>
        <v>306594.30803571426</v>
      </c>
      <c r="C5" s="97"/>
      <c r="D5" s="97">
        <f aca="true" t="shared" si="3" ref="D5:AU5">SUM(D6:D6)</f>
        <v>0</v>
      </c>
      <c r="E5" s="97">
        <f t="shared" si="3"/>
        <v>0</v>
      </c>
      <c r="F5" s="97">
        <f t="shared" si="3"/>
        <v>0</v>
      </c>
      <c r="G5" s="97">
        <f t="shared" si="3"/>
        <v>0</v>
      </c>
      <c r="H5" s="97">
        <f t="shared" si="3"/>
        <v>0</v>
      </c>
      <c r="I5" s="97">
        <f t="shared" si="3"/>
        <v>0</v>
      </c>
      <c r="J5" s="97">
        <f t="shared" si="3"/>
        <v>0</v>
      </c>
      <c r="K5" s="97">
        <f t="shared" si="3"/>
        <v>0</v>
      </c>
      <c r="L5" s="97">
        <f t="shared" si="3"/>
        <v>0</v>
      </c>
      <c r="M5" s="97">
        <f t="shared" si="3"/>
        <v>0</v>
      </c>
      <c r="N5" s="97">
        <f t="shared" si="3"/>
        <v>0</v>
      </c>
      <c r="O5" s="97">
        <f t="shared" si="3"/>
        <v>0</v>
      </c>
      <c r="P5" s="97">
        <f t="shared" si="3"/>
        <v>0</v>
      </c>
      <c r="Q5" s="97">
        <f t="shared" si="3"/>
        <v>1418.5267857142856</v>
      </c>
      <c r="R5" s="97">
        <f t="shared" si="3"/>
        <v>1715.959821428571</v>
      </c>
      <c r="S5" s="97">
        <f t="shared" si="3"/>
        <v>2287.946428571428</v>
      </c>
      <c r="T5" s="97">
        <f t="shared" si="3"/>
        <v>2287.946428571428</v>
      </c>
      <c r="U5" s="97">
        <f t="shared" si="3"/>
        <v>2287.946428571428</v>
      </c>
      <c r="V5" s="97">
        <f t="shared" si="3"/>
        <v>2287.946428571428</v>
      </c>
      <c r="W5" s="97">
        <f t="shared" si="3"/>
        <v>2287.946428571428</v>
      </c>
      <c r="X5" s="97">
        <f t="shared" si="3"/>
        <v>2287.946428571428</v>
      </c>
      <c r="Y5" s="97">
        <f t="shared" si="3"/>
        <v>2287.946428571428</v>
      </c>
      <c r="Z5" s="97">
        <f t="shared" si="3"/>
        <v>2287.946428571428</v>
      </c>
      <c r="AA5" s="97">
        <f t="shared" si="3"/>
        <v>2287.946428571428</v>
      </c>
      <c r="AB5" s="97">
        <f t="shared" si="3"/>
        <v>2287.946428571428</v>
      </c>
      <c r="AC5" s="97">
        <f t="shared" si="3"/>
        <v>26013.950892857134</v>
      </c>
      <c r="AD5" s="97">
        <f t="shared" si="3"/>
        <v>3292.410714285714</v>
      </c>
      <c r="AE5" s="97">
        <f t="shared" si="3"/>
        <v>3292.410714285714</v>
      </c>
      <c r="AF5" s="97">
        <f t="shared" si="3"/>
        <v>3292.410714285714</v>
      </c>
      <c r="AG5" s="97">
        <f t="shared" si="3"/>
        <v>3292.410714285714</v>
      </c>
      <c r="AH5" s="97">
        <f t="shared" si="3"/>
        <v>3292.410714285714</v>
      </c>
      <c r="AI5" s="97">
        <f t="shared" si="3"/>
        <v>3292.410714285714</v>
      </c>
      <c r="AJ5" s="97">
        <f t="shared" si="3"/>
        <v>3292.410714285714</v>
      </c>
      <c r="AK5" s="97">
        <f t="shared" si="3"/>
        <v>3292.410714285714</v>
      </c>
      <c r="AL5" s="97">
        <f t="shared" si="3"/>
        <v>3292.410714285714</v>
      </c>
      <c r="AM5" s="97">
        <f t="shared" si="3"/>
        <v>3292.410714285714</v>
      </c>
      <c r="AN5" s="97">
        <f t="shared" si="3"/>
        <v>3292.410714285714</v>
      </c>
      <c r="AO5" s="97">
        <f t="shared" si="3"/>
        <v>3292.410714285714</v>
      </c>
      <c r="AP5" s="97">
        <f t="shared" si="3"/>
        <v>39508.92857142858</v>
      </c>
      <c r="AQ5" s="97">
        <f t="shared" si="3"/>
        <v>42857.14285714285</v>
      </c>
      <c r="AR5" s="97">
        <f t="shared" si="3"/>
        <v>45535.71428571428</v>
      </c>
      <c r="AS5" s="97">
        <f t="shared" si="3"/>
        <v>48214.28571428571</v>
      </c>
      <c r="AT5" s="97">
        <f t="shared" si="3"/>
        <v>50892.85714285714</v>
      </c>
      <c r="AU5" s="97">
        <f t="shared" si="3"/>
        <v>53571.428571428565</v>
      </c>
      <c r="AV5" s="98"/>
    </row>
    <row r="6" spans="1:48" s="89" customFormat="1" ht="12.75">
      <c r="A6" s="291" t="str">
        <f>Дох!A6</f>
        <v>Стул офисный</v>
      </c>
      <c r="B6" s="96">
        <f>P6+AC6+AP6+AQ6+AR6+AS6+AT6+AU6</f>
        <v>306594.30803571426</v>
      </c>
      <c r="C6" s="97"/>
      <c r="D6" s="99">
        <f>Производство!D10*Дох!$C6/1000</f>
        <v>0</v>
      </c>
      <c r="E6" s="99">
        <f>Производство!E10*Дох!$C6/1000</f>
        <v>0</v>
      </c>
      <c r="F6" s="99">
        <f>Производство!F10*Дох!$C6/1000</f>
        <v>0</v>
      </c>
      <c r="G6" s="99">
        <f>Производство!G10*Дох!$C6/1000</f>
        <v>0</v>
      </c>
      <c r="H6" s="99">
        <f>Производство!H10*Дох!$C6/1000</f>
        <v>0</v>
      </c>
      <c r="I6" s="99">
        <f>Производство!I10*Дох!$C6/1000</f>
        <v>0</v>
      </c>
      <c r="J6" s="99">
        <f>Производство!J10*Дох!$C6/1000</f>
        <v>0</v>
      </c>
      <c r="K6" s="99">
        <f>Производство!K10*Дох!$C6/1000</f>
        <v>0</v>
      </c>
      <c r="L6" s="99">
        <f>Производство!L10*Дох!$C6/1000</f>
        <v>0</v>
      </c>
      <c r="M6" s="99">
        <f>Производство!M10*Дох!$C6/1000</f>
        <v>0</v>
      </c>
      <c r="N6" s="99">
        <f>Производство!N10*Дох!$C6/1000</f>
        <v>0</v>
      </c>
      <c r="O6" s="99">
        <f>Производство!O10*Дох!$C6/1000</f>
        <v>0</v>
      </c>
      <c r="P6" s="97">
        <f>SUM(D6:O6)</f>
        <v>0</v>
      </c>
      <c r="Q6" s="99">
        <f>Производство!Q10*Дох!$C6/1000</f>
        <v>1418.5267857142856</v>
      </c>
      <c r="R6" s="99">
        <f>Производство!R10*Дох!$C6/1000</f>
        <v>1715.959821428571</v>
      </c>
      <c r="S6" s="99">
        <f>Производство!S10*Дох!$C6/1000</f>
        <v>2287.946428571428</v>
      </c>
      <c r="T6" s="99">
        <f>Производство!T10*Дох!$C6/1000</f>
        <v>2287.946428571428</v>
      </c>
      <c r="U6" s="99">
        <f>Производство!U10*Дох!$C6/1000</f>
        <v>2287.946428571428</v>
      </c>
      <c r="V6" s="99">
        <f>Производство!V10*Дох!$C6/1000</f>
        <v>2287.946428571428</v>
      </c>
      <c r="W6" s="99">
        <f>Производство!W10*Дох!$C6/1000</f>
        <v>2287.946428571428</v>
      </c>
      <c r="X6" s="99">
        <f>Производство!X10*Дох!$C6/1000</f>
        <v>2287.946428571428</v>
      </c>
      <c r="Y6" s="99">
        <f>Производство!Y10*Дох!$C6/1000</f>
        <v>2287.946428571428</v>
      </c>
      <c r="Z6" s="99">
        <f>Производство!Z10*Дох!$C6/1000</f>
        <v>2287.946428571428</v>
      </c>
      <c r="AA6" s="99">
        <f>Производство!AA10*Дох!$C6/1000</f>
        <v>2287.946428571428</v>
      </c>
      <c r="AB6" s="99">
        <f>Производство!AB10*Дох!$C6/1000</f>
        <v>2287.946428571428</v>
      </c>
      <c r="AC6" s="97">
        <f>SUM(Q6:AB6)</f>
        <v>26013.950892857134</v>
      </c>
      <c r="AD6" s="99">
        <f>Производство!AD10*Дох!$C6/1000</f>
        <v>3292.410714285714</v>
      </c>
      <c r="AE6" s="99">
        <f>Производство!AE10*Дох!$C6/1000</f>
        <v>3292.410714285714</v>
      </c>
      <c r="AF6" s="99">
        <f>Производство!AF10*Дох!$C6/1000</f>
        <v>3292.410714285714</v>
      </c>
      <c r="AG6" s="99">
        <f>Производство!AG10*Дох!$C6/1000</f>
        <v>3292.410714285714</v>
      </c>
      <c r="AH6" s="99">
        <f>Производство!AH10*Дох!$C6/1000</f>
        <v>3292.410714285714</v>
      </c>
      <c r="AI6" s="99">
        <f>Производство!AI10*Дох!$C6/1000</f>
        <v>3292.410714285714</v>
      </c>
      <c r="AJ6" s="99">
        <f>Производство!AJ10*Дох!$C6/1000</f>
        <v>3292.410714285714</v>
      </c>
      <c r="AK6" s="99">
        <f>Производство!AK10*Дох!$C6/1000</f>
        <v>3292.410714285714</v>
      </c>
      <c r="AL6" s="99">
        <f>Производство!AL10*Дох!$C6/1000</f>
        <v>3292.410714285714</v>
      </c>
      <c r="AM6" s="99">
        <f>Производство!AM10*Дох!$C6/1000</f>
        <v>3292.410714285714</v>
      </c>
      <c r="AN6" s="99">
        <f>Производство!AN10*Дох!$C6/1000</f>
        <v>3292.410714285714</v>
      </c>
      <c r="AO6" s="99">
        <f>Производство!AO10*Дох!$C6/1000</f>
        <v>3292.410714285714</v>
      </c>
      <c r="AP6" s="97">
        <f>SUM(AD6:AO6)</f>
        <v>39508.92857142858</v>
      </c>
      <c r="AQ6" s="99">
        <f>Производство!AQ10*Дох!$C6/1000</f>
        <v>42857.14285714285</v>
      </c>
      <c r="AR6" s="99">
        <f>Производство!AR10*Дох!$C6/1000</f>
        <v>45535.71428571428</v>
      </c>
      <c r="AS6" s="99">
        <f>Производство!AS10*Дох!$C6/1000</f>
        <v>48214.28571428571</v>
      </c>
      <c r="AT6" s="99">
        <f>Производство!AT10*Дох!$C6/1000</f>
        <v>50892.85714285714</v>
      </c>
      <c r="AU6" s="99">
        <f>Производство!AU10*Дох!$C6/1000</f>
        <v>53571.428571428565</v>
      </c>
      <c r="AV6" s="98"/>
    </row>
    <row r="7" spans="1:47" ht="15" customHeight="1">
      <c r="A7" s="95" t="s">
        <v>338</v>
      </c>
      <c r="B7" s="96">
        <f>SUM(B8:B8)</f>
        <v>77829.06614835</v>
      </c>
      <c r="C7" s="97"/>
      <c r="D7" s="97">
        <f aca="true" t="shared" si="4" ref="D7:AU7">SUM(D8:D8)</f>
        <v>0</v>
      </c>
      <c r="E7" s="97">
        <f t="shared" si="4"/>
        <v>0</v>
      </c>
      <c r="F7" s="97">
        <f t="shared" si="4"/>
        <v>0</v>
      </c>
      <c r="G7" s="97">
        <f t="shared" si="4"/>
        <v>0</v>
      </c>
      <c r="H7" s="97">
        <f t="shared" si="4"/>
        <v>0</v>
      </c>
      <c r="I7" s="97">
        <f t="shared" si="4"/>
        <v>0</v>
      </c>
      <c r="J7" s="97">
        <f t="shared" si="4"/>
        <v>0</v>
      </c>
      <c r="K7" s="97">
        <f t="shared" si="4"/>
        <v>0</v>
      </c>
      <c r="L7" s="97">
        <f t="shared" si="4"/>
        <v>0</v>
      </c>
      <c r="M7" s="97">
        <f t="shared" si="4"/>
        <v>0</v>
      </c>
      <c r="N7" s="97">
        <f t="shared" si="4"/>
        <v>0</v>
      </c>
      <c r="O7" s="97">
        <f t="shared" si="4"/>
        <v>0</v>
      </c>
      <c r="P7" s="97">
        <f t="shared" si="4"/>
        <v>0</v>
      </c>
      <c r="Q7" s="97">
        <f t="shared" si="4"/>
        <v>360.09349210000005</v>
      </c>
      <c r="R7" s="97">
        <f t="shared" si="4"/>
        <v>435.59696625000004</v>
      </c>
      <c r="S7" s="97">
        <f t="shared" si="4"/>
        <v>580.795955</v>
      </c>
      <c r="T7" s="97">
        <f t="shared" si="4"/>
        <v>580.795955</v>
      </c>
      <c r="U7" s="97">
        <f t="shared" si="4"/>
        <v>580.795955</v>
      </c>
      <c r="V7" s="97">
        <f t="shared" si="4"/>
        <v>580.795955</v>
      </c>
      <c r="W7" s="97">
        <f t="shared" si="4"/>
        <v>580.795955</v>
      </c>
      <c r="X7" s="97">
        <f t="shared" si="4"/>
        <v>580.795955</v>
      </c>
      <c r="Y7" s="97">
        <f t="shared" si="4"/>
        <v>580.795955</v>
      </c>
      <c r="Z7" s="97">
        <f t="shared" si="4"/>
        <v>580.795955</v>
      </c>
      <c r="AA7" s="97">
        <f t="shared" si="4"/>
        <v>580.795955</v>
      </c>
      <c r="AB7" s="97">
        <f t="shared" si="4"/>
        <v>580.795955</v>
      </c>
      <c r="AC7" s="97">
        <f t="shared" si="4"/>
        <v>6603.65000835</v>
      </c>
      <c r="AD7" s="97">
        <f t="shared" si="4"/>
        <v>835.7795450000001</v>
      </c>
      <c r="AE7" s="97">
        <f t="shared" si="4"/>
        <v>835.7795450000001</v>
      </c>
      <c r="AF7" s="97">
        <f t="shared" si="4"/>
        <v>835.7795450000001</v>
      </c>
      <c r="AG7" s="97">
        <f t="shared" si="4"/>
        <v>835.7795450000001</v>
      </c>
      <c r="AH7" s="97">
        <f t="shared" si="4"/>
        <v>835.7795450000001</v>
      </c>
      <c r="AI7" s="97">
        <f t="shared" si="4"/>
        <v>835.7795450000001</v>
      </c>
      <c r="AJ7" s="97">
        <f t="shared" si="4"/>
        <v>835.7795450000001</v>
      </c>
      <c r="AK7" s="97">
        <f t="shared" si="4"/>
        <v>835.7795450000001</v>
      </c>
      <c r="AL7" s="97">
        <f t="shared" si="4"/>
        <v>835.7795450000001</v>
      </c>
      <c r="AM7" s="97">
        <f t="shared" si="4"/>
        <v>835.7795450000001</v>
      </c>
      <c r="AN7" s="97">
        <f t="shared" si="4"/>
        <v>835.7795450000001</v>
      </c>
      <c r="AO7" s="97">
        <f t="shared" si="4"/>
        <v>835.7795450000001</v>
      </c>
      <c r="AP7" s="97">
        <f t="shared" si="4"/>
        <v>10029.35454</v>
      </c>
      <c r="AQ7" s="97">
        <f t="shared" si="4"/>
        <v>10879.299840000001</v>
      </c>
      <c r="AR7" s="97">
        <f t="shared" si="4"/>
        <v>11559.256080000003</v>
      </c>
      <c r="AS7" s="97">
        <f t="shared" si="4"/>
        <v>12239.212320000002</v>
      </c>
      <c r="AT7" s="97">
        <f t="shared" si="4"/>
        <v>12919.16856</v>
      </c>
      <c r="AU7" s="97">
        <f t="shared" si="4"/>
        <v>13599.124800000001</v>
      </c>
    </row>
    <row r="8" spans="1:47" ht="12.75">
      <c r="A8" s="291" t="s">
        <v>199</v>
      </c>
      <c r="B8" s="96">
        <f>P8+AC8+AP8+AQ8+AR8+AS8+AT8+AU8</f>
        <v>77829.06614835</v>
      </c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7">
        <f>SUM(D8:O8)</f>
        <v>0</v>
      </c>
      <c r="Q8" s="99">
        <f>Производство!Q10*'Расх перем'!$F$27/1000</f>
        <v>360.09349210000005</v>
      </c>
      <c r="R8" s="99">
        <f>Производство!R10*'Расх перем'!$F$27/1000</f>
        <v>435.59696625000004</v>
      </c>
      <c r="S8" s="99">
        <f>Производство!S10*'Расх перем'!$F$27/1000</f>
        <v>580.795955</v>
      </c>
      <c r="T8" s="99">
        <f>Производство!T10*'Расх перем'!$F$27/1000</f>
        <v>580.795955</v>
      </c>
      <c r="U8" s="99">
        <f>Производство!U10*'Расх перем'!$F$27/1000</f>
        <v>580.795955</v>
      </c>
      <c r="V8" s="99">
        <f>Производство!V10*'Расх перем'!$F$27/1000</f>
        <v>580.795955</v>
      </c>
      <c r="W8" s="99">
        <f>Производство!W10*'Расх перем'!$F$27/1000</f>
        <v>580.795955</v>
      </c>
      <c r="X8" s="99">
        <f>Производство!X10*'Расх перем'!$F$27/1000</f>
        <v>580.795955</v>
      </c>
      <c r="Y8" s="99">
        <f>Производство!Y10*'Расх перем'!$F$27/1000</f>
        <v>580.795955</v>
      </c>
      <c r="Z8" s="99">
        <f>Производство!Z10*'Расх перем'!$F$27/1000</f>
        <v>580.795955</v>
      </c>
      <c r="AA8" s="99">
        <f>Производство!AA10*'Расх перем'!$F$27/1000</f>
        <v>580.795955</v>
      </c>
      <c r="AB8" s="99">
        <f>Производство!AB10*'Расх перем'!$F$27/1000</f>
        <v>580.795955</v>
      </c>
      <c r="AC8" s="97">
        <f>SUM(Q8:AB8)</f>
        <v>6603.65000835</v>
      </c>
      <c r="AD8" s="99">
        <f>Производство!AD10*'Расх перем'!$F$27/1000</f>
        <v>835.7795450000001</v>
      </c>
      <c r="AE8" s="99">
        <f>Производство!AE10*'Расх перем'!$F$27/1000</f>
        <v>835.7795450000001</v>
      </c>
      <c r="AF8" s="99">
        <f>Производство!AF10*'Расх перем'!$F$27/1000</f>
        <v>835.7795450000001</v>
      </c>
      <c r="AG8" s="99">
        <f>Производство!AG10*'Расх перем'!$F$27/1000</f>
        <v>835.7795450000001</v>
      </c>
      <c r="AH8" s="99">
        <f>Производство!AH10*'Расх перем'!$F$27/1000</f>
        <v>835.7795450000001</v>
      </c>
      <c r="AI8" s="99">
        <f>Производство!AI10*'Расх перем'!$F$27/1000</f>
        <v>835.7795450000001</v>
      </c>
      <c r="AJ8" s="99">
        <f>Производство!AJ10*'Расх перем'!$F$27/1000</f>
        <v>835.7795450000001</v>
      </c>
      <c r="AK8" s="99">
        <f>Производство!AK10*'Расх перем'!$F$27/1000</f>
        <v>835.7795450000001</v>
      </c>
      <c r="AL8" s="99">
        <f>Производство!AL10*'Расх перем'!$F$27/1000</f>
        <v>835.7795450000001</v>
      </c>
      <c r="AM8" s="99">
        <f>Производство!AM10*'Расх перем'!$F$27/1000</f>
        <v>835.7795450000001</v>
      </c>
      <c r="AN8" s="99">
        <f>Производство!AN10*'Расх перем'!$F$27/1000</f>
        <v>835.7795450000001</v>
      </c>
      <c r="AO8" s="99">
        <f>Производство!AO10*'Расх перем'!$F$27/1000</f>
        <v>835.7795450000001</v>
      </c>
      <c r="AP8" s="97">
        <f>SUM(AD8:AO8)</f>
        <v>10029.35454</v>
      </c>
      <c r="AQ8" s="99">
        <f>Производство!AQ10*'Расх перем'!$F$27/1000</f>
        <v>10879.299840000001</v>
      </c>
      <c r="AR8" s="99">
        <f>Производство!AR10*'Расх перем'!$F$27/1000</f>
        <v>11559.256080000003</v>
      </c>
      <c r="AS8" s="99">
        <f>Производство!AS10*'Расх перем'!$F$27/1000</f>
        <v>12239.212320000002</v>
      </c>
      <c r="AT8" s="99">
        <f>Производство!AT10*'Расх перем'!$F$27/1000</f>
        <v>12919.16856</v>
      </c>
      <c r="AU8" s="99">
        <f>Производство!AU10*'Расх перем'!$F$27/1000</f>
        <v>13599.124800000001</v>
      </c>
    </row>
    <row r="9" spans="1:47" s="89" customFormat="1" ht="15" customHeight="1">
      <c r="A9" s="95" t="s">
        <v>17</v>
      </c>
      <c r="B9" s="96">
        <f>B5-B7</f>
        <v>228765.24188736425</v>
      </c>
      <c r="C9" s="100"/>
      <c r="D9" s="97">
        <f aca="true" t="shared" si="5" ref="D9:AU9">D5-D7</f>
        <v>0</v>
      </c>
      <c r="E9" s="97">
        <f t="shared" si="5"/>
        <v>0</v>
      </c>
      <c r="F9" s="97">
        <f t="shared" si="5"/>
        <v>0</v>
      </c>
      <c r="G9" s="97">
        <f t="shared" si="5"/>
        <v>0</v>
      </c>
      <c r="H9" s="97">
        <f t="shared" si="5"/>
        <v>0</v>
      </c>
      <c r="I9" s="97">
        <f t="shared" si="5"/>
        <v>0</v>
      </c>
      <c r="J9" s="97">
        <f t="shared" si="5"/>
        <v>0</v>
      </c>
      <c r="K9" s="97">
        <f t="shared" si="5"/>
        <v>0</v>
      </c>
      <c r="L9" s="97">
        <f t="shared" si="5"/>
        <v>0</v>
      </c>
      <c r="M9" s="97">
        <f t="shared" si="5"/>
        <v>0</v>
      </c>
      <c r="N9" s="97">
        <f t="shared" si="5"/>
        <v>0</v>
      </c>
      <c r="O9" s="97">
        <f t="shared" si="5"/>
        <v>0</v>
      </c>
      <c r="P9" s="97">
        <f t="shared" si="5"/>
        <v>0</v>
      </c>
      <c r="Q9" s="97">
        <f t="shared" si="5"/>
        <v>1058.4332936142855</v>
      </c>
      <c r="R9" s="97">
        <f t="shared" si="5"/>
        <v>1280.362855178571</v>
      </c>
      <c r="S9" s="97">
        <f t="shared" si="5"/>
        <v>1707.150473571428</v>
      </c>
      <c r="T9" s="97">
        <f t="shared" si="5"/>
        <v>1707.150473571428</v>
      </c>
      <c r="U9" s="97">
        <f t="shared" si="5"/>
        <v>1707.150473571428</v>
      </c>
      <c r="V9" s="97">
        <f t="shared" si="5"/>
        <v>1707.150473571428</v>
      </c>
      <c r="W9" s="97">
        <f t="shared" si="5"/>
        <v>1707.150473571428</v>
      </c>
      <c r="X9" s="97">
        <f t="shared" si="5"/>
        <v>1707.150473571428</v>
      </c>
      <c r="Y9" s="97">
        <f t="shared" si="5"/>
        <v>1707.150473571428</v>
      </c>
      <c r="Z9" s="97">
        <f t="shared" si="5"/>
        <v>1707.150473571428</v>
      </c>
      <c r="AA9" s="97">
        <f t="shared" si="5"/>
        <v>1707.150473571428</v>
      </c>
      <c r="AB9" s="97">
        <f t="shared" si="5"/>
        <v>1707.150473571428</v>
      </c>
      <c r="AC9" s="97">
        <f t="shared" si="5"/>
        <v>19410.300884507134</v>
      </c>
      <c r="AD9" s="97">
        <f t="shared" si="5"/>
        <v>2456.6311692857143</v>
      </c>
      <c r="AE9" s="97">
        <f t="shared" si="5"/>
        <v>2456.6311692857143</v>
      </c>
      <c r="AF9" s="97">
        <f t="shared" si="5"/>
        <v>2456.6311692857143</v>
      </c>
      <c r="AG9" s="97">
        <f t="shared" si="5"/>
        <v>2456.6311692857143</v>
      </c>
      <c r="AH9" s="97">
        <f t="shared" si="5"/>
        <v>2456.6311692857143</v>
      </c>
      <c r="AI9" s="97">
        <f t="shared" si="5"/>
        <v>2456.6311692857143</v>
      </c>
      <c r="AJ9" s="97">
        <f t="shared" si="5"/>
        <v>2456.6311692857143</v>
      </c>
      <c r="AK9" s="97">
        <f t="shared" si="5"/>
        <v>2456.6311692857143</v>
      </c>
      <c r="AL9" s="97">
        <f t="shared" si="5"/>
        <v>2456.6311692857143</v>
      </c>
      <c r="AM9" s="97">
        <f t="shared" si="5"/>
        <v>2456.6311692857143</v>
      </c>
      <c r="AN9" s="97">
        <f t="shared" si="5"/>
        <v>2456.6311692857143</v>
      </c>
      <c r="AO9" s="97">
        <f t="shared" si="5"/>
        <v>2456.6311692857143</v>
      </c>
      <c r="AP9" s="97">
        <f t="shared" si="5"/>
        <v>29479.57403142858</v>
      </c>
      <c r="AQ9" s="97">
        <f t="shared" si="5"/>
        <v>31977.843017142848</v>
      </c>
      <c r="AR9" s="97">
        <f t="shared" si="5"/>
        <v>33976.45820571428</v>
      </c>
      <c r="AS9" s="97">
        <f t="shared" si="5"/>
        <v>35975.073394285704</v>
      </c>
      <c r="AT9" s="97">
        <f t="shared" si="5"/>
        <v>37973.68858285714</v>
      </c>
      <c r="AU9" s="97">
        <f t="shared" si="5"/>
        <v>39972.30377142856</v>
      </c>
    </row>
    <row r="10" spans="1:47" ht="15" customHeight="1">
      <c r="A10" s="101" t="s">
        <v>144</v>
      </c>
      <c r="B10" s="96">
        <f>P10+AC10+AP10+AQ10+AR10+AS10+AT10+AU10</f>
        <v>147513.18664000003</v>
      </c>
      <c r="C10" s="97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7">
        <f aca="true" t="shared" si="6" ref="P10:P15">SUM(D10:O10)</f>
        <v>0</v>
      </c>
      <c r="Q10" s="99">
        <f>Пост!$D$16+Пост!$D$18+Пост!$D$21</f>
        <v>1756.109364761905</v>
      </c>
      <c r="R10" s="99">
        <f>Пост!$D$16+Пост!$D$18+Пост!$D$21</f>
        <v>1756.109364761905</v>
      </c>
      <c r="S10" s="99">
        <f>Пост!$D$16+Пост!$D$18+Пост!$D$21</f>
        <v>1756.109364761905</v>
      </c>
      <c r="T10" s="99">
        <f>Пост!$D$16+Пост!$D$18+Пост!$D$21</f>
        <v>1756.109364761905</v>
      </c>
      <c r="U10" s="99">
        <f>Пост!$D$16+Пост!$D$18+Пост!$D$21</f>
        <v>1756.109364761905</v>
      </c>
      <c r="V10" s="99">
        <f>Пост!$D$16+Пост!$D$18+Пост!$D$21</f>
        <v>1756.109364761905</v>
      </c>
      <c r="W10" s="99">
        <f>Пост!$D$16+Пост!$D$18+Пост!$D$21</f>
        <v>1756.109364761905</v>
      </c>
      <c r="X10" s="99">
        <f>Пост!$D$16+Пост!$D$18+Пост!$D$21</f>
        <v>1756.109364761905</v>
      </c>
      <c r="Y10" s="99">
        <f>Пост!$D$16+Пост!$D$18+Пост!$D$21</f>
        <v>1756.109364761905</v>
      </c>
      <c r="Z10" s="99">
        <f>Пост!$D$16+Пост!$D$18+Пост!$D$21</f>
        <v>1756.109364761905</v>
      </c>
      <c r="AA10" s="99">
        <f>Пост!$D$16+Пост!$D$18+Пост!$D$21</f>
        <v>1756.109364761905</v>
      </c>
      <c r="AB10" s="99">
        <f>Пост!$D$16+Пост!$D$18+Пост!$D$21</f>
        <v>1756.109364761905</v>
      </c>
      <c r="AC10" s="97">
        <f aca="true" t="shared" si="7" ref="AC10:AC15">SUM(Q10:AB10)</f>
        <v>21073.31237714286</v>
      </c>
      <c r="AD10" s="99">
        <f>Пост!$E$16+Пост!$E$18+Пост!$E$21</f>
        <v>1756.109364761905</v>
      </c>
      <c r="AE10" s="99">
        <f>Пост!$E$16+Пост!$E$18+Пост!$E$21</f>
        <v>1756.109364761905</v>
      </c>
      <c r="AF10" s="99">
        <f>Пост!$E$16+Пост!$E$18+Пост!$E$21</f>
        <v>1756.109364761905</v>
      </c>
      <c r="AG10" s="99">
        <f>Пост!$E$16+Пост!$E$18+Пост!$E$21</f>
        <v>1756.109364761905</v>
      </c>
      <c r="AH10" s="99">
        <f>Пост!$E$16+Пост!$E$18+Пост!$E$21</f>
        <v>1756.109364761905</v>
      </c>
      <c r="AI10" s="99">
        <f>Пост!$E$16+Пост!$E$18+Пост!$E$21</f>
        <v>1756.109364761905</v>
      </c>
      <c r="AJ10" s="99">
        <f>Пост!$E$16+Пост!$E$18+Пост!$E$21</f>
        <v>1756.109364761905</v>
      </c>
      <c r="AK10" s="99">
        <f>Пост!$E$16+Пост!$E$18+Пост!$E$21</f>
        <v>1756.109364761905</v>
      </c>
      <c r="AL10" s="99">
        <f>Пост!$E$16+Пост!$E$18+Пост!$E$21</f>
        <v>1756.109364761905</v>
      </c>
      <c r="AM10" s="99">
        <f>Пост!$E$16+Пост!$E$18+Пост!$E$21</f>
        <v>1756.109364761905</v>
      </c>
      <c r="AN10" s="99">
        <f>Пост!$E$16+Пост!$E$18+Пост!$E$21</f>
        <v>1756.109364761905</v>
      </c>
      <c r="AO10" s="99">
        <f>Пост!$E$16+Пост!$E$18+Пост!$E$21</f>
        <v>1756.109364761905</v>
      </c>
      <c r="AP10" s="97">
        <f aca="true" t="shared" si="8" ref="AP10:AP15">SUM(AD10:AO10)</f>
        <v>21073.31237714286</v>
      </c>
      <c r="AQ10" s="99">
        <f>(Пост!F16+Пост!F18+Пост!F21)*12</f>
        <v>21073.312377142858</v>
      </c>
      <c r="AR10" s="99">
        <f>(Пост!G16+Пост!G18+Пост!G21)*12</f>
        <v>21073.312377142858</v>
      </c>
      <c r="AS10" s="99">
        <f>(Пост!H16+Пост!H18+Пост!H21)*12</f>
        <v>21073.312377142858</v>
      </c>
      <c r="AT10" s="99">
        <f>(Пост!I16+Пост!I18+Пост!I21)*12</f>
        <v>21073.312377142858</v>
      </c>
      <c r="AU10" s="99">
        <f>(Пост!J16+Пост!J18+Пост!J21)*12</f>
        <v>21073.312377142858</v>
      </c>
    </row>
    <row r="11" spans="1:47" ht="15" customHeight="1">
      <c r="A11" s="101" t="s">
        <v>77</v>
      </c>
      <c r="B11" s="96">
        <f>P11+AC11+AP11+AQ11+AR11+AS11+AT11+AU11</f>
        <v>3390.4327999999996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>
        <f>Пост!$C$31/12</f>
        <v>0</v>
      </c>
      <c r="O11" s="99">
        <f>Пост!$C$31/12</f>
        <v>0</v>
      </c>
      <c r="P11" s="97">
        <f t="shared" si="6"/>
        <v>0</v>
      </c>
      <c r="Q11" s="99">
        <f>Пост!$D$31/12</f>
        <v>40.362295238095236</v>
      </c>
      <c r="R11" s="99">
        <f>Пост!$D$31/12</f>
        <v>40.362295238095236</v>
      </c>
      <c r="S11" s="99">
        <f>Пост!$D$31/12</f>
        <v>40.362295238095236</v>
      </c>
      <c r="T11" s="99">
        <f>Пост!$D$31/12</f>
        <v>40.362295238095236</v>
      </c>
      <c r="U11" s="99">
        <f>Пост!$D$31/12</f>
        <v>40.362295238095236</v>
      </c>
      <c r="V11" s="99">
        <f>Пост!$D$31/12</f>
        <v>40.362295238095236</v>
      </c>
      <c r="W11" s="99">
        <f>Пост!$D$31/12</f>
        <v>40.362295238095236</v>
      </c>
      <c r="X11" s="99">
        <f>Пост!$D$31/12</f>
        <v>40.362295238095236</v>
      </c>
      <c r="Y11" s="99">
        <f>Пост!$D$31/12</f>
        <v>40.362295238095236</v>
      </c>
      <c r="Z11" s="99">
        <f>Пост!$D$31/12</f>
        <v>40.362295238095236</v>
      </c>
      <c r="AA11" s="99">
        <f>Пост!$D$31/12</f>
        <v>40.362295238095236</v>
      </c>
      <c r="AB11" s="99">
        <f>Пост!$D$31/12</f>
        <v>40.362295238095236</v>
      </c>
      <c r="AC11" s="97">
        <f t="shared" si="7"/>
        <v>484.34754285714274</v>
      </c>
      <c r="AD11" s="99">
        <f>Пост!$E$31/12</f>
        <v>40.362295238095236</v>
      </c>
      <c r="AE11" s="99">
        <f>Пост!$E$31/12</f>
        <v>40.362295238095236</v>
      </c>
      <c r="AF11" s="99">
        <f>Пост!$E$31/12</f>
        <v>40.362295238095236</v>
      </c>
      <c r="AG11" s="99">
        <f>Пост!$E$31/12</f>
        <v>40.362295238095236</v>
      </c>
      <c r="AH11" s="99">
        <f>Пост!$E$31/12</f>
        <v>40.362295238095236</v>
      </c>
      <c r="AI11" s="99">
        <f>Пост!$E$31/12</f>
        <v>40.362295238095236</v>
      </c>
      <c r="AJ11" s="99">
        <f>Пост!$E$31/12</f>
        <v>40.362295238095236</v>
      </c>
      <c r="AK11" s="99">
        <f>Пост!$E$31/12</f>
        <v>40.362295238095236</v>
      </c>
      <c r="AL11" s="99">
        <f>Пост!$E$31/12</f>
        <v>40.362295238095236</v>
      </c>
      <c r="AM11" s="99">
        <f>Пост!$E$31/12</f>
        <v>40.362295238095236</v>
      </c>
      <c r="AN11" s="99">
        <f>Пост!$E$31/12</f>
        <v>40.362295238095236</v>
      </c>
      <c r="AO11" s="99">
        <f>Пост!$E$31/12</f>
        <v>40.362295238095236</v>
      </c>
      <c r="AP11" s="97">
        <f t="shared" si="8"/>
        <v>484.34754285714274</v>
      </c>
      <c r="AQ11" s="99">
        <f>Пост!F31</f>
        <v>484.3475428571428</v>
      </c>
      <c r="AR11" s="99">
        <f>Пост!G31</f>
        <v>484.3475428571428</v>
      </c>
      <c r="AS11" s="99">
        <f>Пост!H31</f>
        <v>484.3475428571428</v>
      </c>
      <c r="AT11" s="99">
        <f>Пост!I31</f>
        <v>484.3475428571428</v>
      </c>
      <c r="AU11" s="99">
        <f>Пост!J31</f>
        <v>484.3475428571428</v>
      </c>
    </row>
    <row r="12" spans="1:47" ht="15" customHeight="1">
      <c r="A12" s="101" t="s">
        <v>27</v>
      </c>
      <c r="B12" s="96">
        <f>P12+AC12+AP12+AQ12+AR12+AS12+AT12+AU12</f>
        <v>1599.1280913837727</v>
      </c>
      <c r="C12" s="97"/>
      <c r="D12" s="99">
        <f>кр!C24</f>
        <v>0</v>
      </c>
      <c r="E12" s="99">
        <f>кр!D24</f>
        <v>0</v>
      </c>
      <c r="F12" s="99">
        <f>кр!E24</f>
        <v>0</v>
      </c>
      <c r="G12" s="99">
        <f>кр!F24</f>
        <v>0</v>
      </c>
      <c r="H12" s="99">
        <f>кр!G24</f>
        <v>0</v>
      </c>
      <c r="I12" s="99">
        <f>кр!H24</f>
        <v>0</v>
      </c>
      <c r="J12" s="99">
        <f>кр!I24</f>
        <v>0</v>
      </c>
      <c r="K12" s="99">
        <f>кр!J24</f>
        <v>0</v>
      </c>
      <c r="L12" s="99">
        <f>кр!K24</f>
        <v>0</v>
      </c>
      <c r="M12" s="99">
        <f>кр!L24</f>
        <v>0</v>
      </c>
      <c r="N12" s="99">
        <f>кр!M24</f>
        <v>2.1810964000000004</v>
      </c>
      <c r="O12" s="99">
        <f>кр!N24</f>
        <v>31.644039466666673</v>
      </c>
      <c r="P12" s="97">
        <f t="shared" si="6"/>
        <v>33.82513586666667</v>
      </c>
      <c r="Q12" s="99">
        <f>кр!P24</f>
        <v>31.644039466666673</v>
      </c>
      <c r="R12" s="99">
        <f>кр!Q24</f>
        <v>31.68220865366667</v>
      </c>
      <c r="S12" s="99">
        <f>кр!R24</f>
        <v>32.19781015733334</v>
      </c>
      <c r="T12" s="99">
        <f>кр!S24</f>
        <v>32.19781015733334</v>
      </c>
      <c r="U12" s="99">
        <f>кр!T24</f>
        <v>32.19781015733334</v>
      </c>
      <c r="V12" s="99">
        <f>кр!U24</f>
        <v>32.19781015733334</v>
      </c>
      <c r="W12" s="99">
        <f>кр!V24</f>
        <v>32.19781015733334</v>
      </c>
      <c r="X12" s="99">
        <f>кр!W24</f>
        <v>32.19781015733334</v>
      </c>
      <c r="Y12" s="99">
        <f>кр!X24</f>
        <v>32.174137464255864</v>
      </c>
      <c r="Z12" s="99">
        <f>кр!Y24</f>
        <v>31.830548421985377</v>
      </c>
      <c r="AA12" s="99">
        <f>кр!Z24</f>
        <v>31.48495511030164</v>
      </c>
      <c r="AB12" s="99">
        <f>кр!AA24</f>
        <v>31.137345837633084</v>
      </c>
      <c r="AC12" s="97">
        <f t="shared" si="7"/>
        <v>383.1400958985094</v>
      </c>
      <c r="AD12" s="99">
        <f>кр!AC24</f>
        <v>30.787708844207298</v>
      </c>
      <c r="AE12" s="99">
        <f>кр!AD24</f>
        <v>30.436032301653192</v>
      </c>
      <c r="AF12" s="99">
        <f>кр!AE24</f>
        <v>30.082304312600854</v>
      </c>
      <c r="AG12" s="99">
        <f>кр!AF24</f>
        <v>29.726512910279045</v>
      </c>
      <c r="AH12" s="99">
        <f>кр!AG24</f>
        <v>29.368646058110357</v>
      </c>
      <c r="AI12" s="99">
        <f>кр!AH24</f>
        <v>29.00869164930402</v>
      </c>
      <c r="AJ12" s="99">
        <f>кр!AI24</f>
        <v>28.646637506446314</v>
      </c>
      <c r="AK12" s="99">
        <f>кр!AJ24</f>
        <v>28.282471381088605</v>
      </c>
      <c r="AL12" s="99">
        <f>кр!AK24</f>
        <v>27.916180953332972</v>
      </c>
      <c r="AM12" s="99">
        <f>кр!AL24</f>
        <v>27.547753831415438</v>
      </c>
      <c r="AN12" s="99">
        <f>кр!AM24</f>
        <v>27.17717755128671</v>
      </c>
      <c r="AO12" s="99">
        <f>кр!AN24</f>
        <v>26.804439576190568</v>
      </c>
      <c r="AP12" s="97">
        <f t="shared" si="8"/>
        <v>345.7845568759154</v>
      </c>
      <c r="AQ12" s="99">
        <f>кр!BB24</f>
        <v>291.77542033499003</v>
      </c>
      <c r="AR12" s="99">
        <f>кр!BO24</f>
        <v>233.86195894654557</v>
      </c>
      <c r="AS12" s="99">
        <f>кр!CB24</f>
        <v>171.76192875166603</v>
      </c>
      <c r="AT12" s="99">
        <f>кр!CO24</f>
        <v>105.17268235282394</v>
      </c>
      <c r="AU12" s="99">
        <f>кр!DB24</f>
        <v>33.806312356655425</v>
      </c>
    </row>
    <row r="13" spans="1:47" ht="15" customHeight="1">
      <c r="A13" s="101" t="s">
        <v>202</v>
      </c>
      <c r="B13" s="96">
        <f>P13+AC13+AP13+AQ13+AR13+AS13+AT13+AU13</f>
        <v>76262.49435598045</v>
      </c>
      <c r="C13" s="100"/>
      <c r="D13" s="99">
        <f>D9-D10-D12-D11</f>
        <v>0</v>
      </c>
      <c r="E13" s="99">
        <f aca="true" t="shared" si="9" ref="E13:O13">E9-E10-E12-E11</f>
        <v>0</v>
      </c>
      <c r="F13" s="99">
        <f t="shared" si="9"/>
        <v>0</v>
      </c>
      <c r="G13" s="99">
        <f t="shared" si="9"/>
        <v>0</v>
      </c>
      <c r="H13" s="99">
        <f t="shared" si="9"/>
        <v>0</v>
      </c>
      <c r="I13" s="99">
        <f t="shared" si="9"/>
        <v>0</v>
      </c>
      <c r="J13" s="99">
        <f t="shared" si="9"/>
        <v>0</v>
      </c>
      <c r="K13" s="99">
        <f t="shared" si="9"/>
        <v>0</v>
      </c>
      <c r="L13" s="99">
        <f t="shared" si="9"/>
        <v>0</v>
      </c>
      <c r="M13" s="99">
        <f t="shared" si="9"/>
        <v>0</v>
      </c>
      <c r="N13" s="99">
        <f t="shared" si="9"/>
        <v>-2.1810964000000004</v>
      </c>
      <c r="O13" s="99">
        <f t="shared" si="9"/>
        <v>-31.644039466666673</v>
      </c>
      <c r="P13" s="97">
        <f t="shared" si="6"/>
        <v>-33.82513586666667</v>
      </c>
      <c r="Q13" s="99">
        <f aca="true" t="shared" si="10" ref="Q13:AB13">Q9-Q10-Q12-Q11</f>
        <v>-769.6824058523814</v>
      </c>
      <c r="R13" s="99">
        <f t="shared" si="10"/>
        <v>-547.791013475096</v>
      </c>
      <c r="S13" s="99">
        <f t="shared" si="10"/>
        <v>-121.51899658590565</v>
      </c>
      <c r="T13" s="99">
        <f t="shared" si="10"/>
        <v>-121.51899658590565</v>
      </c>
      <c r="U13" s="99">
        <f t="shared" si="10"/>
        <v>-121.51899658590565</v>
      </c>
      <c r="V13" s="99">
        <f t="shared" si="10"/>
        <v>-121.51899658590565</v>
      </c>
      <c r="W13" s="99">
        <f t="shared" si="10"/>
        <v>-121.51899658590565</v>
      </c>
      <c r="X13" s="99">
        <f t="shared" si="10"/>
        <v>-121.51899658590565</v>
      </c>
      <c r="Y13" s="99">
        <f t="shared" si="10"/>
        <v>-121.49532389282817</v>
      </c>
      <c r="Z13" s="99">
        <f t="shared" si="10"/>
        <v>-121.15173485055769</v>
      </c>
      <c r="AA13" s="99">
        <f t="shared" si="10"/>
        <v>-120.80614153887393</v>
      </c>
      <c r="AB13" s="99">
        <f t="shared" si="10"/>
        <v>-120.4585322662054</v>
      </c>
      <c r="AC13" s="97">
        <f t="shared" si="7"/>
        <v>-2530.499131391376</v>
      </c>
      <c r="AD13" s="99">
        <f aca="true" t="shared" si="11" ref="AD13:AO13">AD9-AD10-AD12-AD11</f>
        <v>629.3718004415068</v>
      </c>
      <c r="AE13" s="99">
        <f t="shared" si="11"/>
        <v>629.7234769840609</v>
      </c>
      <c r="AF13" s="99">
        <f t="shared" si="11"/>
        <v>630.0772049731132</v>
      </c>
      <c r="AG13" s="99">
        <f t="shared" si="11"/>
        <v>630.432996375435</v>
      </c>
      <c r="AH13" s="99">
        <f t="shared" si="11"/>
        <v>630.7908632276037</v>
      </c>
      <c r="AI13" s="99">
        <f t="shared" si="11"/>
        <v>631.15081763641</v>
      </c>
      <c r="AJ13" s="99">
        <f t="shared" si="11"/>
        <v>631.5128717792678</v>
      </c>
      <c r="AK13" s="99">
        <f t="shared" si="11"/>
        <v>631.8770379046255</v>
      </c>
      <c r="AL13" s="99">
        <f t="shared" si="11"/>
        <v>632.2433283323811</v>
      </c>
      <c r="AM13" s="99">
        <f t="shared" si="11"/>
        <v>632.6117554542986</v>
      </c>
      <c r="AN13" s="99">
        <f t="shared" si="11"/>
        <v>632.9823317344274</v>
      </c>
      <c r="AO13" s="99">
        <f t="shared" si="11"/>
        <v>633.3550697095235</v>
      </c>
      <c r="AP13" s="97">
        <f t="shared" si="8"/>
        <v>7576.129554552654</v>
      </c>
      <c r="AQ13" s="99">
        <f>AQ9-AQ10-AQ12-AQ11</f>
        <v>10128.407676807856</v>
      </c>
      <c r="AR13" s="99">
        <f>AR9-AR10-AR12-AR11</f>
        <v>12184.936326767736</v>
      </c>
      <c r="AS13" s="99">
        <f>AS9-AS10-AS12-AS11</f>
        <v>14245.651545534038</v>
      </c>
      <c r="AT13" s="99">
        <f>AT9-AT10-AT12-AT11</f>
        <v>16310.855980504315</v>
      </c>
      <c r="AU13" s="99">
        <f>AU9-AU10-AU12-AU11</f>
        <v>18380.8375390719</v>
      </c>
    </row>
    <row r="14" spans="1:47" ht="15" customHeight="1">
      <c r="A14" s="101" t="s">
        <v>213</v>
      </c>
      <c r="B14" s="96">
        <f>P14+AC14+AP14+AQ14+AR14+AS14+AT14+AU14</f>
        <v>15252.498871196092</v>
      </c>
      <c r="C14" s="97"/>
      <c r="D14" s="132">
        <f>IF(D13+C16&lt;0,0,IF(C16&lt;0,(C16+D13)*Исх!$C$20,D13*Исх!$C$20))</f>
        <v>0</v>
      </c>
      <c r="E14" s="132">
        <f>IF(E13+D16&lt;0,0,IF(D16&lt;0,(D16+E13)*Исх!$C$20,E13*Исх!$C$20))</f>
        <v>0</v>
      </c>
      <c r="F14" s="132">
        <f>IF(F13+E16&lt;0,0,IF(E16&lt;0,(E16+F13)*Исх!$C$20,F13*Исх!$C$20))</f>
        <v>0</v>
      </c>
      <c r="G14" s="132">
        <f>IF(G13+F16&lt;0,0,IF(F16&lt;0,(F16+G13)*Исх!$C$20,G13*Исх!$C$20))</f>
        <v>0</v>
      </c>
      <c r="H14" s="132">
        <f>IF(H13+G16&lt;0,0,IF(G16&lt;0,(G16+H13)*Исх!$C$20,H13*Исх!$C$20))</f>
        <v>0</v>
      </c>
      <c r="I14" s="132">
        <f>IF(I13+H16&lt;0,0,IF(H16&lt;0,(H16+I13)*Исх!$C$20,I13*Исх!$C$20))</f>
        <v>0</v>
      </c>
      <c r="J14" s="132">
        <f>IF(J13+I16&lt;0,0,IF(I16&lt;0,(I16+J13)*Исх!$C$20,J13*Исх!$C$20))</f>
        <v>0</v>
      </c>
      <c r="K14" s="132">
        <f>IF(K13+J16&lt;0,0,IF(J16&lt;0,(J16+K13)*Исх!$C$20,K13*Исх!$C$20))</f>
        <v>0</v>
      </c>
      <c r="L14" s="132">
        <f>IF(L13+K16&lt;0,0,IF(K16&lt;0,(K16+L13)*Исх!$C$20,L13*Исх!$C$20))</f>
        <v>0</v>
      </c>
      <c r="M14" s="132">
        <f>IF(M13+L16&lt;0,0,IF(L16&lt;0,(L16+M13)*Исх!$C$20,M13*Исх!$C$20))</f>
        <v>0</v>
      </c>
      <c r="N14" s="132">
        <f>IF(N13+M16&lt;0,0,IF(M16&lt;0,(M16+N13)*Исх!$C$20,N13*Исх!$C$20))</f>
        <v>0</v>
      </c>
      <c r="O14" s="132">
        <f>IF(O13+N16&lt;0,0,IF(N16&lt;0,(N16+O13)*Исх!$C$20,O13*Исх!$C$20))</f>
        <v>0</v>
      </c>
      <c r="P14" s="97">
        <f t="shared" si="6"/>
        <v>0</v>
      </c>
      <c r="Q14" s="132">
        <f>IF(Q13+P16&lt;0,0,IF(P16&lt;0,(P16+Q13)*Исх!$C$20,Q13*Исх!$C$20))</f>
        <v>0</v>
      </c>
      <c r="R14" s="132">
        <f>IF(R13+Q16&lt;0,0,IF(Q16&lt;0,(Q16+R13)*Исх!$C$20,R13*Исх!$C$20))</f>
        <v>0</v>
      </c>
      <c r="S14" s="132">
        <f>IF(S13+R16&lt;0,0,IF(R16&lt;0,(R16+S13)*Исх!$C$20,S13*Исх!$C$20))</f>
        <v>0</v>
      </c>
      <c r="T14" s="132">
        <f>IF(T13+S16&lt;0,0,IF(S16&lt;0,(S16+T13)*Исх!$C$20,T13*Исх!$C$20))</f>
        <v>0</v>
      </c>
      <c r="U14" s="132">
        <f>IF(U13+T16&lt;0,0,IF(T16&lt;0,(T16+U13)*Исх!$C$20,U13*Исх!$C$20))</f>
        <v>0</v>
      </c>
      <c r="V14" s="132">
        <f>IF(V13+U16&lt;0,0,IF(U16&lt;0,(U16+V13)*Исх!$C$20,V13*Исх!$C$20))</f>
        <v>0</v>
      </c>
      <c r="W14" s="132">
        <f>IF(W13+V16&lt;0,0,IF(V16&lt;0,(V16+W13)*Исх!$C$20,W13*Исх!$C$20))</f>
        <v>0</v>
      </c>
      <c r="X14" s="132">
        <f>IF(X13+W16&lt;0,0,IF(W16&lt;0,(W16+X13)*Исх!$C$20,X13*Исх!$C$20))</f>
        <v>0</v>
      </c>
      <c r="Y14" s="132">
        <f>IF(Y13+X16&lt;0,0,IF(X16&lt;0,(X16+Y13)*Исх!$C$20,Y13*Исх!$C$20))</f>
        <v>0</v>
      </c>
      <c r="Z14" s="132">
        <f>IF(Z13+Y16&lt;0,0,IF(Y16&lt;0,(Y16+Z13)*Исх!$C$20,Z13*Исх!$C$20))</f>
        <v>0</v>
      </c>
      <c r="AA14" s="132">
        <f>IF(AA13+Z16&lt;0,0,IF(Z16&lt;0,(Z16+AA13)*Исх!$C$20,AA13*Исх!$C$20))</f>
        <v>0</v>
      </c>
      <c r="AB14" s="132">
        <f>IF(AB13+AA16&lt;0,0,IF(AA16&lt;0,(AA16+AB13)*Исх!$C$20,AB13*Исх!$C$20))</f>
        <v>0</v>
      </c>
      <c r="AC14" s="97">
        <f t="shared" si="7"/>
        <v>0</v>
      </c>
      <c r="AD14" s="132">
        <f>IF(AD13+AC16&lt;0,0,IF(AC16&lt;0,(AC16+AD13)*Исх!$C$20,AD13*Исх!$C$20))</f>
        <v>0</v>
      </c>
      <c r="AE14" s="132">
        <f>IF(AE13+AD16&lt;0,0,IF(AD16&lt;0,(AD16+AE13)*Исх!$C$20,AE13*Исх!$C$20))</f>
        <v>0</v>
      </c>
      <c r="AF14" s="132">
        <f>IF(AF13+AE16&lt;0,0,IF(AE16&lt;0,(AE16+AF13)*Исх!$C$20,AF13*Исх!$C$20))</f>
        <v>0</v>
      </c>
      <c r="AG14" s="132">
        <f>IF(AG13+AF16&lt;0,0,IF(AF16&lt;0,(AF16+AG13)*Исх!$C$20,AG13*Исх!$C$20))</f>
        <v>0</v>
      </c>
      <c r="AH14" s="132">
        <f>IF(AH13+AG16&lt;0,0,IF(AG16&lt;0,(AG16+AH13)*Исх!$C$20,AH13*Исх!$C$20))</f>
        <v>117.2144149487353</v>
      </c>
      <c r="AI14" s="132">
        <f>IF(AI13+AH16&lt;0,0,IF(AH16&lt;0,(AH16+AI13)*Исх!$C$20,AI13*Исх!$C$20))</f>
        <v>126.230163527282</v>
      </c>
      <c r="AJ14" s="132">
        <f>IF(AJ13+AI16&lt;0,0,IF(AI16&lt;0,(AI16+AJ13)*Исх!$C$20,AJ13*Исх!$C$20))</f>
        <v>126.30257435585357</v>
      </c>
      <c r="AK14" s="132">
        <f>IF(AK13+AJ16&lt;0,0,IF(AJ16&lt;0,(AJ16+AK13)*Исх!$C$20,AK13*Исх!$C$20))</f>
        <v>126.3754075809251</v>
      </c>
      <c r="AL14" s="132">
        <f>IF(AL13+AK16&lt;0,0,IF(AK16&lt;0,(AK16+AL13)*Исх!$C$20,AL13*Исх!$C$20))</f>
        <v>126.44866566647623</v>
      </c>
      <c r="AM14" s="132">
        <f>IF(AM13+AL16&lt;0,0,IF(AL16&lt;0,(AL16+AM13)*Исх!$C$20,AM13*Исх!$C$20))</f>
        <v>126.52235109085973</v>
      </c>
      <c r="AN14" s="132">
        <f>IF(AN13+AM16&lt;0,0,IF(AM16&lt;0,(AM16+AN13)*Исх!$C$20,AN13*Исх!$C$20))</f>
        <v>126.59646634688548</v>
      </c>
      <c r="AO14" s="132">
        <f>IF(AO13+AN16&lt;0,0,IF(AN16&lt;0,(AN16+AO13)*Исх!$C$20,AO13*Исх!$C$20))</f>
        <v>126.6710139419047</v>
      </c>
      <c r="AP14" s="97">
        <f t="shared" si="8"/>
        <v>1002.361057458922</v>
      </c>
      <c r="AQ14" s="132">
        <f>IF(AQ13+AP16&lt;0,0,IF(AP16&lt;0,(AP16+AQ13)*Исх!$C$20,AQ13*Исх!$C$20))</f>
        <v>2025.6815353615712</v>
      </c>
      <c r="AR14" s="132">
        <f>IF(AR13+AQ16&lt;0,0,IF(AQ16&lt;0,(AQ16+AR13)*Исх!$C$20,AR13*Исх!$C$20))</f>
        <v>2436.987265353547</v>
      </c>
      <c r="AS14" s="132">
        <f>IF(AS13+AR16&lt;0,0,IF(AR16&lt;0,(AR16+AS13)*Исх!$C$20,AS13*Исх!$C$20))</f>
        <v>2849.1303091068075</v>
      </c>
      <c r="AT14" s="132">
        <f>IF(AT13+AS16&lt;0,0,IF(AS16&lt;0,(AS16+AT13)*Исх!$C$20,AT13*Исх!$C$20))</f>
        <v>3262.171196100863</v>
      </c>
      <c r="AU14" s="132">
        <f>IF(AU13+AT16&lt;0,0,IF(AT16&lt;0,(AT16+AU13)*Исх!$C$20,AU13*Исх!$C$20))</f>
        <v>3676.1675078143803</v>
      </c>
    </row>
    <row r="15" spans="1:47" ht="15" customHeight="1">
      <c r="A15" s="101" t="s">
        <v>4</v>
      </c>
      <c r="B15" s="96">
        <f>B13-B14</f>
        <v>61009.99548478436</v>
      </c>
      <c r="C15" s="100"/>
      <c r="D15" s="99">
        <f aca="true" t="shared" si="12" ref="D15:Q15">D13-D14</f>
        <v>0</v>
      </c>
      <c r="E15" s="99">
        <f>E13-E14</f>
        <v>0</v>
      </c>
      <c r="F15" s="99">
        <f t="shared" si="12"/>
        <v>0</v>
      </c>
      <c r="G15" s="99">
        <f t="shared" si="12"/>
        <v>0</v>
      </c>
      <c r="H15" s="99">
        <f t="shared" si="12"/>
        <v>0</v>
      </c>
      <c r="I15" s="99">
        <f t="shared" si="12"/>
        <v>0</v>
      </c>
      <c r="J15" s="99">
        <f t="shared" si="12"/>
        <v>0</v>
      </c>
      <c r="K15" s="99">
        <f t="shared" si="12"/>
        <v>0</v>
      </c>
      <c r="L15" s="99">
        <f t="shared" si="12"/>
        <v>0</v>
      </c>
      <c r="M15" s="99">
        <f t="shared" si="12"/>
        <v>0</v>
      </c>
      <c r="N15" s="99">
        <f t="shared" si="12"/>
        <v>-2.1810964000000004</v>
      </c>
      <c r="O15" s="99">
        <f t="shared" si="12"/>
        <v>-31.644039466666673</v>
      </c>
      <c r="P15" s="97">
        <f t="shared" si="6"/>
        <v>-33.82513586666667</v>
      </c>
      <c r="Q15" s="99">
        <f t="shared" si="12"/>
        <v>-769.6824058523814</v>
      </c>
      <c r="R15" s="99">
        <f aca="true" t="shared" si="13" ref="R15:AR15">R13-R14</f>
        <v>-547.791013475096</v>
      </c>
      <c r="S15" s="99">
        <f t="shared" si="13"/>
        <v>-121.51899658590565</v>
      </c>
      <c r="T15" s="99">
        <f t="shared" si="13"/>
        <v>-121.51899658590565</v>
      </c>
      <c r="U15" s="99">
        <f t="shared" si="13"/>
        <v>-121.51899658590565</v>
      </c>
      <c r="V15" s="99">
        <f t="shared" si="13"/>
        <v>-121.51899658590565</v>
      </c>
      <c r="W15" s="99">
        <f t="shared" si="13"/>
        <v>-121.51899658590565</v>
      </c>
      <c r="X15" s="99">
        <f t="shared" si="13"/>
        <v>-121.51899658590565</v>
      </c>
      <c r="Y15" s="99">
        <f t="shared" si="13"/>
        <v>-121.49532389282817</v>
      </c>
      <c r="Z15" s="99">
        <f t="shared" si="13"/>
        <v>-121.15173485055769</v>
      </c>
      <c r="AA15" s="99">
        <f t="shared" si="13"/>
        <v>-120.80614153887393</v>
      </c>
      <c r="AB15" s="99">
        <f t="shared" si="13"/>
        <v>-120.4585322662054</v>
      </c>
      <c r="AC15" s="97">
        <f t="shared" si="7"/>
        <v>-2530.499131391376</v>
      </c>
      <c r="AD15" s="99">
        <f aca="true" t="shared" si="14" ref="AD15:AO15">AD13-AD14</f>
        <v>629.3718004415068</v>
      </c>
      <c r="AE15" s="99">
        <f t="shared" si="14"/>
        <v>629.7234769840609</v>
      </c>
      <c r="AF15" s="99">
        <f t="shared" si="14"/>
        <v>630.0772049731132</v>
      </c>
      <c r="AG15" s="99">
        <f t="shared" si="14"/>
        <v>630.432996375435</v>
      </c>
      <c r="AH15" s="99">
        <f t="shared" si="14"/>
        <v>513.5764482788684</v>
      </c>
      <c r="AI15" s="99">
        <f t="shared" si="14"/>
        <v>504.920654109128</v>
      </c>
      <c r="AJ15" s="99">
        <f t="shared" si="14"/>
        <v>505.21029742341426</v>
      </c>
      <c r="AK15" s="99">
        <f t="shared" si="14"/>
        <v>505.5016303237004</v>
      </c>
      <c r="AL15" s="99">
        <f t="shared" si="14"/>
        <v>505.79466266590487</v>
      </c>
      <c r="AM15" s="99">
        <f t="shared" si="14"/>
        <v>506.0894043634389</v>
      </c>
      <c r="AN15" s="99">
        <f t="shared" si="14"/>
        <v>506.3858653875419</v>
      </c>
      <c r="AO15" s="99">
        <f t="shared" si="14"/>
        <v>506.6840557676188</v>
      </c>
      <c r="AP15" s="97">
        <f t="shared" si="8"/>
        <v>6573.768497093732</v>
      </c>
      <c r="AQ15" s="99">
        <f t="shared" si="13"/>
        <v>8102.726141446285</v>
      </c>
      <c r="AR15" s="99">
        <f t="shared" si="13"/>
        <v>9747.949061414189</v>
      </c>
      <c r="AS15" s="99">
        <f>AS13-AS14</f>
        <v>11396.52123642723</v>
      </c>
      <c r="AT15" s="99">
        <f>AT13-AT14</f>
        <v>13048.684784403453</v>
      </c>
      <c r="AU15" s="99">
        <f>AU13-AU14</f>
        <v>14704.670031257521</v>
      </c>
    </row>
    <row r="16" spans="1:47" ht="15" customHeight="1">
      <c r="A16" s="101" t="s">
        <v>32</v>
      </c>
      <c r="B16" s="102">
        <f>AU16</f>
        <v>61009.99548478437</v>
      </c>
      <c r="C16" s="103"/>
      <c r="D16" s="99">
        <f>C16+D15</f>
        <v>0</v>
      </c>
      <c r="E16" s="99">
        <f>D16+E15</f>
        <v>0</v>
      </c>
      <c r="F16" s="99">
        <f aca="true" t="shared" si="15" ref="F16:O16">E16+F15</f>
        <v>0</v>
      </c>
      <c r="G16" s="99">
        <f t="shared" si="15"/>
        <v>0</v>
      </c>
      <c r="H16" s="99">
        <f t="shared" si="15"/>
        <v>0</v>
      </c>
      <c r="I16" s="99">
        <f t="shared" si="15"/>
        <v>0</v>
      </c>
      <c r="J16" s="99">
        <f t="shared" si="15"/>
        <v>0</v>
      </c>
      <c r="K16" s="99">
        <f t="shared" si="15"/>
        <v>0</v>
      </c>
      <c r="L16" s="99">
        <f t="shared" si="15"/>
        <v>0</v>
      </c>
      <c r="M16" s="99">
        <f t="shared" si="15"/>
        <v>0</v>
      </c>
      <c r="N16" s="99">
        <f t="shared" si="15"/>
        <v>-2.1810964000000004</v>
      </c>
      <c r="O16" s="99">
        <f t="shared" si="15"/>
        <v>-33.82513586666667</v>
      </c>
      <c r="P16" s="97">
        <f>O16</f>
        <v>-33.82513586666667</v>
      </c>
      <c r="Q16" s="99">
        <f>P16+Q15</f>
        <v>-803.507541719048</v>
      </c>
      <c r="R16" s="99">
        <f aca="true" t="shared" si="16" ref="R16:AA16">Q16+R15</f>
        <v>-1351.298555194144</v>
      </c>
      <c r="S16" s="99">
        <f t="shared" si="16"/>
        <v>-1472.8175517800496</v>
      </c>
      <c r="T16" s="99">
        <f t="shared" si="16"/>
        <v>-1594.3365483659552</v>
      </c>
      <c r="U16" s="99">
        <f t="shared" si="16"/>
        <v>-1715.8555449518608</v>
      </c>
      <c r="V16" s="99">
        <f t="shared" si="16"/>
        <v>-1837.3745415377664</v>
      </c>
      <c r="W16" s="99">
        <f t="shared" si="16"/>
        <v>-1958.893538123672</v>
      </c>
      <c r="X16" s="99">
        <f t="shared" si="16"/>
        <v>-2080.412534709578</v>
      </c>
      <c r="Y16" s="99">
        <f t="shared" si="16"/>
        <v>-2201.907858602406</v>
      </c>
      <c r="Z16" s="99">
        <f t="shared" si="16"/>
        <v>-2323.059593452964</v>
      </c>
      <c r="AA16" s="99">
        <f t="shared" si="16"/>
        <v>-2443.8657349918376</v>
      </c>
      <c r="AB16" s="99">
        <f>AA16+AB15</f>
        <v>-2564.324267258043</v>
      </c>
      <c r="AC16" s="97">
        <f>AB16</f>
        <v>-2564.324267258043</v>
      </c>
      <c r="AD16" s="99">
        <f aca="true" t="shared" si="17" ref="AD16:AO16">AC16+AD15</f>
        <v>-1934.9524668165363</v>
      </c>
      <c r="AE16" s="99">
        <f t="shared" si="17"/>
        <v>-1305.2289898324755</v>
      </c>
      <c r="AF16" s="99">
        <f t="shared" si="17"/>
        <v>-675.1517848593622</v>
      </c>
      <c r="AG16" s="99">
        <f t="shared" si="17"/>
        <v>-44.718788483927256</v>
      </c>
      <c r="AH16" s="99">
        <f t="shared" si="17"/>
        <v>468.8576597949411</v>
      </c>
      <c r="AI16" s="99">
        <f t="shared" si="17"/>
        <v>973.7783139040691</v>
      </c>
      <c r="AJ16" s="99">
        <f t="shared" si="17"/>
        <v>1478.9886113274833</v>
      </c>
      <c r="AK16" s="99">
        <f t="shared" si="17"/>
        <v>1984.4902416511836</v>
      </c>
      <c r="AL16" s="99">
        <f t="shared" si="17"/>
        <v>2490.2849043170886</v>
      </c>
      <c r="AM16" s="99">
        <f t="shared" si="17"/>
        <v>2996.3743086805275</v>
      </c>
      <c r="AN16" s="99">
        <f t="shared" si="17"/>
        <v>3502.7601740680693</v>
      </c>
      <c r="AO16" s="99">
        <f t="shared" si="17"/>
        <v>4009.444229835688</v>
      </c>
      <c r="AP16" s="97">
        <f>AO16</f>
        <v>4009.444229835688</v>
      </c>
      <c r="AQ16" s="99">
        <f>AP16+AQ15</f>
        <v>12112.170371281973</v>
      </c>
      <c r="AR16" s="99">
        <f>AQ16+AR15</f>
        <v>21860.119432696163</v>
      </c>
      <c r="AS16" s="99">
        <f>AR16+AS15</f>
        <v>33256.64066912339</v>
      </c>
      <c r="AT16" s="99">
        <f>AS16+AT15</f>
        <v>46305.32545352685</v>
      </c>
      <c r="AU16" s="99">
        <f>AT16+AU15</f>
        <v>61009.99548478437</v>
      </c>
    </row>
    <row r="17" spans="1:190" ht="1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</row>
    <row r="18" spans="1:47" ht="12.75">
      <c r="A18" s="106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60" s="110" customFormat="1" ht="12.75">
      <c r="A19" s="339" t="s">
        <v>3</v>
      </c>
      <c r="B19" s="342" t="s">
        <v>89</v>
      </c>
      <c r="C19" s="107"/>
      <c r="D19" s="332">
        <f>D3</f>
        <v>2013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5"/>
      <c r="Q19" s="332">
        <f>Q3</f>
        <v>2014</v>
      </c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5"/>
      <c r="AD19" s="331">
        <f>AD3</f>
        <v>2015</v>
      </c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3"/>
      <c r="AQ19" s="108">
        <f>AQ3</f>
        <v>2016</v>
      </c>
      <c r="AR19" s="108">
        <f>AR3</f>
        <v>2017</v>
      </c>
      <c r="AS19" s="108">
        <f>AS3</f>
        <v>2018</v>
      </c>
      <c r="AT19" s="108">
        <f>AT3</f>
        <v>2019</v>
      </c>
      <c r="AU19" s="108">
        <f>AU3</f>
        <v>2020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s="110" customFormat="1" ht="12.75">
      <c r="A20" s="340"/>
      <c r="B20" s="343"/>
      <c r="C20" s="111"/>
      <c r="D20" s="112">
        <f>D4</f>
        <v>1</v>
      </c>
      <c r="E20" s="112">
        <f aca="true" t="shared" si="18" ref="E20:O20">E4</f>
        <v>2</v>
      </c>
      <c r="F20" s="112">
        <f t="shared" si="18"/>
        <v>3</v>
      </c>
      <c r="G20" s="112">
        <f t="shared" si="18"/>
        <v>4</v>
      </c>
      <c r="H20" s="112">
        <f t="shared" si="18"/>
        <v>5</v>
      </c>
      <c r="I20" s="112">
        <f t="shared" si="18"/>
        <v>6</v>
      </c>
      <c r="J20" s="112">
        <f t="shared" si="18"/>
        <v>7</v>
      </c>
      <c r="K20" s="112">
        <f t="shared" si="18"/>
        <v>8</v>
      </c>
      <c r="L20" s="112">
        <f t="shared" si="18"/>
        <v>9</v>
      </c>
      <c r="M20" s="112">
        <f t="shared" si="18"/>
        <v>10</v>
      </c>
      <c r="N20" s="112">
        <f t="shared" si="18"/>
        <v>11</v>
      </c>
      <c r="O20" s="112">
        <f t="shared" si="18"/>
        <v>12</v>
      </c>
      <c r="P20" s="113" t="s">
        <v>0</v>
      </c>
      <c r="Q20" s="112">
        <f>Q4</f>
        <v>1</v>
      </c>
      <c r="R20" s="112">
        <f aca="true" t="shared" si="19" ref="R20:AB20">R4</f>
        <v>2</v>
      </c>
      <c r="S20" s="112">
        <f t="shared" si="19"/>
        <v>3</v>
      </c>
      <c r="T20" s="112">
        <f t="shared" si="19"/>
        <v>4</v>
      </c>
      <c r="U20" s="112">
        <f t="shared" si="19"/>
        <v>5</v>
      </c>
      <c r="V20" s="112">
        <f t="shared" si="19"/>
        <v>6</v>
      </c>
      <c r="W20" s="112">
        <f t="shared" si="19"/>
        <v>7</v>
      </c>
      <c r="X20" s="112">
        <f t="shared" si="19"/>
        <v>8</v>
      </c>
      <c r="Y20" s="112">
        <f t="shared" si="19"/>
        <v>9</v>
      </c>
      <c r="Z20" s="112">
        <f t="shared" si="19"/>
        <v>10</v>
      </c>
      <c r="AA20" s="112">
        <f t="shared" si="19"/>
        <v>11</v>
      </c>
      <c r="AB20" s="112">
        <f t="shared" si="19"/>
        <v>12</v>
      </c>
      <c r="AC20" s="113" t="s">
        <v>0</v>
      </c>
      <c r="AD20" s="112">
        <f>AD4</f>
        <v>1</v>
      </c>
      <c r="AE20" s="112">
        <f aca="true" t="shared" si="20" ref="AE20:AO20">AE4</f>
        <v>2</v>
      </c>
      <c r="AF20" s="112">
        <f t="shared" si="20"/>
        <v>3</v>
      </c>
      <c r="AG20" s="112">
        <f t="shared" si="20"/>
        <v>4</v>
      </c>
      <c r="AH20" s="112">
        <f t="shared" si="20"/>
        <v>5</v>
      </c>
      <c r="AI20" s="112">
        <f t="shared" si="20"/>
        <v>6</v>
      </c>
      <c r="AJ20" s="112">
        <f t="shared" si="20"/>
        <v>7</v>
      </c>
      <c r="AK20" s="112">
        <f t="shared" si="20"/>
        <v>8</v>
      </c>
      <c r="AL20" s="112">
        <f t="shared" si="20"/>
        <v>9</v>
      </c>
      <c r="AM20" s="112">
        <f t="shared" si="20"/>
        <v>10</v>
      </c>
      <c r="AN20" s="112">
        <f t="shared" si="20"/>
        <v>11</v>
      </c>
      <c r="AO20" s="112">
        <f t="shared" si="20"/>
        <v>12</v>
      </c>
      <c r="AP20" s="113" t="s">
        <v>0</v>
      </c>
      <c r="AQ20" s="113" t="s">
        <v>111</v>
      </c>
      <c r="AR20" s="113" t="s">
        <v>111</v>
      </c>
      <c r="AS20" s="113" t="s">
        <v>111</v>
      </c>
      <c r="AT20" s="113" t="s">
        <v>111</v>
      </c>
      <c r="AU20" s="113" t="s">
        <v>111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>
      <c r="A22" s="114" t="s">
        <v>162</v>
      </c>
      <c r="B22" s="96">
        <f>P22+AC22+AP22+AQ22+AR22+AS22+AT22+AU22</f>
        <v>36791.31696428571</v>
      </c>
      <c r="C22" s="116"/>
      <c r="D22" s="116">
        <f aca="true" t="shared" si="21" ref="D22:O22">D5*ндс</f>
        <v>0</v>
      </c>
      <c r="E22" s="116">
        <f t="shared" si="21"/>
        <v>0</v>
      </c>
      <c r="F22" s="116">
        <f t="shared" si="21"/>
        <v>0</v>
      </c>
      <c r="G22" s="116">
        <f t="shared" si="21"/>
        <v>0</v>
      </c>
      <c r="H22" s="116">
        <f t="shared" si="21"/>
        <v>0</v>
      </c>
      <c r="I22" s="116">
        <f t="shared" si="21"/>
        <v>0</v>
      </c>
      <c r="J22" s="116">
        <f t="shared" si="21"/>
        <v>0</v>
      </c>
      <c r="K22" s="116">
        <f t="shared" si="21"/>
        <v>0</v>
      </c>
      <c r="L22" s="116">
        <f t="shared" si="21"/>
        <v>0</v>
      </c>
      <c r="M22" s="116">
        <f t="shared" si="21"/>
        <v>0</v>
      </c>
      <c r="N22" s="116">
        <f t="shared" si="21"/>
        <v>0</v>
      </c>
      <c r="O22" s="116">
        <f t="shared" si="21"/>
        <v>0</v>
      </c>
      <c r="P22" s="117">
        <f>SUM(D22:O22)</f>
        <v>0</v>
      </c>
      <c r="Q22" s="116">
        <f aca="true" t="shared" si="22" ref="Q22:AB22">Q5*ндс</f>
        <v>170.22321428571425</v>
      </c>
      <c r="R22" s="116">
        <f t="shared" si="22"/>
        <v>205.91517857142853</v>
      </c>
      <c r="S22" s="116">
        <f t="shared" si="22"/>
        <v>274.55357142857133</v>
      </c>
      <c r="T22" s="116">
        <f t="shared" si="22"/>
        <v>274.55357142857133</v>
      </c>
      <c r="U22" s="116">
        <f t="shared" si="22"/>
        <v>274.55357142857133</v>
      </c>
      <c r="V22" s="116">
        <f t="shared" si="22"/>
        <v>274.55357142857133</v>
      </c>
      <c r="W22" s="116">
        <f t="shared" si="22"/>
        <v>274.55357142857133</v>
      </c>
      <c r="X22" s="116">
        <f t="shared" si="22"/>
        <v>274.55357142857133</v>
      </c>
      <c r="Y22" s="116">
        <f t="shared" si="22"/>
        <v>274.55357142857133</v>
      </c>
      <c r="Z22" s="116">
        <f t="shared" si="22"/>
        <v>274.55357142857133</v>
      </c>
      <c r="AA22" s="116">
        <f t="shared" si="22"/>
        <v>274.55357142857133</v>
      </c>
      <c r="AB22" s="116">
        <f t="shared" si="22"/>
        <v>274.55357142857133</v>
      </c>
      <c r="AC22" s="117">
        <f>SUM(Q22:AB22)</f>
        <v>3121.674107142857</v>
      </c>
      <c r="AD22" s="116">
        <f aca="true" t="shared" si="23" ref="AD22:AO22">AD5*ндс</f>
        <v>395.08928571428567</v>
      </c>
      <c r="AE22" s="116">
        <f t="shared" si="23"/>
        <v>395.08928571428567</v>
      </c>
      <c r="AF22" s="116">
        <f t="shared" si="23"/>
        <v>395.08928571428567</v>
      </c>
      <c r="AG22" s="116">
        <f t="shared" si="23"/>
        <v>395.08928571428567</v>
      </c>
      <c r="AH22" s="116">
        <f t="shared" si="23"/>
        <v>395.08928571428567</v>
      </c>
      <c r="AI22" s="116">
        <f t="shared" si="23"/>
        <v>395.08928571428567</v>
      </c>
      <c r="AJ22" s="116">
        <f t="shared" si="23"/>
        <v>395.08928571428567</v>
      </c>
      <c r="AK22" s="116">
        <f t="shared" si="23"/>
        <v>395.08928571428567</v>
      </c>
      <c r="AL22" s="116">
        <f t="shared" si="23"/>
        <v>395.08928571428567</v>
      </c>
      <c r="AM22" s="116">
        <f t="shared" si="23"/>
        <v>395.08928571428567</v>
      </c>
      <c r="AN22" s="116">
        <f t="shared" si="23"/>
        <v>395.08928571428567</v>
      </c>
      <c r="AO22" s="116">
        <f t="shared" si="23"/>
        <v>395.08928571428567</v>
      </c>
      <c r="AP22" s="117">
        <f>SUM(AD22:AO22)</f>
        <v>4741.071428571428</v>
      </c>
      <c r="AQ22" s="116">
        <f>AQ5*ндс</f>
        <v>5142.857142857141</v>
      </c>
      <c r="AR22" s="116">
        <f>AR5*ндс</f>
        <v>5464.285714285714</v>
      </c>
      <c r="AS22" s="116">
        <f>AS5*ндс</f>
        <v>5785.714285714285</v>
      </c>
      <c r="AT22" s="116">
        <f>AT5*ндс</f>
        <v>6107.142857142856</v>
      </c>
      <c r="AU22" s="116">
        <f>AU5*ндс</f>
        <v>6428.5714285714275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>
      <c r="A23" s="114" t="s">
        <v>163</v>
      </c>
      <c r="B23" s="96">
        <f>P23+AC23+AP23+AQ23+AR23+AS23+AT23+AU23</f>
        <v>15005.750860799999</v>
      </c>
      <c r="C23" s="116"/>
      <c r="D23" s="116"/>
      <c r="E23" s="116"/>
      <c r="F23" s="116"/>
      <c r="G23" s="116"/>
      <c r="H23" s="116"/>
      <c r="I23" s="283">
        <f>('1-Ф3'!I12/Исх!$C$19-'2-ф2'!I8)*ндс</f>
        <v>0</v>
      </c>
      <c r="J23" s="116"/>
      <c r="K23" s="116"/>
      <c r="L23" s="116"/>
      <c r="M23" s="116"/>
      <c r="N23" s="116"/>
      <c r="O23" s="116">
        <f>('1-Ф3'!O12/Исх!$C$19)*ндс</f>
        <v>81.5947488</v>
      </c>
      <c r="P23" s="117">
        <f>SUM(D23:O23)</f>
        <v>81.5947488</v>
      </c>
      <c r="Q23" s="116">
        <f>('1-Ф3'!Q12/Исх!$C$19+Q10-Пост!$D$5-Пост!$D$18-Пост!$D$21)*ндс</f>
        <v>120.35792777142859</v>
      </c>
      <c r="R23" s="116">
        <f>('1-Ф3'!R12/Исх!$C$19+R10-Пост!$D$5-Пост!$D$18-Пост!$D$21)*ндс</f>
        <v>120.35792777142859</v>
      </c>
      <c r="S23" s="116">
        <f>('1-Ф3'!S12/Исх!$C$19+S10-Пост!$D$5-Пост!$D$18-Пост!$D$21)*ндс</f>
        <v>120.35792777142859</v>
      </c>
      <c r="T23" s="116">
        <f>('1-Ф3'!T12/Исх!$C$19+T10-Пост!$D$5-Пост!$D$18-Пост!$D$21)*ндс</f>
        <v>127.15749017142859</v>
      </c>
      <c r="U23" s="116">
        <f>('1-Ф3'!U12/Исх!$C$19+U10-Пост!$D$5-Пост!$D$18-Пост!$D$21)*ндс</f>
        <v>127.15749017142859</v>
      </c>
      <c r="V23" s="116">
        <f>('1-Ф3'!V12/Исх!$C$19+V10-Пост!$D$5-Пост!$D$18-Пост!$D$21)*ндс</f>
        <v>127.15749017142859</v>
      </c>
      <c r="W23" s="116">
        <f>('1-Ф3'!W12/Исх!$C$19+W10-Пост!$D$5-Пост!$D$18-Пост!$D$21)*ндс</f>
        <v>140.75661497142858</v>
      </c>
      <c r="X23" s="116">
        <f>('1-Ф3'!X12/Исх!$C$19+X10-Пост!$D$5-Пост!$D$18-Пост!$D$21)*ндс</f>
        <v>140.75661497142858</v>
      </c>
      <c r="Y23" s="116">
        <f>('1-Ф3'!Y12/Исх!$C$19+Y10-Пост!$D$5-Пост!$D$18-Пост!$D$21)*ндс</f>
        <v>140.75661497142858</v>
      </c>
      <c r="Z23" s="116">
        <f>('1-Ф3'!Z12/Исх!$C$19+Z10-Пост!$D$5-Пост!$D$18-Пост!$D$21)*ндс</f>
        <v>154.35573977142857</v>
      </c>
      <c r="AA23" s="116">
        <f>('1-Ф3'!AA12/Исх!$C$19+AA10-Пост!$D$5-Пост!$D$18-Пост!$D$21)*ндс</f>
        <v>154.35573977142857</v>
      </c>
      <c r="AB23" s="116">
        <f>('1-Ф3'!AB12/Исх!$C$19+AB10-Пост!$D$5-Пост!$D$18-Пост!$D$21)*ндс</f>
        <v>154.35573977142857</v>
      </c>
      <c r="AC23" s="117">
        <f>SUM(Q23:AB23)</f>
        <v>1627.8833180571428</v>
      </c>
      <c r="AD23" s="116">
        <f>('1-Ф3'!AD12/Исх!$C$19+AD10-Пост!$E$5-Пост!$E$18-Пост!$E$21)*ндс</f>
        <v>161.15530217142856</v>
      </c>
      <c r="AE23" s="116">
        <f>('1-Ф3'!AE12/Исх!$C$19+AE10-Пост!$E$5-Пост!$E$18-Пост!$E$21)*ндс</f>
        <v>161.15530217142856</v>
      </c>
      <c r="AF23" s="116">
        <f>('1-Ф3'!AF12/Исх!$C$19+AF10-Пост!$E$5-Пост!$E$18-Пост!$E$21)*ндс</f>
        <v>161.15530217142856</v>
      </c>
      <c r="AG23" s="116">
        <f>('1-Ф3'!AG12/Исх!$C$19+AG10-Пост!$E$5-Пост!$E$18-Пост!$E$21)*ндс</f>
        <v>161.15530217142856</v>
      </c>
      <c r="AH23" s="116">
        <f>('1-Ф3'!AH12/Исх!$C$19+AH10-Пост!$E$5-Пост!$E$18-Пост!$E$21)*ндс</f>
        <v>161.15530217142856</v>
      </c>
      <c r="AI23" s="116">
        <f>('1-Ф3'!AI12/Исх!$C$19+AI10-Пост!$E$5-Пост!$E$18-Пост!$E$21)*ндс</f>
        <v>161.15530217142856</v>
      </c>
      <c r="AJ23" s="116">
        <f>('1-Ф3'!AJ12/Исх!$C$19+AJ10-Пост!$E$5-Пост!$E$18-Пост!$E$21)*ндс</f>
        <v>167.95486457142857</v>
      </c>
      <c r="AK23" s="116">
        <f>('1-Ф3'!AK12/Исх!$C$19+AK10-Пост!$E$5-Пост!$E$18-Пост!$E$21)*ндс</f>
        <v>167.95486457142857</v>
      </c>
      <c r="AL23" s="116">
        <f>('1-Ф3'!AL12/Исх!$C$19+AL10-Пост!$E$5-Пост!$E$18-Пост!$E$21)*ндс</f>
        <v>167.95486457142857</v>
      </c>
      <c r="AM23" s="116">
        <f>('1-Ф3'!AM12/Исх!$C$19+AM10-Пост!$E$5-Пост!$E$18-Пост!$E$21)*ндс</f>
        <v>174.75442697142861</v>
      </c>
      <c r="AN23" s="116">
        <f>('1-Ф3'!AN12/Исх!$C$19+AN10-Пост!$E$5-Пост!$E$18-Пост!$E$21)*ндс</f>
        <v>174.75442697142861</v>
      </c>
      <c r="AO23" s="116">
        <f>('1-Ф3'!AO12/Исх!$C$19+AO10-Пост!$E$5-Пост!$E$18-Пост!$E$21)*ндс</f>
        <v>174.75442697142861</v>
      </c>
      <c r="AP23" s="117">
        <f>SUM(AD23:AO23)</f>
        <v>1995.0596876571424</v>
      </c>
      <c r="AQ23" s="116">
        <f>(AQ7+AQ10-(Пост!F5+Пост!F18+Пост!F21)*12)*ндс</f>
        <v>2097.0531236571424</v>
      </c>
      <c r="AR23" s="116">
        <f>(AR7+AR10-(Пост!G5+Пост!G18+Пост!G21)*12)*ндс</f>
        <v>2178.6478724571434</v>
      </c>
      <c r="AS23" s="116">
        <f>(AS7+AS10-(Пост!H5+Пост!H18+Пост!H21)*12)*ндс</f>
        <v>2260.242621257142</v>
      </c>
      <c r="AT23" s="116">
        <f>(AT7+AT10-(Пост!I5+Пост!I18+Пост!I21)*12)*ндс</f>
        <v>2341.8373700571424</v>
      </c>
      <c r="AU23" s="116">
        <f>(AU7+AU10-(Пост!J5+Пост!J18+Пост!J21)*12)*ндс</f>
        <v>2423.432118857142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>
      <c r="A24" s="114" t="s">
        <v>164</v>
      </c>
      <c r="B24" s="96">
        <f>P24+AC24+AP24+AQ24+AR24+AS24+AT24+AU24</f>
        <v>581.2170514285714</v>
      </c>
      <c r="C24" s="116"/>
      <c r="D24" s="116">
        <f>Инв!E19/Исх!$C$19*ндс</f>
        <v>0</v>
      </c>
      <c r="E24" s="116">
        <f>Инв!F19/Исх!$C$19*ндс</f>
        <v>0</v>
      </c>
      <c r="F24" s="116">
        <f>Инв!G19/Исх!$C$19*ндс</f>
        <v>0</v>
      </c>
      <c r="G24" s="116">
        <f>Инв!H19/Исх!$C$19*ндс</f>
        <v>0</v>
      </c>
      <c r="H24" s="116">
        <f>Инв!I19/Исх!$C$19*ндс</f>
        <v>0</v>
      </c>
      <c r="I24" s="116">
        <f>Инв!J19/Исх!$C$19*ндс</f>
        <v>0</v>
      </c>
      <c r="J24" s="116">
        <f>Инв!K19/Исх!$C$19*ндс</f>
        <v>0</v>
      </c>
      <c r="K24" s="116">
        <f>Инв!L19/Исх!$C$19*ндс</f>
        <v>0</v>
      </c>
      <c r="L24" s="116">
        <f>Инв!M19/Исх!$C$19*ндс</f>
        <v>0</v>
      </c>
      <c r="M24" s="116">
        <f>Инв!N19/Исх!$C$19*ндс</f>
        <v>40.06095428571428</v>
      </c>
      <c r="N24" s="116">
        <f>Инв!O19/Исх!$C$19*ндс</f>
        <v>0</v>
      </c>
      <c r="O24" s="116">
        <f>Инв!P19/Исх!$C$19*ндс</f>
        <v>541.1560971428571</v>
      </c>
      <c r="P24" s="117">
        <f>SUM(D24:O24)</f>
        <v>581.2170514285714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>
        <f>SUM(Q24:AB24)</f>
        <v>0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7">
        <f>SUM(AD24:AO24)</f>
        <v>0</v>
      </c>
      <c r="AQ24" s="117"/>
      <c r="AR24" s="117"/>
      <c r="AS24" s="117"/>
      <c r="AT24" s="117"/>
      <c r="AU24" s="117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>
      <c r="A25" s="114" t="s">
        <v>30</v>
      </c>
      <c r="B25" s="96">
        <f>P25+AC25+AP25+AQ25+AR25+AS25+AT25+AU25</f>
        <v>21204.34905205714</v>
      </c>
      <c r="C25" s="116"/>
      <c r="D25" s="116">
        <f>D22-D23-D24</f>
        <v>0</v>
      </c>
      <c r="E25" s="116">
        <f aca="true" t="shared" si="24" ref="E25:O25">E22-E23-E24</f>
        <v>0</v>
      </c>
      <c r="F25" s="116">
        <f t="shared" si="24"/>
        <v>0</v>
      </c>
      <c r="G25" s="116">
        <f t="shared" si="24"/>
        <v>0</v>
      </c>
      <c r="H25" s="116">
        <f t="shared" si="24"/>
        <v>0</v>
      </c>
      <c r="I25" s="116">
        <f t="shared" si="24"/>
        <v>0</v>
      </c>
      <c r="J25" s="116">
        <f t="shared" si="24"/>
        <v>0</v>
      </c>
      <c r="K25" s="116">
        <f t="shared" si="24"/>
        <v>0</v>
      </c>
      <c r="L25" s="116">
        <f t="shared" si="24"/>
        <v>0</v>
      </c>
      <c r="M25" s="116">
        <f t="shared" si="24"/>
        <v>-40.06095428571428</v>
      </c>
      <c r="N25" s="116">
        <f t="shared" si="24"/>
        <v>0</v>
      </c>
      <c r="O25" s="116">
        <f t="shared" si="24"/>
        <v>-622.7508459428572</v>
      </c>
      <c r="P25" s="117">
        <f>SUM(D25:O25)</f>
        <v>-662.8118002285714</v>
      </c>
      <c r="Q25" s="116">
        <f aca="true" t="shared" si="25" ref="Q25:AA25">Q22-Q23-Q24</f>
        <v>49.86528651428566</v>
      </c>
      <c r="R25" s="116">
        <f t="shared" si="25"/>
        <v>85.55725079999993</v>
      </c>
      <c r="S25" s="116">
        <f t="shared" si="25"/>
        <v>154.19564365714274</v>
      </c>
      <c r="T25" s="116">
        <f t="shared" si="25"/>
        <v>147.39608125714273</v>
      </c>
      <c r="U25" s="116">
        <f t="shared" si="25"/>
        <v>147.39608125714273</v>
      </c>
      <c r="V25" s="116">
        <f t="shared" si="25"/>
        <v>147.39608125714273</v>
      </c>
      <c r="W25" s="116">
        <f t="shared" si="25"/>
        <v>133.79695645714276</v>
      </c>
      <c r="X25" s="116">
        <f t="shared" si="25"/>
        <v>133.79695645714276</v>
      </c>
      <c r="Y25" s="116">
        <f t="shared" si="25"/>
        <v>133.79695645714276</v>
      </c>
      <c r="Z25" s="116">
        <f t="shared" si="25"/>
        <v>120.19783165714276</v>
      </c>
      <c r="AA25" s="116">
        <f t="shared" si="25"/>
        <v>120.19783165714276</v>
      </c>
      <c r="AB25" s="116">
        <f>AB22-AB23-AB24</f>
        <v>120.19783165714276</v>
      </c>
      <c r="AC25" s="117">
        <f>SUM(Q25:AB25)</f>
        <v>1493.7907890857134</v>
      </c>
      <c r="AD25" s="116">
        <f>AD22-AD23-AD24</f>
        <v>233.9339835428571</v>
      </c>
      <c r="AE25" s="116">
        <f aca="true" t="shared" si="26" ref="AE25:AO25">AE22-AE23-AE24</f>
        <v>233.9339835428571</v>
      </c>
      <c r="AF25" s="116">
        <f t="shared" si="26"/>
        <v>233.9339835428571</v>
      </c>
      <c r="AG25" s="116">
        <f t="shared" si="26"/>
        <v>233.9339835428571</v>
      </c>
      <c r="AH25" s="116">
        <f t="shared" si="26"/>
        <v>233.9339835428571</v>
      </c>
      <c r="AI25" s="116">
        <f t="shared" si="26"/>
        <v>233.9339835428571</v>
      </c>
      <c r="AJ25" s="116">
        <f t="shared" si="26"/>
        <v>227.1344211428571</v>
      </c>
      <c r="AK25" s="116">
        <f t="shared" si="26"/>
        <v>227.1344211428571</v>
      </c>
      <c r="AL25" s="116">
        <f t="shared" si="26"/>
        <v>227.1344211428571</v>
      </c>
      <c r="AM25" s="116">
        <f t="shared" si="26"/>
        <v>220.33485874285705</v>
      </c>
      <c r="AN25" s="116">
        <f t="shared" si="26"/>
        <v>220.33485874285705</v>
      </c>
      <c r="AO25" s="116">
        <f t="shared" si="26"/>
        <v>220.33485874285705</v>
      </c>
      <c r="AP25" s="117">
        <f>SUM(AD25:AO25)</f>
        <v>2746.0117409142854</v>
      </c>
      <c r="AQ25" s="116">
        <f>AQ22-AQ23-AQ24</f>
        <v>3045.804019199999</v>
      </c>
      <c r="AR25" s="116">
        <f>AR22-AR23-AR24</f>
        <v>3285.6378418285703</v>
      </c>
      <c r="AS25" s="116">
        <f>AS22-AS23-AS24</f>
        <v>3525.471664457143</v>
      </c>
      <c r="AT25" s="116">
        <f>AT22-AT23-AT24</f>
        <v>3765.3054870857136</v>
      </c>
      <c r="AU25" s="116">
        <f>AU22-AU23-AU24</f>
        <v>4005.1393097142854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>
      <c r="A26" s="114" t="s">
        <v>165</v>
      </c>
      <c r="B26" s="102">
        <f>AU26</f>
        <v>21204.34905205714</v>
      </c>
      <c r="C26" s="116"/>
      <c r="D26" s="116">
        <f>D25</f>
        <v>0</v>
      </c>
      <c r="E26" s="116">
        <f>D26+E25</f>
        <v>0</v>
      </c>
      <c r="F26" s="116">
        <f aca="true" t="shared" si="27" ref="F26:O26">E26+F25</f>
        <v>0</v>
      </c>
      <c r="G26" s="116">
        <f t="shared" si="27"/>
        <v>0</v>
      </c>
      <c r="H26" s="116">
        <f t="shared" si="27"/>
        <v>0</v>
      </c>
      <c r="I26" s="116">
        <f t="shared" si="27"/>
        <v>0</v>
      </c>
      <c r="J26" s="116">
        <f t="shared" si="27"/>
        <v>0</v>
      </c>
      <c r="K26" s="116">
        <f t="shared" si="27"/>
        <v>0</v>
      </c>
      <c r="L26" s="116">
        <f t="shared" si="27"/>
        <v>0</v>
      </c>
      <c r="M26" s="116">
        <f t="shared" si="27"/>
        <v>-40.06095428571428</v>
      </c>
      <c r="N26" s="116">
        <f t="shared" si="27"/>
        <v>-40.06095428571428</v>
      </c>
      <c r="O26" s="116">
        <f t="shared" si="27"/>
        <v>-662.8118002285714</v>
      </c>
      <c r="P26" s="117">
        <f>O26</f>
        <v>-662.8118002285714</v>
      </c>
      <c r="Q26" s="116">
        <f aca="true" t="shared" si="28" ref="Q26:AB26">P26+Q25</f>
        <v>-612.9465137142857</v>
      </c>
      <c r="R26" s="116">
        <f t="shared" si="28"/>
        <v>-527.3892629142858</v>
      </c>
      <c r="S26" s="116">
        <f t="shared" si="28"/>
        <v>-373.1936192571431</v>
      </c>
      <c r="T26" s="116">
        <f t="shared" si="28"/>
        <v>-225.79753800000037</v>
      </c>
      <c r="U26" s="116">
        <f t="shared" si="28"/>
        <v>-78.40145674285765</v>
      </c>
      <c r="V26" s="116">
        <f t="shared" si="28"/>
        <v>68.99462451428508</v>
      </c>
      <c r="W26" s="116">
        <f t="shared" si="28"/>
        <v>202.79158097142783</v>
      </c>
      <c r="X26" s="116">
        <f t="shared" si="28"/>
        <v>336.5885374285706</v>
      </c>
      <c r="Y26" s="116">
        <f t="shared" si="28"/>
        <v>470.38549388571334</v>
      </c>
      <c r="Z26" s="116">
        <f t="shared" si="28"/>
        <v>590.5833255428561</v>
      </c>
      <c r="AA26" s="116">
        <f t="shared" si="28"/>
        <v>710.7811571999988</v>
      </c>
      <c r="AB26" s="116">
        <f t="shared" si="28"/>
        <v>830.9789888571415</v>
      </c>
      <c r="AC26" s="117">
        <f>AB26</f>
        <v>830.9789888571415</v>
      </c>
      <c r="AD26" s="116">
        <f aca="true" t="shared" si="29" ref="AD26:AO26">AC26+AD25</f>
        <v>1064.9129723999986</v>
      </c>
      <c r="AE26" s="116">
        <f t="shared" si="29"/>
        <v>1298.8469559428556</v>
      </c>
      <c r="AF26" s="116">
        <f t="shared" si="29"/>
        <v>1532.7809394857127</v>
      </c>
      <c r="AG26" s="116">
        <f t="shared" si="29"/>
        <v>1766.7149230285697</v>
      </c>
      <c r="AH26" s="116">
        <f t="shared" si="29"/>
        <v>2000.6489065714268</v>
      </c>
      <c r="AI26" s="116">
        <f t="shared" si="29"/>
        <v>2234.582890114284</v>
      </c>
      <c r="AJ26" s="116">
        <f t="shared" si="29"/>
        <v>2461.7173112571413</v>
      </c>
      <c r="AK26" s="116">
        <f t="shared" si="29"/>
        <v>2688.8517323999986</v>
      </c>
      <c r="AL26" s="116">
        <f t="shared" si="29"/>
        <v>2915.986153542856</v>
      </c>
      <c r="AM26" s="116">
        <f t="shared" si="29"/>
        <v>3136.321012285713</v>
      </c>
      <c r="AN26" s="116">
        <f t="shared" si="29"/>
        <v>3356.6558710285703</v>
      </c>
      <c r="AO26" s="116">
        <f t="shared" si="29"/>
        <v>3576.9907297714276</v>
      </c>
      <c r="AP26" s="117">
        <f>AO26</f>
        <v>3576.9907297714276</v>
      </c>
      <c r="AQ26" s="116">
        <f>AP26+AQ25</f>
        <v>6622.794748971426</v>
      </c>
      <c r="AR26" s="116">
        <f>AQ26+AR25</f>
        <v>9908.432590799996</v>
      </c>
      <c r="AS26" s="116">
        <f>AR26+AS25</f>
        <v>13433.904255257139</v>
      </c>
      <c r="AT26" s="116">
        <f>AS26+AT25</f>
        <v>17199.209742342853</v>
      </c>
      <c r="AU26" s="116">
        <f>AT26+AU25</f>
        <v>21204.34905205714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>
      <c r="A27" s="114" t="s">
        <v>166</v>
      </c>
      <c r="B27" s="96">
        <f>P27+AC27+AP27+AQ27+AR27+AS27+AT27+AU27</f>
        <v>21204.34905205714</v>
      </c>
      <c r="C27" s="116"/>
      <c r="D27" s="116">
        <f>IF(C26+D25&gt;=0,IF(C26&lt;0,C26+D25,D25),0)</f>
        <v>0</v>
      </c>
      <c r="E27" s="116">
        <f aca="true" t="shared" si="30" ref="E27:AU27">IF(D26+E25&gt;=0,IF(D26&lt;0,D26+E25,E25),0)</f>
        <v>0</v>
      </c>
      <c r="F27" s="116">
        <f t="shared" si="30"/>
        <v>0</v>
      </c>
      <c r="G27" s="116">
        <f t="shared" si="30"/>
        <v>0</v>
      </c>
      <c r="H27" s="116">
        <f t="shared" si="30"/>
        <v>0</v>
      </c>
      <c r="I27" s="116">
        <f t="shared" si="30"/>
        <v>0</v>
      </c>
      <c r="J27" s="116">
        <f t="shared" si="30"/>
        <v>0</v>
      </c>
      <c r="K27" s="116">
        <f t="shared" si="30"/>
        <v>0</v>
      </c>
      <c r="L27" s="116">
        <f t="shared" si="30"/>
        <v>0</v>
      </c>
      <c r="M27" s="116">
        <f t="shared" si="30"/>
        <v>0</v>
      </c>
      <c r="N27" s="116">
        <f t="shared" si="30"/>
        <v>0</v>
      </c>
      <c r="O27" s="116">
        <f t="shared" si="30"/>
        <v>0</v>
      </c>
      <c r="P27" s="117">
        <f>SUM(D27:O27)</f>
        <v>0</v>
      </c>
      <c r="Q27" s="116">
        <f t="shared" si="30"/>
        <v>0</v>
      </c>
      <c r="R27" s="116">
        <f t="shared" si="30"/>
        <v>0</v>
      </c>
      <c r="S27" s="116">
        <f t="shared" si="30"/>
        <v>0</v>
      </c>
      <c r="T27" s="116">
        <f t="shared" si="30"/>
        <v>0</v>
      </c>
      <c r="U27" s="116">
        <f t="shared" si="30"/>
        <v>0</v>
      </c>
      <c r="V27" s="116">
        <f t="shared" si="30"/>
        <v>68.99462451428508</v>
      </c>
      <c r="W27" s="116">
        <f t="shared" si="30"/>
        <v>133.79695645714276</v>
      </c>
      <c r="X27" s="116">
        <f t="shared" si="30"/>
        <v>133.79695645714276</v>
      </c>
      <c r="Y27" s="116">
        <f t="shared" si="30"/>
        <v>133.79695645714276</v>
      </c>
      <c r="Z27" s="116">
        <f t="shared" si="30"/>
        <v>120.19783165714276</v>
      </c>
      <c r="AA27" s="116">
        <f t="shared" si="30"/>
        <v>120.19783165714276</v>
      </c>
      <c r="AB27" s="116">
        <f t="shared" si="30"/>
        <v>120.19783165714276</v>
      </c>
      <c r="AC27" s="117">
        <f>SUM(Q27:AB27)</f>
        <v>830.9789888571415</v>
      </c>
      <c r="AD27" s="116">
        <f aca="true" t="shared" si="31" ref="AD27:AO27">IF(AC26+AD25&gt;=0,IF(AC26&lt;0,AC26+AD25,AD25),0)</f>
        <v>233.9339835428571</v>
      </c>
      <c r="AE27" s="116">
        <f t="shared" si="31"/>
        <v>233.9339835428571</v>
      </c>
      <c r="AF27" s="116">
        <f t="shared" si="31"/>
        <v>233.9339835428571</v>
      </c>
      <c r="AG27" s="116">
        <f t="shared" si="31"/>
        <v>233.9339835428571</v>
      </c>
      <c r="AH27" s="116">
        <f t="shared" si="31"/>
        <v>233.9339835428571</v>
      </c>
      <c r="AI27" s="116">
        <f t="shared" si="31"/>
        <v>233.9339835428571</v>
      </c>
      <c r="AJ27" s="116">
        <f t="shared" si="31"/>
        <v>227.1344211428571</v>
      </c>
      <c r="AK27" s="116">
        <f t="shared" si="31"/>
        <v>227.1344211428571</v>
      </c>
      <c r="AL27" s="116">
        <f t="shared" si="31"/>
        <v>227.1344211428571</v>
      </c>
      <c r="AM27" s="116">
        <f t="shared" si="31"/>
        <v>220.33485874285705</v>
      </c>
      <c r="AN27" s="116">
        <f t="shared" si="31"/>
        <v>220.33485874285705</v>
      </c>
      <c r="AO27" s="116">
        <f t="shared" si="31"/>
        <v>220.33485874285705</v>
      </c>
      <c r="AP27" s="117">
        <f>SUM(AD27:AO27)</f>
        <v>2746.0117409142854</v>
      </c>
      <c r="AQ27" s="116">
        <f t="shared" si="30"/>
        <v>3045.804019199999</v>
      </c>
      <c r="AR27" s="116">
        <f t="shared" si="30"/>
        <v>3285.6378418285703</v>
      </c>
      <c r="AS27" s="116">
        <f t="shared" si="30"/>
        <v>3525.471664457143</v>
      </c>
      <c r="AT27" s="116">
        <f t="shared" si="30"/>
        <v>3765.3054870857136</v>
      </c>
      <c r="AU27" s="116">
        <f t="shared" si="30"/>
        <v>4005.1393097142854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9" ht="12.75">
      <c r="B29" s="274">
        <f>B22-B23-B24</f>
        <v>21204.34905205714</v>
      </c>
    </row>
    <row r="30" ht="12.75">
      <c r="B30" s="311"/>
    </row>
  </sheetData>
  <sheetProtection/>
  <mergeCells count="10">
    <mergeCell ref="AD3:AP3"/>
    <mergeCell ref="AD19:AP19"/>
    <mergeCell ref="Q19:AC19"/>
    <mergeCell ref="Q3:AC3"/>
    <mergeCell ref="A3:A4"/>
    <mergeCell ref="A19:A20"/>
    <mergeCell ref="B3:B4"/>
    <mergeCell ref="D19:P19"/>
    <mergeCell ref="B19:B20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Q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14" sqref="AD14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hidden="1" customWidth="1" outlineLevel="1"/>
    <col min="5" max="11" width="7.375" style="119" hidden="1" customWidth="1" outlineLevel="1"/>
    <col min="12" max="12" width="8.00390625" style="119" hidden="1" customWidth="1" outlineLevel="1"/>
    <col min="13" max="13" width="7.875" style="119" hidden="1" customWidth="1" outlineLevel="1"/>
    <col min="14" max="15" width="8.125" style="119" hidden="1" customWidth="1" outlineLevel="1"/>
    <col min="16" max="16" width="9.875" style="119" customWidth="1" collapsed="1"/>
    <col min="17" max="20" width="8.375" style="119" hidden="1" customWidth="1" outlineLevel="1"/>
    <col min="21" max="26" width="9.125" style="119" hidden="1" customWidth="1" outlineLevel="1"/>
    <col min="27" max="27" width="9.00390625" style="119" hidden="1" customWidth="1" outlineLevel="1"/>
    <col min="28" max="28" width="9.125" style="119" hidden="1" customWidth="1" outlineLevel="1"/>
    <col min="29" max="29" width="10.125" style="119" customWidth="1" collapsed="1"/>
    <col min="30" max="39" width="10.25390625" style="119" hidden="1" customWidth="1" outlineLevel="1"/>
    <col min="40" max="40" width="9.00390625" style="119" hidden="1" customWidth="1" outlineLevel="1"/>
    <col min="41" max="41" width="9.125" style="119" hidden="1" customWidth="1" outlineLevel="1"/>
    <col min="42" max="42" width="9.875" style="119" customWidth="1" collapsed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113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44" t="s">
        <v>3</v>
      </c>
      <c r="B3" s="346"/>
      <c r="C3" s="122"/>
      <c r="D3" s="347">
        <v>2013</v>
      </c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>
        <v>2014</v>
      </c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8">
        <f>Q3+1</f>
        <v>2015</v>
      </c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50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45"/>
      <c r="B4" s="346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</row>
    <row r="5" spans="1:54" s="130" customFormat="1" ht="15" customHeight="1">
      <c r="A5" s="126" t="s">
        <v>114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0</v>
      </c>
      <c r="L5" s="128">
        <f t="shared" si="3"/>
        <v>0</v>
      </c>
      <c r="M5" s="128">
        <f t="shared" si="3"/>
        <v>373.90223999999995</v>
      </c>
      <c r="N5" s="128">
        <f t="shared" si="3"/>
        <v>5424.692480000001</v>
      </c>
      <c r="O5" s="128">
        <f t="shared" si="3"/>
        <v>6186.2434688</v>
      </c>
      <c r="P5" s="128">
        <f t="shared" si="3"/>
        <v>6186.2434688</v>
      </c>
      <c r="Q5" s="128">
        <f t="shared" si="3"/>
        <v>6455.905761614285</v>
      </c>
      <c r="R5" s="128">
        <f t="shared" si="3"/>
        <v>7145.278350405855</v>
      </c>
      <c r="S5" s="128">
        <f t="shared" si="3"/>
        <v>7023.75935381995</v>
      </c>
      <c r="T5" s="128">
        <f t="shared" si="3"/>
        <v>6902.240357234045</v>
      </c>
      <c r="U5" s="128">
        <f t="shared" si="3"/>
        <v>6780.721360648139</v>
      </c>
      <c r="V5" s="128">
        <f t="shared" si="3"/>
        <v>6659.202364062234</v>
      </c>
      <c r="W5" s="128">
        <f t="shared" si="3"/>
        <v>6537.683367476329</v>
      </c>
      <c r="X5" s="128">
        <f t="shared" si="3"/>
        <v>6412.106194934285</v>
      </c>
      <c r="Y5" s="128">
        <f t="shared" si="3"/>
        <v>6231.709892366515</v>
      </c>
      <c r="Z5" s="128">
        <f t="shared" si="3"/>
        <v>6051.313589798746</v>
      </c>
      <c r="AA5" s="128">
        <f t="shared" si="3"/>
        <v>5870.917287230977</v>
      </c>
      <c r="AB5" s="128">
        <f t="shared" si="3"/>
        <v>5690.520984663208</v>
      </c>
      <c r="AC5" s="128">
        <f t="shared" si="3"/>
        <v>5690.520984663208</v>
      </c>
      <c r="AD5" s="128">
        <f aca="true" t="shared" si="4" ref="AD5:AP5">AD11+AD6</f>
        <v>6259.605377809725</v>
      </c>
      <c r="AE5" s="128">
        <f t="shared" si="4"/>
        <v>6828.689770956242</v>
      </c>
      <c r="AF5" s="128">
        <f t="shared" si="4"/>
        <v>7397.77416410276</v>
      </c>
      <c r="AG5" s="128">
        <f t="shared" si="4"/>
        <v>7966.858557249277</v>
      </c>
      <c r="AH5" s="128">
        <f t="shared" si="4"/>
        <v>8418.728535447059</v>
      </c>
      <c r="AI5" s="128">
        <f t="shared" si="4"/>
        <v>8861.582765066294</v>
      </c>
      <c r="AJ5" s="128">
        <f t="shared" si="4"/>
        <v>9304.364583856957</v>
      </c>
      <c r="AK5" s="128">
        <f t="shared" si="4"/>
        <v>9747.073569422548</v>
      </c>
      <c r="AL5" s="128">
        <f t="shared" si="4"/>
        <v>10189.70929690259</v>
      </c>
      <c r="AM5" s="128">
        <f t="shared" si="4"/>
        <v>10632.271338958248</v>
      </c>
      <c r="AN5" s="128">
        <f t="shared" si="4"/>
        <v>11074.759265757879</v>
      </c>
      <c r="AO5" s="128">
        <f t="shared" si="4"/>
        <v>11517.172644962491</v>
      </c>
      <c r="AP5" s="128">
        <f t="shared" si="4"/>
        <v>11517.172644962491</v>
      </c>
      <c r="AQ5" s="128">
        <f t="shared" si="3"/>
        <v>18818.772813073403</v>
      </c>
      <c r="AR5" s="128">
        <f t="shared" si="3"/>
        <v>27707.68243976378</v>
      </c>
      <c r="AS5" s="128">
        <f t="shared" si="3"/>
        <v>38183.064211272314</v>
      </c>
      <c r="AT5" s="128">
        <f t="shared" si="3"/>
        <v>50244.02028435824</v>
      </c>
      <c r="AU5" s="128">
        <f>AU11+AU6</f>
        <v>63986.94779198439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115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0</v>
      </c>
      <c r="L6" s="128">
        <f t="shared" si="5"/>
        <v>0</v>
      </c>
      <c r="M6" s="128">
        <f t="shared" si="5"/>
        <v>333.8412857142857</v>
      </c>
      <c r="N6" s="128">
        <f t="shared" si="5"/>
        <v>5384.631525714286</v>
      </c>
      <c r="O6" s="128">
        <f t="shared" si="5"/>
        <v>679.9562400000001</v>
      </c>
      <c r="P6" s="128">
        <f t="shared" si="5"/>
        <v>679.9562400000001</v>
      </c>
      <c r="Q6" s="128">
        <f t="shared" si="5"/>
        <v>1039.8461145666665</v>
      </c>
      <c r="R6" s="128">
        <f t="shared" si="5"/>
        <v>1855.1382493963333</v>
      </c>
      <c r="S6" s="128">
        <f t="shared" si="5"/>
        <v>1928.177191705666</v>
      </c>
      <c r="T6" s="128">
        <f t="shared" si="5"/>
        <v>1994.416571614999</v>
      </c>
      <c r="U6" s="128">
        <f t="shared" si="5"/>
        <v>2060.6559515243316</v>
      </c>
      <c r="V6" s="128">
        <f t="shared" si="5"/>
        <v>2057.9007069193794</v>
      </c>
      <c r="W6" s="128">
        <f t="shared" si="5"/>
        <v>1976.7440055715701</v>
      </c>
      <c r="X6" s="128">
        <f t="shared" si="5"/>
        <v>1891.5291282676214</v>
      </c>
      <c r="Y6" s="128">
        <f t="shared" si="5"/>
        <v>1751.4951209379478</v>
      </c>
      <c r="Z6" s="128">
        <f t="shared" si="5"/>
        <v>1611.4611136082742</v>
      </c>
      <c r="AA6" s="128">
        <f t="shared" si="5"/>
        <v>1471.4271062786006</v>
      </c>
      <c r="AB6" s="128">
        <f t="shared" si="5"/>
        <v>1331.3930989489274</v>
      </c>
      <c r="AC6" s="128">
        <f t="shared" si="5"/>
        <v>1331.3930989489274</v>
      </c>
      <c r="AD6" s="128">
        <f aca="true" t="shared" si="6" ref="AD6:AP6">SUM(AD7:AD10)</f>
        <v>1940.83978733354</v>
      </c>
      <c r="AE6" s="128">
        <f t="shared" si="6"/>
        <v>2550.286475718153</v>
      </c>
      <c r="AF6" s="128">
        <f t="shared" si="6"/>
        <v>3159.733164102766</v>
      </c>
      <c r="AG6" s="128">
        <f t="shared" si="6"/>
        <v>3769.1798524873784</v>
      </c>
      <c r="AH6" s="128">
        <f t="shared" si="6"/>
        <v>4261.412125923256</v>
      </c>
      <c r="AI6" s="128">
        <f t="shared" si="6"/>
        <v>4744.628650780586</v>
      </c>
      <c r="AJ6" s="128">
        <f t="shared" si="6"/>
        <v>5227.772764809345</v>
      </c>
      <c r="AK6" s="128">
        <f t="shared" si="6"/>
        <v>5710.844045613032</v>
      </c>
      <c r="AL6" s="128">
        <f t="shared" si="6"/>
        <v>6193.842068331169</v>
      </c>
      <c r="AM6" s="128">
        <f t="shared" si="6"/>
        <v>6676.766405624921</v>
      </c>
      <c r="AN6" s="128">
        <f t="shared" si="6"/>
        <v>7159.616627662648</v>
      </c>
      <c r="AO6" s="128">
        <f t="shared" si="6"/>
        <v>7642.392302105356</v>
      </c>
      <c r="AP6" s="128">
        <f t="shared" si="6"/>
        <v>7642.392302105356</v>
      </c>
      <c r="AQ6" s="128">
        <f t="shared" si="5"/>
        <v>15428.34001307341</v>
      </c>
      <c r="AR6" s="128">
        <f t="shared" si="5"/>
        <v>24801.597182620928</v>
      </c>
      <c r="AS6" s="128">
        <f t="shared" si="5"/>
        <v>35761.32649698661</v>
      </c>
      <c r="AT6" s="128">
        <f t="shared" si="5"/>
        <v>48306.63011292967</v>
      </c>
      <c r="AU6" s="128">
        <f>SUM(AU7:AU10)</f>
        <v>62533.90516341297</v>
      </c>
    </row>
    <row r="7" spans="1:47" ht="15" customHeight="1">
      <c r="A7" s="131" t="s">
        <v>116</v>
      </c>
      <c r="B7" s="127"/>
      <c r="C7" s="132"/>
      <c r="D7" s="132">
        <f>'1-Ф3'!D34</f>
        <v>0</v>
      </c>
      <c r="E7" s="132">
        <f>'1-Ф3'!E34</f>
        <v>0</v>
      </c>
      <c r="F7" s="132">
        <f>'1-Ф3'!F34</f>
        <v>0</v>
      </c>
      <c r="G7" s="132">
        <f>'1-Ф3'!G34</f>
        <v>0</v>
      </c>
      <c r="H7" s="132">
        <f>'1-Ф3'!H34</f>
        <v>0</v>
      </c>
      <c r="I7" s="132">
        <f>'1-Ф3'!I34</f>
        <v>0</v>
      </c>
      <c r="J7" s="132">
        <f>'1-Ф3'!J34</f>
        <v>0</v>
      </c>
      <c r="K7" s="132">
        <f>'1-Ф3'!K34</f>
        <v>0</v>
      </c>
      <c r="L7" s="132">
        <f>'1-Ф3'!L34</f>
        <v>0</v>
      </c>
      <c r="M7" s="132">
        <f>'1-Ф3'!M34</f>
        <v>0</v>
      </c>
      <c r="N7" s="132">
        <f>'1-Ф3'!N34</f>
        <v>5050.79024</v>
      </c>
      <c r="O7" s="132">
        <f>'1-Ф3'!O34</f>
        <v>0</v>
      </c>
      <c r="P7" s="132">
        <f>'1-Ф3'!P34</f>
        <v>0</v>
      </c>
      <c r="Q7" s="132">
        <f>'1-Ф3'!Q34</f>
        <v>266.6792066666666</v>
      </c>
      <c r="R7" s="132">
        <f>'1-Ф3'!R34</f>
        <v>1064.264147746333</v>
      </c>
      <c r="S7" s="132">
        <f>'1-Ф3'!S34</f>
        <v>1264.7948850556659</v>
      </c>
      <c r="T7" s="132">
        <f>'1-Ф3'!T34</f>
        <v>1401.8630399649987</v>
      </c>
      <c r="U7" s="132">
        <f>'1-Ф3'!U34</f>
        <v>1538.9311948743316</v>
      </c>
      <c r="V7" s="132">
        <f>'1-Ф3'!V34</f>
        <v>1607.0047252693794</v>
      </c>
      <c r="W7" s="132">
        <f>'1-Ф3'!W34</f>
        <v>1483.3507589215696</v>
      </c>
      <c r="X7" s="132">
        <f>'1-Ф3'!X34</f>
        <v>1355.638616617621</v>
      </c>
      <c r="Y7" s="132">
        <f>'1-Ф3'!Y34</f>
        <v>1173.1073442879474</v>
      </c>
      <c r="Z7" s="132">
        <f>'1-Ф3'!Z34</f>
        <v>877.2500319582737</v>
      </c>
      <c r="AA7" s="132">
        <f>'1-Ф3'!AA34</f>
        <v>581.3927196286</v>
      </c>
      <c r="AB7" s="132">
        <f>'1-Ф3'!AB34</f>
        <v>285.5354072989266</v>
      </c>
      <c r="AC7" s="132">
        <f>'1-Ф3'!AC34</f>
        <v>285.5354072989266</v>
      </c>
      <c r="AD7" s="132">
        <f>'1-Ф3'!AD34</f>
        <v>937.4793606835392</v>
      </c>
      <c r="AE7" s="132">
        <f>'1-Ф3'!AE34</f>
        <v>1589.423314068152</v>
      </c>
      <c r="AF7" s="132">
        <f>'1-Ф3'!AF34</f>
        <v>2241.3672674527647</v>
      </c>
      <c r="AG7" s="132">
        <f>'1-Ф3'!AG34</f>
        <v>2893.3112208373777</v>
      </c>
      <c r="AH7" s="132">
        <f>'1-Ф3'!AH34</f>
        <v>3428.040759273255</v>
      </c>
      <c r="AI7" s="132">
        <f>'1-Ф3'!AI34</f>
        <v>3953.7545491305855</v>
      </c>
      <c r="AJ7" s="132">
        <f>'1-Ф3'!AJ34</f>
        <v>4422.732908159344</v>
      </c>
      <c r="AK7" s="132">
        <f>'1-Ф3'!AK34</f>
        <v>4891.638433963031</v>
      </c>
      <c r="AL7" s="132">
        <f>'1-Ф3'!AL34</f>
        <v>5360.470701681168</v>
      </c>
      <c r="AM7" s="132">
        <f>'1-Ф3'!AM34</f>
        <v>5772.566263974921</v>
      </c>
      <c r="AN7" s="132">
        <f>'1-Ф3'!AN34</f>
        <v>6184.587711012648</v>
      </c>
      <c r="AO7" s="132">
        <f>'1-Ф3'!AO34</f>
        <v>6596.5346104553555</v>
      </c>
      <c r="AP7" s="132">
        <f>'1-Ф3'!AP34</f>
        <v>6596.5346104553555</v>
      </c>
      <c r="AQ7" s="132">
        <f>'1-Ф3'!AQ34</f>
        <v>14382.48232142341</v>
      </c>
      <c r="AR7" s="132">
        <f>'1-Ф3'!AR34</f>
        <v>23755.739490970926</v>
      </c>
      <c r="AS7" s="132">
        <f>'1-Ф3'!AS34</f>
        <v>34715.468805336604</v>
      </c>
      <c r="AT7" s="132">
        <f>'1-Ф3'!AT34</f>
        <v>47260.77242127967</v>
      </c>
      <c r="AU7" s="132">
        <f>'1-Ф3'!AU34</f>
        <v>61488.04747176297</v>
      </c>
    </row>
    <row r="8" spans="1:47" ht="12.75">
      <c r="A8" s="131" t="s">
        <v>117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Инв!L29/Исх!$C$19</f>
        <v>0</v>
      </c>
      <c r="L8" s="132">
        <f>Инв!M29/Исх!$C$19</f>
        <v>0</v>
      </c>
      <c r="M8" s="132">
        <f>Инв!N29/Исх!$C$19</f>
        <v>333.8412857142857</v>
      </c>
      <c r="N8" s="132">
        <f>Инв!O29/Исх!$C$19</f>
        <v>333.8412857142857</v>
      </c>
      <c r="O8" s="132">
        <f>Инв!P29/Исх!$C$19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118</v>
      </c>
      <c r="B9" s="127"/>
      <c r="C9" s="132"/>
      <c r="D9" s="132">
        <f>C9+'1-Ф3'!D12/Исх!$C$19-'2-ф2'!D8</f>
        <v>0</v>
      </c>
      <c r="E9" s="132">
        <f>D9+'1-Ф3'!E12/Исх!$C$19-'2-ф2'!E8</f>
        <v>0</v>
      </c>
      <c r="F9" s="132">
        <f>E9+'1-Ф3'!F12/Исх!$C$19-'2-ф2'!F8</f>
        <v>0</v>
      </c>
      <c r="G9" s="132">
        <f>F9+'1-Ф3'!G12/Исх!$C$19-'2-ф2'!G8</f>
        <v>0</v>
      </c>
      <c r="H9" s="132">
        <f>G9+'1-Ф3'!H12/Исх!$C$19-'2-ф2'!H8</f>
        <v>0</v>
      </c>
      <c r="I9" s="132">
        <f>H9+'1-Ф3'!I12/Исх!$C$19-'2-ф2'!I8</f>
        <v>0</v>
      </c>
      <c r="J9" s="132">
        <f>I9+'1-Ф3'!J12/Исх!$C$19-'2-ф2'!J8</f>
        <v>0</v>
      </c>
      <c r="K9" s="132">
        <f>J9+'1-Ф3'!K12/Исх!$C$19-'2-ф2'!K8</f>
        <v>0</v>
      </c>
      <c r="L9" s="132">
        <f>K9+'1-Ф3'!L12/Исх!$C$19-'2-ф2'!L7</f>
        <v>0</v>
      </c>
      <c r="M9" s="132">
        <f>L9+'1-Ф3'!M12/Исх!$C$19-'2-ф2'!M7</f>
        <v>0</v>
      </c>
      <c r="N9" s="132">
        <f>M9+'1-Ф3'!N12/Исх!$C$19-'2-ф2'!N7</f>
        <v>0</v>
      </c>
      <c r="O9" s="132">
        <f>N9+'1-Ф3'!O12/Исх!$C$19-'2-ф2'!O7</f>
        <v>679.9562400000001</v>
      </c>
      <c r="P9" s="132">
        <f>O9</f>
        <v>679.9562400000001</v>
      </c>
      <c r="Q9" s="132">
        <f>P9+'1-Ф3'!Q12/Исх!$C$19-'2-ф2'!Q7</f>
        <v>773.1669079000001</v>
      </c>
      <c r="R9" s="132">
        <f>Q9+'1-Ф3'!R12/Исх!$C$19-'2-ф2'!R7</f>
        <v>790.8741016500002</v>
      </c>
      <c r="S9" s="132">
        <f>R9+'1-Ф3'!S12/Исх!$C$19-'2-ф2'!S7</f>
        <v>663.3823066500001</v>
      </c>
      <c r="T9" s="132">
        <f>S9+'1-Ф3'!T12/Исх!$C$19-'2-ф2'!T7</f>
        <v>592.5535316500002</v>
      </c>
      <c r="U9" s="132">
        <f>T9+'1-Ф3'!U12/Исх!$C$19-'2-ф2'!U7</f>
        <v>521.7247566500002</v>
      </c>
      <c r="V9" s="132">
        <f>U9+'1-Ф3'!V12/Исх!$C$19-'2-ф2'!V7</f>
        <v>450.8959816500003</v>
      </c>
      <c r="W9" s="132">
        <f>V9+'1-Ф3'!W12/Исх!$C$19-'2-ф2'!W7</f>
        <v>493.3932466500005</v>
      </c>
      <c r="X9" s="132">
        <f>W9+'1-Ф3'!X12/Исх!$C$19-'2-ф2'!X7</f>
        <v>535.8905116500005</v>
      </c>
      <c r="Y9" s="132">
        <f>X9+'1-Ф3'!Y12/Исх!$C$19-'2-ф2'!Y7</f>
        <v>578.3877766500004</v>
      </c>
      <c r="Z9" s="132">
        <f>Y9+'1-Ф3'!Z12/Исх!$C$19-'2-ф2'!Z7</f>
        <v>734.2110816500006</v>
      </c>
      <c r="AA9" s="132">
        <f>Z9+'1-Ф3'!AA12/Исх!$C$19-'2-ф2'!AA7</f>
        <v>890.0343866500007</v>
      </c>
      <c r="AB9" s="132">
        <f>AA9+'1-Ф3'!AB12/Исх!$C$19-'2-ф2'!AB7</f>
        <v>1045.8576916500008</v>
      </c>
      <c r="AC9" s="132">
        <f>AB9</f>
        <v>1045.8576916500008</v>
      </c>
      <c r="AD9" s="132">
        <f>AC9+'1-Ф3'!AD12/Исх!$C$19-'2-ф2'!AD7</f>
        <v>1003.3604266500008</v>
      </c>
      <c r="AE9" s="132">
        <f>AD9+'1-Ф3'!AE12/Исх!$C$19-'2-ф2'!AE7</f>
        <v>960.8631616500008</v>
      </c>
      <c r="AF9" s="132">
        <f>AE9+'1-Ф3'!AF12/Исх!$C$19-'2-ф2'!AF7</f>
        <v>918.3658966500009</v>
      </c>
      <c r="AG9" s="132">
        <f>AF9+'1-Ф3'!AG12/Исх!$C$19-'2-ф2'!AG7</f>
        <v>875.8686316500009</v>
      </c>
      <c r="AH9" s="132">
        <f>AG9+'1-Ф3'!AH12/Исх!$C$19-'2-ф2'!AH7</f>
        <v>833.3713666500009</v>
      </c>
      <c r="AI9" s="132">
        <f>AH9+'1-Ф3'!AI12/Исх!$C$19-'2-ф2'!AI7</f>
        <v>790.874101650001</v>
      </c>
      <c r="AJ9" s="132">
        <f>AI9+'1-Ф3'!AJ12/Исх!$C$19-'2-ф2'!AJ7</f>
        <v>805.039856650001</v>
      </c>
      <c r="AK9" s="132">
        <f>AJ9+'1-Ф3'!AK12/Исх!$C$19-'2-ф2'!AK7</f>
        <v>819.205611650001</v>
      </c>
      <c r="AL9" s="132">
        <f>AK9+'1-Ф3'!AL12/Исх!$C$19-'2-ф2'!AL7</f>
        <v>833.3713666500009</v>
      </c>
      <c r="AM9" s="132">
        <f>AL9+'1-Ф3'!AM12/Исх!$C$19-'2-ф2'!AM7</f>
        <v>904.2001416500009</v>
      </c>
      <c r="AN9" s="132">
        <f>AM9+'1-Ф3'!AN12/Исх!$C$19-'2-ф2'!AN7</f>
        <v>975.0289166500008</v>
      </c>
      <c r="AO9" s="132">
        <f>AN9+'1-Ф3'!AO12/Исх!$C$19-'2-ф2'!AO7</f>
        <v>1045.8576916500008</v>
      </c>
      <c r="AP9" s="132">
        <f>AO9</f>
        <v>1045.8576916500008</v>
      </c>
      <c r="AQ9" s="132">
        <f>AP9+'1-Ф3'!AQ12/Исх!$C$19-'2-ф2'!AQ7</f>
        <v>1045.8576916500006</v>
      </c>
      <c r="AR9" s="132">
        <f>AQ9+'1-Ф3'!AR12/Исх!$C$19-'2-ф2'!AR7</f>
        <v>1045.8576916500006</v>
      </c>
      <c r="AS9" s="132">
        <f>AR9+'1-Ф3'!AS12/Исх!$C$19-'2-ф2'!AS7</f>
        <v>1045.8576916500006</v>
      </c>
      <c r="AT9" s="132">
        <f>AS9+'1-Ф3'!AT12/Исх!$C$19-'2-ф2'!AT7</f>
        <v>1045.8576916500006</v>
      </c>
      <c r="AU9" s="132">
        <f>AT9+'1-Ф3'!AU12/Исх!$C$19-'2-ф2'!AU7</f>
        <v>1045.8576916500006</v>
      </c>
    </row>
    <row r="10" spans="1:47" ht="15" customHeight="1">
      <c r="A10" s="131" t="s">
        <v>119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120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40.06095428571428</v>
      </c>
      <c r="N11" s="128">
        <f t="shared" si="7"/>
        <v>40.06095428571428</v>
      </c>
      <c r="O11" s="128">
        <f t="shared" si="7"/>
        <v>5506.2872288</v>
      </c>
      <c r="P11" s="128">
        <f t="shared" si="7"/>
        <v>5506.2872288</v>
      </c>
      <c r="Q11" s="128">
        <f t="shared" si="7"/>
        <v>5416.0596470476185</v>
      </c>
      <c r="R11" s="128">
        <f t="shared" si="7"/>
        <v>5290.140101009522</v>
      </c>
      <c r="S11" s="128">
        <f t="shared" si="7"/>
        <v>5095.582162114284</v>
      </c>
      <c r="T11" s="128">
        <f t="shared" si="7"/>
        <v>4907.823785619046</v>
      </c>
      <c r="U11" s="128">
        <f t="shared" si="7"/>
        <v>4720.0654091238075</v>
      </c>
      <c r="V11" s="128">
        <f t="shared" si="7"/>
        <v>4601.301657142854</v>
      </c>
      <c r="W11" s="128">
        <f t="shared" si="7"/>
        <v>4560.939361904759</v>
      </c>
      <c r="X11" s="128">
        <f t="shared" si="7"/>
        <v>4520.577066666663</v>
      </c>
      <c r="Y11" s="128">
        <f t="shared" si="7"/>
        <v>4480.2147714285675</v>
      </c>
      <c r="Z11" s="128">
        <f t="shared" si="7"/>
        <v>4439.852476190472</v>
      </c>
      <c r="AA11" s="128">
        <f t="shared" si="7"/>
        <v>4399.490180952376</v>
      </c>
      <c r="AB11" s="128">
        <f t="shared" si="7"/>
        <v>4359.127885714281</v>
      </c>
      <c r="AC11" s="128">
        <f t="shared" si="7"/>
        <v>4359.127885714281</v>
      </c>
      <c r="AD11" s="128">
        <f aca="true" t="shared" si="8" ref="AD11:AP11">SUM(AD12:AD14)</f>
        <v>4318.765590476185</v>
      </c>
      <c r="AE11" s="128">
        <f t="shared" si="8"/>
        <v>4278.403295238089</v>
      </c>
      <c r="AF11" s="128">
        <f t="shared" si="8"/>
        <v>4238.040999999994</v>
      </c>
      <c r="AG11" s="128">
        <f t="shared" si="8"/>
        <v>4197.678704761898</v>
      </c>
      <c r="AH11" s="128">
        <f t="shared" si="8"/>
        <v>4157.316409523803</v>
      </c>
      <c r="AI11" s="128">
        <f t="shared" si="8"/>
        <v>4116.954114285707</v>
      </c>
      <c r="AJ11" s="128">
        <f t="shared" si="8"/>
        <v>4076.591819047612</v>
      </c>
      <c r="AK11" s="128">
        <f t="shared" si="8"/>
        <v>4036.2295238095166</v>
      </c>
      <c r="AL11" s="128">
        <f t="shared" si="8"/>
        <v>3995.8672285714215</v>
      </c>
      <c r="AM11" s="128">
        <f t="shared" si="8"/>
        <v>3955.5049333333263</v>
      </c>
      <c r="AN11" s="128">
        <f t="shared" si="8"/>
        <v>3915.142638095231</v>
      </c>
      <c r="AO11" s="128">
        <f t="shared" si="8"/>
        <v>3874.780342857136</v>
      </c>
      <c r="AP11" s="128">
        <f t="shared" si="8"/>
        <v>3874.780342857136</v>
      </c>
      <c r="AQ11" s="128">
        <f t="shared" si="7"/>
        <v>3390.432799999993</v>
      </c>
      <c r="AR11" s="128">
        <f t="shared" si="7"/>
        <v>2906.0852571428504</v>
      </c>
      <c r="AS11" s="128">
        <f t="shared" si="7"/>
        <v>2421.7377142857076</v>
      </c>
      <c r="AT11" s="128">
        <f t="shared" si="7"/>
        <v>1937.3901714285648</v>
      </c>
      <c r="AU11" s="128">
        <f>SUM(AU12:AU14)</f>
        <v>1453.042628571422</v>
      </c>
    </row>
    <row r="12" spans="1:47" ht="12.75">
      <c r="A12" s="131" t="s">
        <v>121</v>
      </c>
      <c r="B12" s="133"/>
      <c r="C12" s="132"/>
      <c r="D12" s="132">
        <f>C12+'1-Ф3'!D20/Исх!$C$19-'2-ф2'!D11</f>
        <v>0</v>
      </c>
      <c r="E12" s="132">
        <f>D12+'1-Ф3'!E20/Исх!$C$19-'2-ф2'!E11</f>
        <v>0</v>
      </c>
      <c r="F12" s="132">
        <f>E12+'1-Ф3'!F20/Исх!$C$19-'2-ф2'!F11</f>
        <v>0</v>
      </c>
      <c r="G12" s="132">
        <f>F12+'1-Ф3'!G20/Исх!$C$19-'2-ф2'!G11</f>
        <v>0</v>
      </c>
      <c r="H12" s="132">
        <f>G12+'1-Ф3'!H20/Исх!$C$19-'2-ф2'!H11</f>
        <v>0</v>
      </c>
      <c r="I12" s="132">
        <f>H12+'1-Ф3'!I20/Исх!$C$19-'2-ф2'!I11</f>
        <v>0</v>
      </c>
      <c r="J12" s="132">
        <f>I12+'1-Ф3'!J20/Исх!$C$19-'2-ф2'!J11</f>
        <v>0</v>
      </c>
      <c r="K12" s="132"/>
      <c r="L12" s="132"/>
      <c r="M12" s="132"/>
      <c r="N12" s="132"/>
      <c r="O12" s="132">
        <f>Инв!P31</f>
        <v>4843.475428571428</v>
      </c>
      <c r="P12" s="132">
        <f>O12</f>
        <v>4843.475428571428</v>
      </c>
      <c r="Q12" s="132">
        <f>P12-'2-ф2'!Q11</f>
        <v>4803.113133333332</v>
      </c>
      <c r="R12" s="132">
        <f>Q12-'2-ф2'!R11</f>
        <v>4762.750838095237</v>
      </c>
      <c r="S12" s="132">
        <f>R12-'2-ф2'!S11</f>
        <v>4722.388542857141</v>
      </c>
      <c r="T12" s="132">
        <f>S12-'2-ф2'!T11</f>
        <v>4682.0262476190455</v>
      </c>
      <c r="U12" s="132">
        <f>T12-'2-ф2'!U11</f>
        <v>4641.66395238095</v>
      </c>
      <c r="V12" s="132">
        <f>U12-'2-ф2'!V11</f>
        <v>4601.301657142854</v>
      </c>
      <c r="W12" s="132">
        <f>V12-'2-ф2'!W11</f>
        <v>4560.939361904759</v>
      </c>
      <c r="X12" s="132">
        <f>W12-'2-ф2'!X11</f>
        <v>4520.577066666663</v>
      </c>
      <c r="Y12" s="132">
        <f>X12-'2-ф2'!Y11</f>
        <v>4480.2147714285675</v>
      </c>
      <c r="Z12" s="132">
        <f>Y12-'2-ф2'!Z11</f>
        <v>4439.852476190472</v>
      </c>
      <c r="AA12" s="132">
        <f>Z12-'2-ф2'!AA11</f>
        <v>4399.490180952376</v>
      </c>
      <c r="AB12" s="132">
        <f>AA12-'2-ф2'!AB11</f>
        <v>4359.127885714281</v>
      </c>
      <c r="AC12" s="132">
        <f>AB12</f>
        <v>4359.127885714281</v>
      </c>
      <c r="AD12" s="132">
        <f>AC12-'2-ф2'!AD11</f>
        <v>4318.765590476185</v>
      </c>
      <c r="AE12" s="132">
        <f>AD12-'2-ф2'!AE11</f>
        <v>4278.403295238089</v>
      </c>
      <c r="AF12" s="132">
        <f>AE12-'2-ф2'!AF11</f>
        <v>4238.040999999994</v>
      </c>
      <c r="AG12" s="132">
        <f>AF12-'2-ф2'!AG11</f>
        <v>4197.678704761898</v>
      </c>
      <c r="AH12" s="132">
        <f>AG12-'2-ф2'!AH11</f>
        <v>4157.316409523803</v>
      </c>
      <c r="AI12" s="132">
        <f>AH12-'2-ф2'!AI11</f>
        <v>4116.954114285707</v>
      </c>
      <c r="AJ12" s="132">
        <f>AI12-'2-ф2'!AJ11</f>
        <v>4076.591819047612</v>
      </c>
      <c r="AK12" s="132">
        <f>AJ12-'2-ф2'!AK11</f>
        <v>4036.2295238095166</v>
      </c>
      <c r="AL12" s="132">
        <f>AK12-'2-ф2'!AL11</f>
        <v>3995.8672285714215</v>
      </c>
      <c r="AM12" s="132">
        <f>AL12-'2-ф2'!AM11</f>
        <v>3955.5049333333263</v>
      </c>
      <c r="AN12" s="132">
        <f>AM12-'2-ф2'!AN11</f>
        <v>3915.142638095231</v>
      </c>
      <c r="AO12" s="132">
        <f>AN12-'2-ф2'!AO11</f>
        <v>3874.780342857136</v>
      </c>
      <c r="AP12" s="132">
        <f>AO12</f>
        <v>3874.780342857136</v>
      </c>
      <c r="AQ12" s="132">
        <f>AP12-'2-ф2'!AQ11</f>
        <v>3390.432799999993</v>
      </c>
      <c r="AR12" s="132">
        <f>AQ12-'2-ф2'!AR11</f>
        <v>2906.0852571428504</v>
      </c>
      <c r="AS12" s="132">
        <f>AR12-'2-ф2'!AS11</f>
        <v>2421.7377142857076</v>
      </c>
      <c r="AT12" s="132">
        <f>AS12-'2-ф2'!AT11</f>
        <v>1937.3901714285648</v>
      </c>
      <c r="AU12" s="132">
        <f>AT12-'2-ф2'!AU11</f>
        <v>1453.042628571422</v>
      </c>
    </row>
    <row r="13" spans="1:47" ht="12.75">
      <c r="A13" s="131" t="s">
        <v>250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Инв!L28/Исх!$C$19</f>
        <v>0</v>
      </c>
      <c r="L13" s="132">
        <f>Инв!M28/Исх!$C$19</f>
        <v>0</v>
      </c>
      <c r="M13" s="132">
        <f>Инв!N28/Исх!$C$19</f>
        <v>0</v>
      </c>
      <c r="N13" s="132">
        <f>Инв!O28/Исх!$C$19</f>
        <v>0</v>
      </c>
      <c r="O13" s="132">
        <f>Инв!P28/Исх!$C$19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122</v>
      </c>
      <c r="B14" s="133"/>
      <c r="C14" s="132"/>
      <c r="D14" s="132">
        <f>IF('2-ф2'!D26&lt;0,-'2-ф2'!D26,0)</f>
        <v>0</v>
      </c>
      <c r="E14" s="132">
        <f>IF('2-ф2'!E26&lt;0,-'2-ф2'!E26,0)</f>
        <v>0</v>
      </c>
      <c r="F14" s="132">
        <f>IF('2-ф2'!F26&lt;0,-'2-ф2'!F26,0)</f>
        <v>0</v>
      </c>
      <c r="G14" s="132">
        <f>IF('2-ф2'!G26&lt;0,-'2-ф2'!G26,0)</f>
        <v>0</v>
      </c>
      <c r="H14" s="132">
        <f>IF('2-ф2'!H26&lt;0,-'2-ф2'!H26,0)</f>
        <v>0</v>
      </c>
      <c r="I14" s="132">
        <f>IF('2-ф2'!I26&lt;0,-'2-ф2'!I26,0)</f>
        <v>0</v>
      </c>
      <c r="J14" s="132">
        <f>IF('2-ф2'!J26&lt;0,-'2-ф2'!J26,0)</f>
        <v>0</v>
      </c>
      <c r="K14" s="132">
        <f>IF('2-ф2'!K26&lt;0,-'2-ф2'!K26,0)</f>
        <v>0</v>
      </c>
      <c r="L14" s="132">
        <f>IF('2-ф2'!L26&lt;0,-'2-ф2'!L26,0)</f>
        <v>0</v>
      </c>
      <c r="M14" s="132">
        <f>IF('2-ф2'!M26&lt;0,-'2-ф2'!M26,0)</f>
        <v>40.06095428571428</v>
      </c>
      <c r="N14" s="132">
        <f>IF('2-ф2'!N26&lt;0,-'2-ф2'!N26,0)</f>
        <v>40.06095428571428</v>
      </c>
      <c r="O14" s="132">
        <f>IF('2-ф2'!O26&lt;0,-'2-ф2'!O26,0)</f>
        <v>662.8118002285714</v>
      </c>
      <c r="P14" s="132">
        <f>O14</f>
        <v>662.8118002285714</v>
      </c>
      <c r="Q14" s="132">
        <f>IF('2-ф2'!Q26&lt;0,-'2-ф2'!Q26,0)</f>
        <v>612.9465137142857</v>
      </c>
      <c r="R14" s="132">
        <f>IF('2-ф2'!R26&lt;0,-'2-ф2'!R26,0)</f>
        <v>527.3892629142858</v>
      </c>
      <c r="S14" s="132">
        <f>IF('2-ф2'!S26&lt;0,-'2-ф2'!S26,0)</f>
        <v>373.1936192571431</v>
      </c>
      <c r="T14" s="132">
        <f>IF('2-ф2'!T26&lt;0,-'2-ф2'!T26,0)</f>
        <v>225.79753800000037</v>
      </c>
      <c r="U14" s="132">
        <f>IF('2-ф2'!U26&lt;0,-'2-ф2'!U26,0)</f>
        <v>78.40145674285765</v>
      </c>
      <c r="V14" s="132">
        <f>IF('2-ф2'!V26&lt;0,-'2-ф2'!V26,0)</f>
        <v>0</v>
      </c>
      <c r="W14" s="132">
        <f>IF('2-ф2'!W26&lt;0,-'2-ф2'!W26,0)</f>
        <v>0</v>
      </c>
      <c r="X14" s="132">
        <f>IF('2-ф2'!X26&lt;0,-'2-ф2'!X26,0)</f>
        <v>0</v>
      </c>
      <c r="Y14" s="132">
        <f>IF('2-ф2'!Y26&lt;0,-'2-ф2'!Y26,0)</f>
        <v>0</v>
      </c>
      <c r="Z14" s="132">
        <f>IF('2-ф2'!Z26&lt;0,-'2-ф2'!Z26,0)</f>
        <v>0</v>
      </c>
      <c r="AA14" s="132">
        <f>IF('2-ф2'!AA26&lt;0,-'2-ф2'!AA26,0)</f>
        <v>0</v>
      </c>
      <c r="AB14" s="132">
        <f>IF('2-ф2'!AB26&lt;0,-'2-ф2'!AB26,0)</f>
        <v>0</v>
      </c>
      <c r="AC14" s="132">
        <f>AB14</f>
        <v>0</v>
      </c>
      <c r="AD14" s="132">
        <f>IF('2-ф2'!AD26&lt;0,-'2-ф2'!AD26,0)</f>
        <v>0</v>
      </c>
      <c r="AE14" s="132">
        <f>IF('2-ф2'!AE26&lt;0,-'2-ф2'!AE26,0)</f>
        <v>0</v>
      </c>
      <c r="AF14" s="132">
        <f>IF('2-ф2'!AF26&lt;0,-'2-ф2'!AF26,0)</f>
        <v>0</v>
      </c>
      <c r="AG14" s="132">
        <f>IF('2-ф2'!AG26&lt;0,-'2-ф2'!AG26,0)</f>
        <v>0</v>
      </c>
      <c r="AH14" s="132">
        <f>IF('2-ф2'!AH26&lt;0,-'2-ф2'!AH26,0)</f>
        <v>0</v>
      </c>
      <c r="AI14" s="132">
        <f>IF('2-ф2'!AI26&lt;0,-'2-ф2'!AI26,0)</f>
        <v>0</v>
      </c>
      <c r="AJ14" s="132">
        <f>IF('2-ф2'!AJ26&lt;0,-'2-ф2'!AJ26,0)</f>
        <v>0</v>
      </c>
      <c r="AK14" s="132">
        <f>IF('2-ф2'!AK26&lt;0,-'2-ф2'!AK26,0)</f>
        <v>0</v>
      </c>
      <c r="AL14" s="132">
        <f>IF('2-ф2'!AL26&lt;0,-'2-ф2'!AL26,0)</f>
        <v>0</v>
      </c>
      <c r="AM14" s="132">
        <f>IF('2-ф2'!AM26&lt;0,-'2-ф2'!AM26,0)</f>
        <v>0</v>
      </c>
      <c r="AN14" s="132">
        <f>IF('2-ф2'!AN26&lt;0,-'2-ф2'!AN26,0)</f>
        <v>0</v>
      </c>
      <c r="AO14" s="132">
        <f>IF('2-ф2'!AO26&lt;0,-'2-ф2'!AO26,0)</f>
        <v>0</v>
      </c>
      <c r="AP14" s="132">
        <f>AO14</f>
        <v>0</v>
      </c>
      <c r="AQ14" s="132">
        <f>IF('2-ф2'!AQ26&lt;0,-'2-ф2'!AQ26,0)</f>
        <v>0</v>
      </c>
      <c r="AR14" s="132">
        <f>IF('2-ф2'!AR26&lt;0,-'2-ф2'!AR26,0)</f>
        <v>0</v>
      </c>
      <c r="AS14" s="132">
        <f>IF('2-ф2'!AS26&lt;0,-'2-ф2'!AS26,0)</f>
        <v>0</v>
      </c>
      <c r="AT14" s="132">
        <f>IF('2-ф2'!AT26&lt;0,-'2-ф2'!AT26,0)</f>
        <v>0</v>
      </c>
      <c r="AU14" s="132">
        <f>IF('2-ф2'!AU26&lt;0,-'2-ф2'!AU26,0)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123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0</v>
      </c>
      <c r="L16" s="127">
        <f t="shared" si="11"/>
        <v>0</v>
      </c>
      <c r="M16" s="127">
        <f t="shared" si="11"/>
        <v>373.90224</v>
      </c>
      <c r="N16" s="127">
        <f t="shared" si="11"/>
        <v>5424.692480000001</v>
      </c>
      <c r="O16" s="127">
        <f t="shared" si="11"/>
        <v>6186.2434688</v>
      </c>
      <c r="P16" s="127">
        <f t="shared" si="11"/>
        <v>6186.2434688</v>
      </c>
      <c r="Q16" s="127">
        <f t="shared" si="11"/>
        <v>6455.905761614286</v>
      </c>
      <c r="R16" s="127">
        <f t="shared" si="11"/>
        <v>7145.278350405857</v>
      </c>
      <c r="S16" s="127">
        <f t="shared" si="11"/>
        <v>7023.759353819952</v>
      </c>
      <c r="T16" s="127">
        <f t="shared" si="11"/>
        <v>6902.240357234046</v>
      </c>
      <c r="U16" s="127">
        <f t="shared" si="11"/>
        <v>6780.72136064814</v>
      </c>
      <c r="V16" s="127">
        <f t="shared" si="11"/>
        <v>6659.202364062235</v>
      </c>
      <c r="W16" s="127">
        <f t="shared" si="11"/>
        <v>6537.683367476329</v>
      </c>
      <c r="X16" s="127">
        <f t="shared" si="11"/>
        <v>6412.106194934284</v>
      </c>
      <c r="Y16" s="127">
        <f t="shared" si="11"/>
        <v>6231.709892366516</v>
      </c>
      <c r="Z16" s="127">
        <f t="shared" si="11"/>
        <v>6051.313589798747</v>
      </c>
      <c r="AA16" s="127">
        <f t="shared" si="11"/>
        <v>5870.917287230977</v>
      </c>
      <c r="AB16" s="127">
        <f t="shared" si="11"/>
        <v>5690.520984663208</v>
      </c>
      <c r="AC16" s="127">
        <f t="shared" si="11"/>
        <v>5690.520984663208</v>
      </c>
      <c r="AD16" s="127">
        <f aca="true" t="shared" si="12" ref="AD16:AP16">AD21+AD24+AD17</f>
        <v>6259.605377809725</v>
      </c>
      <c r="AE16" s="127">
        <f t="shared" si="12"/>
        <v>6828.689770956242</v>
      </c>
      <c r="AF16" s="127">
        <f t="shared" si="12"/>
        <v>7397.774164102761</v>
      </c>
      <c r="AG16" s="127">
        <f t="shared" si="12"/>
        <v>7966.858557249277</v>
      </c>
      <c r="AH16" s="127">
        <f t="shared" si="12"/>
        <v>8418.728535447059</v>
      </c>
      <c r="AI16" s="127">
        <f t="shared" si="12"/>
        <v>8861.582765066294</v>
      </c>
      <c r="AJ16" s="127">
        <f t="shared" si="12"/>
        <v>9304.364583856957</v>
      </c>
      <c r="AK16" s="127">
        <f t="shared" si="12"/>
        <v>9747.073569422551</v>
      </c>
      <c r="AL16" s="127">
        <f t="shared" si="12"/>
        <v>10189.709296902593</v>
      </c>
      <c r="AM16" s="127">
        <f t="shared" si="12"/>
        <v>10632.27133895825</v>
      </c>
      <c r="AN16" s="127">
        <f t="shared" si="12"/>
        <v>11074.759265757883</v>
      </c>
      <c r="AO16" s="127">
        <f t="shared" si="12"/>
        <v>11517.172644962495</v>
      </c>
      <c r="AP16" s="127">
        <f t="shared" si="12"/>
        <v>11517.172644962495</v>
      </c>
      <c r="AQ16" s="127">
        <f t="shared" si="11"/>
        <v>18818.77281307341</v>
      </c>
      <c r="AR16" s="127">
        <f t="shared" si="11"/>
        <v>27707.682439763787</v>
      </c>
      <c r="AS16" s="127">
        <f t="shared" si="11"/>
        <v>38183.06421127232</v>
      </c>
      <c r="AT16" s="127">
        <f t="shared" si="11"/>
        <v>50244.020284358245</v>
      </c>
      <c r="AU16" s="127">
        <f>AU21+AU24+AU17</f>
        <v>63986.94779198439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124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0</v>
      </c>
      <c r="M17" s="127">
        <f t="shared" si="13"/>
        <v>0</v>
      </c>
      <c r="N17" s="127">
        <f t="shared" si="13"/>
        <v>2.1810964000000004</v>
      </c>
      <c r="O17" s="127">
        <f t="shared" si="13"/>
        <v>33.82513586666667</v>
      </c>
      <c r="P17" s="127">
        <f t="shared" si="13"/>
        <v>33.82513586666667</v>
      </c>
      <c r="Q17" s="127">
        <f t="shared" si="13"/>
        <v>58.925886133333336</v>
      </c>
      <c r="R17" s="127">
        <f t="shared" si="13"/>
        <v>0</v>
      </c>
      <c r="S17" s="127">
        <f t="shared" si="13"/>
        <v>0</v>
      </c>
      <c r="T17" s="127">
        <f t="shared" si="13"/>
        <v>0</v>
      </c>
      <c r="U17" s="127">
        <f t="shared" si="13"/>
        <v>0</v>
      </c>
      <c r="V17" s="127">
        <f t="shared" si="13"/>
        <v>0</v>
      </c>
      <c r="W17" s="127">
        <f t="shared" si="13"/>
        <v>0</v>
      </c>
      <c r="X17" s="127">
        <f t="shared" si="13"/>
        <v>0</v>
      </c>
      <c r="Y17" s="127">
        <f t="shared" si="13"/>
        <v>0</v>
      </c>
      <c r="Z17" s="127">
        <f t="shared" si="13"/>
        <v>0</v>
      </c>
      <c r="AA17" s="127">
        <f t="shared" si="13"/>
        <v>0</v>
      </c>
      <c r="AB17" s="127">
        <f t="shared" si="13"/>
        <v>0</v>
      </c>
      <c r="AC17" s="127">
        <f t="shared" si="13"/>
        <v>0</v>
      </c>
      <c r="AD17" s="127">
        <f aca="true" t="shared" si="14" ref="AD17:AP17">SUM(AD18:AD20)</f>
        <v>0</v>
      </c>
      <c r="AE17" s="127">
        <f t="shared" si="14"/>
        <v>0</v>
      </c>
      <c r="AF17" s="127">
        <f t="shared" si="14"/>
        <v>0</v>
      </c>
      <c r="AG17" s="127">
        <f t="shared" si="14"/>
        <v>0</v>
      </c>
      <c r="AH17" s="127">
        <f t="shared" si="14"/>
        <v>0</v>
      </c>
      <c r="AI17" s="127">
        <f t="shared" si="14"/>
        <v>0</v>
      </c>
      <c r="AJ17" s="127">
        <f t="shared" si="14"/>
        <v>0</v>
      </c>
      <c r="AK17" s="127">
        <f t="shared" si="14"/>
        <v>0</v>
      </c>
      <c r="AL17" s="127">
        <f t="shared" si="14"/>
        <v>0</v>
      </c>
      <c r="AM17" s="127">
        <f t="shared" si="14"/>
        <v>0</v>
      </c>
      <c r="AN17" s="127">
        <f t="shared" si="14"/>
        <v>0</v>
      </c>
      <c r="AO17" s="127">
        <f t="shared" si="14"/>
        <v>0</v>
      </c>
      <c r="AP17" s="127">
        <f t="shared" si="14"/>
        <v>0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125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126</v>
      </c>
      <c r="B19" s="133"/>
      <c r="C19" s="133"/>
      <c r="D19" s="133">
        <f>C19+'2-ф2'!D12-'1-Ф3'!D14-кр!C23</f>
        <v>0</v>
      </c>
      <c r="E19" s="133">
        <f>D19+'2-ф2'!E12-'1-Ф3'!E14-кр!D23</f>
        <v>0</v>
      </c>
      <c r="F19" s="133">
        <f>E19+'2-ф2'!F12-'1-Ф3'!F14-кр!E23</f>
        <v>0</v>
      </c>
      <c r="G19" s="133">
        <f>F19+'2-ф2'!G12-'1-Ф3'!G14-кр!F23</f>
        <v>0</v>
      </c>
      <c r="H19" s="133">
        <f>G19+'2-ф2'!H12-'1-Ф3'!H14-кр!G23</f>
        <v>0</v>
      </c>
      <c r="I19" s="133">
        <f>H19+'2-ф2'!I12-'1-Ф3'!I14-кр!H23</f>
        <v>0</v>
      </c>
      <c r="J19" s="133">
        <f>I19+'2-ф2'!J12-'1-Ф3'!J14-кр!I23</f>
        <v>0</v>
      </c>
      <c r="K19" s="133">
        <f>J19+'2-ф2'!K12-'1-Ф3'!K14-кр!J23</f>
        <v>0</v>
      </c>
      <c r="L19" s="133">
        <f>K19+'2-ф2'!L12-'1-Ф3'!L14-кр!K23</f>
        <v>0</v>
      </c>
      <c r="M19" s="133">
        <f>L19+'2-ф2'!M12-'1-Ф3'!M14-кр!L23</f>
        <v>0</v>
      </c>
      <c r="N19" s="133">
        <f>M19+'2-ф2'!N12-'1-Ф3'!N14-кр!M23</f>
        <v>2.1810964000000004</v>
      </c>
      <c r="O19" s="133">
        <f>N19+'2-ф2'!O12-'1-Ф3'!O14-кр!N23</f>
        <v>33.82513586666667</v>
      </c>
      <c r="P19" s="133">
        <f>O19</f>
        <v>33.82513586666667</v>
      </c>
      <c r="Q19" s="133">
        <f>P19+'2-ф2'!Q12-'1-Ф3'!Q14-кр!P23</f>
        <v>58.925886133333336</v>
      </c>
      <c r="R19" s="133">
        <f>Q19+'2-ф2'!R12-'1-Ф3'!R14-кр!Q23</f>
        <v>0</v>
      </c>
      <c r="S19" s="133">
        <f>R19+'2-ф2'!S12-'1-Ф3'!S14-кр!R23</f>
        <v>0</v>
      </c>
      <c r="T19" s="133">
        <f>S19+'2-ф2'!T12-'1-Ф3'!T14-кр!S23</f>
        <v>0</v>
      </c>
      <c r="U19" s="133">
        <f>T19+'2-ф2'!U12-'1-Ф3'!U14-кр!T23</f>
        <v>0</v>
      </c>
      <c r="V19" s="133">
        <f>U19+'2-ф2'!V12-'1-Ф3'!V14-кр!U23</f>
        <v>0</v>
      </c>
      <c r="W19" s="133">
        <f>V19+'2-ф2'!W12-'1-Ф3'!W14-кр!V23</f>
        <v>0</v>
      </c>
      <c r="X19" s="133">
        <f>W19+'2-ф2'!X12-'1-Ф3'!X14-кр!W23</f>
        <v>0</v>
      </c>
      <c r="Y19" s="133">
        <f>X19+'2-ф2'!Y12-'1-Ф3'!Y14-кр!X23</f>
        <v>0</v>
      </c>
      <c r="Z19" s="133">
        <f>Y19+'2-ф2'!Z12-'1-Ф3'!Z14-кр!Y23</f>
        <v>0</v>
      </c>
      <c r="AA19" s="133">
        <f>Z19+'2-ф2'!AA12-'1-Ф3'!AA14-кр!Z23</f>
        <v>0</v>
      </c>
      <c r="AB19" s="133">
        <f>AA19+'2-ф2'!AB12-'1-Ф3'!AB14-кр!AA23</f>
        <v>0</v>
      </c>
      <c r="AC19" s="133">
        <f>AB19</f>
        <v>0</v>
      </c>
      <c r="AD19" s="133">
        <f>AC19+'2-ф2'!AD12-'1-Ф3'!AD14-кр!AC23</f>
        <v>0</v>
      </c>
      <c r="AE19" s="133">
        <f>AD19+'2-ф2'!AE12-'1-Ф3'!AE14-кр!AD23</f>
        <v>0</v>
      </c>
      <c r="AF19" s="133">
        <f>AE19+'2-ф2'!AF12-'1-Ф3'!AF14-кр!AE23</f>
        <v>0</v>
      </c>
      <c r="AG19" s="133">
        <f>AF19+'2-ф2'!AG12-'1-Ф3'!AG14-кр!AF23</f>
        <v>0</v>
      </c>
      <c r="AH19" s="133">
        <f>AG19+'2-ф2'!AH12-'1-Ф3'!AH14-кр!AG23</f>
        <v>0</v>
      </c>
      <c r="AI19" s="133">
        <f>AH19+'2-ф2'!AI12-'1-Ф3'!AI14-кр!AH23</f>
        <v>0</v>
      </c>
      <c r="AJ19" s="133">
        <f>AI19+'2-ф2'!AJ12-'1-Ф3'!AJ14-кр!AI23</f>
        <v>0</v>
      </c>
      <c r="AK19" s="133">
        <f>AJ19+'2-ф2'!AK12-'1-Ф3'!AK14-кр!AJ23</f>
        <v>0</v>
      </c>
      <c r="AL19" s="133">
        <f>AK19+'2-ф2'!AL12-'1-Ф3'!AL14-кр!AK23</f>
        <v>0</v>
      </c>
      <c r="AM19" s="133">
        <f>AL19+'2-ф2'!AM12-'1-Ф3'!AM14-кр!AL23</f>
        <v>0</v>
      </c>
      <c r="AN19" s="133">
        <f>AM19+'2-ф2'!AN12-'1-Ф3'!AN14-кр!AM23</f>
        <v>0</v>
      </c>
      <c r="AO19" s="133">
        <f>AN19+'2-ф2'!AO12-'1-Ф3'!AO14-кр!AN23</f>
        <v>0</v>
      </c>
      <c r="AP19" s="133">
        <f>AO19</f>
        <v>0</v>
      </c>
      <c r="AQ19" s="133">
        <f>AP19+'2-ф2'!AQ12-'1-Ф3'!AQ14</f>
        <v>0</v>
      </c>
      <c r="AR19" s="133">
        <f>AQ19+'2-ф2'!AR12-'1-Ф3'!AR14</f>
        <v>0</v>
      </c>
      <c r="AS19" s="133">
        <f>AR19+'2-ф2'!AS12-'1-Ф3'!AS14</f>
        <v>0</v>
      </c>
      <c r="AT19" s="133">
        <f>AS19+'2-ф2'!AT12-'1-Ф3'!AT14</f>
        <v>0</v>
      </c>
      <c r="AU19" s="133">
        <f>AT19+'2-ф2'!AU12-'1-Ф3'!AU14</f>
        <v>0</v>
      </c>
      <c r="AV19" s="120"/>
    </row>
    <row r="20" spans="1:47" ht="12.75">
      <c r="A20" s="131" t="s">
        <v>128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129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0</v>
      </c>
      <c r="L21" s="127">
        <f t="shared" si="18"/>
        <v>0</v>
      </c>
      <c r="M21" s="127">
        <f t="shared" si="18"/>
        <v>373.90224</v>
      </c>
      <c r="N21" s="127">
        <f t="shared" si="18"/>
        <v>5424.692480000001</v>
      </c>
      <c r="O21" s="127">
        <f t="shared" si="18"/>
        <v>5424.692480000001</v>
      </c>
      <c r="P21" s="127">
        <f t="shared" si="18"/>
        <v>5424.692480000001</v>
      </c>
      <c r="Q21" s="127">
        <f t="shared" si="18"/>
        <v>5431.2357692000005</v>
      </c>
      <c r="R21" s="127">
        <f t="shared" si="18"/>
        <v>5519.624598400001</v>
      </c>
      <c r="S21" s="127">
        <f t="shared" si="18"/>
        <v>5519.624598400001</v>
      </c>
      <c r="T21" s="127">
        <f t="shared" si="18"/>
        <v>5519.624598400001</v>
      </c>
      <c r="U21" s="127">
        <f t="shared" si="18"/>
        <v>5519.624598400001</v>
      </c>
      <c r="V21" s="127">
        <f t="shared" si="18"/>
        <v>5519.624598400001</v>
      </c>
      <c r="W21" s="127">
        <f t="shared" si="18"/>
        <v>5519.624598400001</v>
      </c>
      <c r="X21" s="127">
        <f t="shared" si="18"/>
        <v>5515.5664224438615</v>
      </c>
      <c r="Y21" s="127">
        <f t="shared" si="18"/>
        <v>5456.665443768921</v>
      </c>
      <c r="Z21" s="127">
        <f t="shared" si="18"/>
        <v>5397.4208760517095</v>
      </c>
      <c r="AA21" s="127">
        <f t="shared" si="18"/>
        <v>5337.830715022814</v>
      </c>
      <c r="AB21" s="127">
        <f t="shared" si="18"/>
        <v>5277.89294472125</v>
      </c>
      <c r="AC21" s="127">
        <f t="shared" si="18"/>
        <v>5277.89294472125</v>
      </c>
      <c r="AD21" s="127">
        <f aca="true" t="shared" si="19" ref="AD21:AP21">SUM(AD22:AD23)</f>
        <v>5217.6055374262605</v>
      </c>
      <c r="AE21" s="127">
        <f t="shared" si="19"/>
        <v>5156.966453588717</v>
      </c>
      <c r="AF21" s="127">
        <f t="shared" si="19"/>
        <v>5095.973641762122</v>
      </c>
      <c r="AG21" s="127">
        <f t="shared" si="19"/>
        <v>5034.625038533203</v>
      </c>
      <c r="AH21" s="127">
        <f t="shared" si="19"/>
        <v>4972.918568452117</v>
      </c>
      <c r="AI21" s="127">
        <f t="shared" si="19"/>
        <v>4910.852143962225</v>
      </c>
      <c r="AJ21" s="127">
        <f t="shared" si="19"/>
        <v>4848.423665329475</v>
      </c>
      <c r="AK21" s="127">
        <f t="shared" si="19"/>
        <v>4785.631020571367</v>
      </c>
      <c r="AL21" s="127">
        <f t="shared" si="19"/>
        <v>4722.472085385503</v>
      </c>
      <c r="AM21" s="127">
        <f t="shared" si="19"/>
        <v>4658.944723077721</v>
      </c>
      <c r="AN21" s="127">
        <f t="shared" si="19"/>
        <v>4595.046784489811</v>
      </c>
      <c r="AO21" s="127">
        <f t="shared" si="19"/>
        <v>4530.776107926806</v>
      </c>
      <c r="AP21" s="127">
        <f t="shared" si="19"/>
        <v>4530.776107926806</v>
      </c>
      <c r="AQ21" s="127">
        <f t="shared" si="18"/>
        <v>3729.6501345914367</v>
      </c>
      <c r="AR21" s="127">
        <f t="shared" si="18"/>
        <v>2870.6106998676214</v>
      </c>
      <c r="AS21" s="127">
        <f t="shared" si="18"/>
        <v>1949.4712349489273</v>
      </c>
      <c r="AT21" s="127">
        <f t="shared" si="18"/>
        <v>961.7425236313907</v>
      </c>
      <c r="AU21" s="127">
        <f>SUM(AU22:AU23)</f>
        <v>2.148947686464453E-11</v>
      </c>
    </row>
    <row r="22" spans="1:47" ht="12.75">
      <c r="A22" s="131" t="s">
        <v>127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0</v>
      </c>
      <c r="L22" s="133">
        <f>кр!K27</f>
        <v>0</v>
      </c>
      <c r="M22" s="133">
        <f>кр!L27</f>
        <v>373.90224</v>
      </c>
      <c r="N22" s="133">
        <f>кр!M27</f>
        <v>5424.692480000001</v>
      </c>
      <c r="O22" s="133">
        <f>кр!N27</f>
        <v>5424.692480000001</v>
      </c>
      <c r="P22" s="133">
        <f>кр!O27</f>
        <v>5424.692480000001</v>
      </c>
      <c r="Q22" s="133">
        <f>кр!P27</f>
        <v>5431.2357692000005</v>
      </c>
      <c r="R22" s="133">
        <f>кр!Q27</f>
        <v>5519.624598400001</v>
      </c>
      <c r="S22" s="133">
        <f>кр!R27</f>
        <v>5519.624598400001</v>
      </c>
      <c r="T22" s="133">
        <f>кр!S27</f>
        <v>5519.624598400001</v>
      </c>
      <c r="U22" s="133">
        <f>кр!T27</f>
        <v>5519.624598400001</v>
      </c>
      <c r="V22" s="133">
        <f>кр!U27</f>
        <v>5519.624598400001</v>
      </c>
      <c r="W22" s="133">
        <f>кр!V27</f>
        <v>5519.624598400001</v>
      </c>
      <c r="X22" s="133">
        <f>кр!W27</f>
        <v>5515.5664224438615</v>
      </c>
      <c r="Y22" s="133">
        <f>кр!X27</f>
        <v>5456.665443768921</v>
      </c>
      <c r="Z22" s="133">
        <f>кр!Y27</f>
        <v>5397.4208760517095</v>
      </c>
      <c r="AA22" s="133">
        <f>кр!Z27</f>
        <v>5337.830715022814</v>
      </c>
      <c r="AB22" s="133">
        <f>кр!AA27</f>
        <v>5277.89294472125</v>
      </c>
      <c r="AC22" s="133">
        <f>кр!AB27</f>
        <v>5277.89294472125</v>
      </c>
      <c r="AD22" s="133">
        <f>кр!AC27</f>
        <v>5217.6055374262605</v>
      </c>
      <c r="AE22" s="133">
        <f>кр!AD27</f>
        <v>5156.966453588717</v>
      </c>
      <c r="AF22" s="133">
        <f>кр!AE27</f>
        <v>5095.973641762122</v>
      </c>
      <c r="AG22" s="133">
        <f>кр!AF27</f>
        <v>5034.625038533203</v>
      </c>
      <c r="AH22" s="133">
        <f>кр!AG27</f>
        <v>4972.918568452117</v>
      </c>
      <c r="AI22" s="133">
        <f>кр!AH27</f>
        <v>4910.852143962225</v>
      </c>
      <c r="AJ22" s="133">
        <f>кр!AI27</f>
        <v>4848.423665329475</v>
      </c>
      <c r="AK22" s="133">
        <f>кр!AJ27</f>
        <v>4785.631020571367</v>
      </c>
      <c r="AL22" s="133">
        <f>кр!AK27</f>
        <v>4722.472085385503</v>
      </c>
      <c r="AM22" s="133">
        <f>кр!AL27</f>
        <v>4658.944723077721</v>
      </c>
      <c r="AN22" s="133">
        <f>кр!AM27</f>
        <v>4595.046784489811</v>
      </c>
      <c r="AO22" s="133">
        <f>кр!AN27</f>
        <v>4530.776107926806</v>
      </c>
      <c r="AP22" s="133">
        <f>кр!AO27</f>
        <v>4530.776107926806</v>
      </c>
      <c r="AQ22" s="133">
        <f>кр!BB27</f>
        <v>3729.6501345914367</v>
      </c>
      <c r="AR22" s="133">
        <f>кр!BO27</f>
        <v>2870.6106998676214</v>
      </c>
      <c r="AS22" s="133">
        <f>кр!CB27</f>
        <v>1949.4712349489273</v>
      </c>
      <c r="AT22" s="133">
        <f>кр!CO27</f>
        <v>961.7425236313907</v>
      </c>
      <c r="AU22" s="133">
        <f>кр!DB27</f>
        <v>2.148947686464453E-11</v>
      </c>
    </row>
    <row r="23" spans="1:47" ht="15" customHeight="1" hidden="1">
      <c r="A23" s="131" t="s">
        <v>130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131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0</v>
      </c>
      <c r="M24" s="127">
        <f t="shared" si="22"/>
        <v>0</v>
      </c>
      <c r="N24" s="127">
        <f t="shared" si="22"/>
        <v>-2.1810964000000004</v>
      </c>
      <c r="O24" s="127">
        <f t="shared" si="22"/>
        <v>727.7258529333335</v>
      </c>
      <c r="P24" s="127">
        <f t="shared" si="22"/>
        <v>727.7258529333335</v>
      </c>
      <c r="Q24" s="127">
        <f t="shared" si="22"/>
        <v>965.7441062809523</v>
      </c>
      <c r="R24" s="127">
        <f t="shared" si="22"/>
        <v>1625.6537520058566</v>
      </c>
      <c r="S24" s="127">
        <f t="shared" si="22"/>
        <v>1504.134755419951</v>
      </c>
      <c r="T24" s="127">
        <f t="shared" si="22"/>
        <v>1382.6157588340454</v>
      </c>
      <c r="U24" s="127">
        <f t="shared" si="22"/>
        <v>1261.0967622481398</v>
      </c>
      <c r="V24" s="127">
        <f t="shared" si="22"/>
        <v>1139.5777656622342</v>
      </c>
      <c r="W24" s="127">
        <f t="shared" si="22"/>
        <v>1018.0587690763286</v>
      </c>
      <c r="X24" s="127">
        <f t="shared" si="22"/>
        <v>896.5397724904228</v>
      </c>
      <c r="Y24" s="127">
        <f t="shared" si="22"/>
        <v>775.0444485975945</v>
      </c>
      <c r="Z24" s="127">
        <f t="shared" si="22"/>
        <v>653.8927137470369</v>
      </c>
      <c r="AA24" s="127">
        <f t="shared" si="22"/>
        <v>533.086572208163</v>
      </c>
      <c r="AB24" s="127">
        <f t="shared" si="22"/>
        <v>412.62803994195747</v>
      </c>
      <c r="AC24" s="127">
        <f t="shared" si="22"/>
        <v>412.62803994195747</v>
      </c>
      <c r="AD24" s="127">
        <f aca="true" t="shared" si="23" ref="AD24:AP24">SUM(AD25:AD26)</f>
        <v>1041.9998403834643</v>
      </c>
      <c r="AE24" s="127">
        <f t="shared" si="23"/>
        <v>1671.7233173675252</v>
      </c>
      <c r="AF24" s="127">
        <f t="shared" si="23"/>
        <v>2301.8005223406385</v>
      </c>
      <c r="AG24" s="127">
        <f t="shared" si="23"/>
        <v>2932.2335187160734</v>
      </c>
      <c r="AH24" s="127">
        <f t="shared" si="23"/>
        <v>3445.8099669949415</v>
      </c>
      <c r="AI24" s="127">
        <f t="shared" si="23"/>
        <v>3950.7306211040695</v>
      </c>
      <c r="AJ24" s="127">
        <f t="shared" si="23"/>
        <v>4455.9409185274835</v>
      </c>
      <c r="AK24" s="127">
        <f t="shared" si="23"/>
        <v>4961.442548851184</v>
      </c>
      <c r="AL24" s="127">
        <f t="shared" si="23"/>
        <v>5467.237211517089</v>
      </c>
      <c r="AM24" s="127">
        <f t="shared" si="23"/>
        <v>5973.326615880528</v>
      </c>
      <c r="AN24" s="127">
        <f t="shared" si="23"/>
        <v>6479.71248126807</v>
      </c>
      <c r="AO24" s="127">
        <f t="shared" si="23"/>
        <v>6986.396537035689</v>
      </c>
      <c r="AP24" s="127">
        <f t="shared" si="23"/>
        <v>6986.396537035689</v>
      </c>
      <c r="AQ24" s="127">
        <f t="shared" si="22"/>
        <v>15089.122678481974</v>
      </c>
      <c r="AR24" s="127">
        <f t="shared" si="22"/>
        <v>24837.071739896164</v>
      </c>
      <c r="AS24" s="127">
        <f t="shared" si="22"/>
        <v>36233.592976323394</v>
      </c>
      <c r="AT24" s="127">
        <f t="shared" si="22"/>
        <v>49282.27776072685</v>
      </c>
      <c r="AU24" s="127">
        <f>SUM(AU25:AU26)</f>
        <v>63986.94779198437</v>
      </c>
    </row>
    <row r="25" spans="1:47" ht="15" customHeight="1">
      <c r="A25" s="131" t="s">
        <v>132</v>
      </c>
      <c r="B25" s="127"/>
      <c r="C25" s="133"/>
      <c r="D25" s="133">
        <f>C25+'1-Ф3'!D27</f>
        <v>0</v>
      </c>
      <c r="E25" s="133">
        <f>D25+'1-Ф3'!E27</f>
        <v>0</v>
      </c>
      <c r="F25" s="133">
        <f>E25+'1-Ф3'!F27</f>
        <v>0</v>
      </c>
      <c r="G25" s="133">
        <f>F25+'1-Ф3'!G27</f>
        <v>0</v>
      </c>
      <c r="H25" s="133">
        <f>G25+'1-Ф3'!H27</f>
        <v>0</v>
      </c>
      <c r="I25" s="133">
        <f>H25+'1-Ф3'!I27</f>
        <v>0</v>
      </c>
      <c r="J25" s="133">
        <f>I25+'1-Ф3'!J27</f>
        <v>0</v>
      </c>
      <c r="K25" s="133">
        <f>J25+'1-Ф3'!K27</f>
        <v>0</v>
      </c>
      <c r="L25" s="133">
        <f>K25+'1-Ф3'!L27</f>
        <v>0</v>
      </c>
      <c r="M25" s="133">
        <f>L25+'1-Ф3'!M27</f>
        <v>0</v>
      </c>
      <c r="N25" s="133">
        <f>M25+'1-Ф3'!N27</f>
        <v>0</v>
      </c>
      <c r="O25" s="133">
        <f>N25+'1-Ф3'!O27</f>
        <v>761.5509888000001</v>
      </c>
      <c r="P25" s="133">
        <f>O25</f>
        <v>761.5509888000001</v>
      </c>
      <c r="Q25" s="133">
        <f>P25+'1-Ф3'!Q27</f>
        <v>1769.2516480000004</v>
      </c>
      <c r="R25" s="133">
        <f>Q25+'1-Ф3'!R27</f>
        <v>2976.9523072000006</v>
      </c>
      <c r="S25" s="133">
        <f>R25+'1-Ф3'!S27</f>
        <v>2976.9523072000006</v>
      </c>
      <c r="T25" s="133">
        <f>S25+'1-Ф3'!T27</f>
        <v>2976.9523072000006</v>
      </c>
      <c r="U25" s="133">
        <f>T25+'1-Ф3'!U27</f>
        <v>2976.9523072000006</v>
      </c>
      <c r="V25" s="133">
        <f>U25+'1-Ф3'!V27</f>
        <v>2976.9523072000006</v>
      </c>
      <c r="W25" s="133">
        <f>V25+'1-Ф3'!W27</f>
        <v>2976.9523072000006</v>
      </c>
      <c r="X25" s="133">
        <f>W25+'1-Ф3'!X27</f>
        <v>2976.9523072000006</v>
      </c>
      <c r="Y25" s="133">
        <f>X25+'1-Ф3'!Y27</f>
        <v>2976.9523072000006</v>
      </c>
      <c r="Z25" s="133">
        <f>Y25+'1-Ф3'!Z27</f>
        <v>2976.9523072000006</v>
      </c>
      <c r="AA25" s="133">
        <f>Z25+'1-Ф3'!AA27</f>
        <v>2976.9523072000006</v>
      </c>
      <c r="AB25" s="133">
        <f>AA25+'1-Ф3'!AB27</f>
        <v>2976.9523072000006</v>
      </c>
      <c r="AC25" s="133">
        <f>AB25</f>
        <v>2976.9523072000006</v>
      </c>
      <c r="AD25" s="133">
        <f>AC25+'1-Ф3'!AD27</f>
        <v>2976.9523072000006</v>
      </c>
      <c r="AE25" s="133">
        <f>AD25+'1-Ф3'!AE27</f>
        <v>2976.9523072000006</v>
      </c>
      <c r="AF25" s="133">
        <f>AE25+'1-Ф3'!AF27</f>
        <v>2976.9523072000006</v>
      </c>
      <c r="AG25" s="133">
        <f>AF25+'1-Ф3'!AG27</f>
        <v>2976.9523072000006</v>
      </c>
      <c r="AH25" s="133">
        <f>AG25+'1-Ф3'!AH27</f>
        <v>2976.9523072000006</v>
      </c>
      <c r="AI25" s="133">
        <f>AH25+'1-Ф3'!AI27</f>
        <v>2976.9523072000006</v>
      </c>
      <c r="AJ25" s="133">
        <f>AI25+'1-Ф3'!AJ27</f>
        <v>2976.9523072000006</v>
      </c>
      <c r="AK25" s="133">
        <f>AJ25+'1-Ф3'!AK27</f>
        <v>2976.9523072000006</v>
      </c>
      <c r="AL25" s="133">
        <f>AK25+'1-Ф3'!AL27</f>
        <v>2976.9523072000006</v>
      </c>
      <c r="AM25" s="133">
        <f>AL25+'1-Ф3'!AM27</f>
        <v>2976.9523072000006</v>
      </c>
      <c r="AN25" s="133">
        <f>AM25+'1-Ф3'!AN27</f>
        <v>2976.9523072000006</v>
      </c>
      <c r="AO25" s="133">
        <f>AN25+'1-Ф3'!AO27</f>
        <v>2976.9523072000006</v>
      </c>
      <c r="AP25" s="133">
        <f>AO25</f>
        <v>2976.9523072000006</v>
      </c>
      <c r="AQ25" s="133">
        <f>AP25+'1-Ф3'!AQ27</f>
        <v>2976.9523072000006</v>
      </c>
      <c r="AR25" s="133">
        <f>AQ25+'1-Ф3'!AR27</f>
        <v>2976.9523072000006</v>
      </c>
      <c r="AS25" s="133">
        <f>AR25+'1-Ф3'!AS27</f>
        <v>2976.9523072000006</v>
      </c>
      <c r="AT25" s="133">
        <f>AS25+'1-Ф3'!AT27</f>
        <v>2976.9523072000006</v>
      </c>
      <c r="AU25" s="133">
        <f>AT25+'1-Ф3'!AU27</f>
        <v>2976.9523072000006</v>
      </c>
    </row>
    <row r="26" spans="1:47" ht="15" customHeight="1">
      <c r="A26" s="131" t="s">
        <v>133</v>
      </c>
      <c r="B26" s="127"/>
      <c r="C26" s="133"/>
      <c r="D26" s="133">
        <f>'2-ф2'!D16</f>
        <v>0</v>
      </c>
      <c r="E26" s="133">
        <f>'2-ф2'!E16</f>
        <v>0</v>
      </c>
      <c r="F26" s="133">
        <f>'2-ф2'!F16</f>
        <v>0</v>
      </c>
      <c r="G26" s="133">
        <f>'2-ф2'!G16</f>
        <v>0</v>
      </c>
      <c r="H26" s="133">
        <f>'2-ф2'!H16</f>
        <v>0</v>
      </c>
      <c r="I26" s="133">
        <f>'2-ф2'!I16</f>
        <v>0</v>
      </c>
      <c r="J26" s="133">
        <f>'2-ф2'!J16</f>
        <v>0</v>
      </c>
      <c r="K26" s="133">
        <f>'2-ф2'!K16</f>
        <v>0</v>
      </c>
      <c r="L26" s="133">
        <f>'2-ф2'!L16</f>
        <v>0</v>
      </c>
      <c r="M26" s="133">
        <f>'2-ф2'!M16</f>
        <v>0</v>
      </c>
      <c r="N26" s="133">
        <f>'2-ф2'!N16</f>
        <v>-2.1810964000000004</v>
      </c>
      <c r="O26" s="133">
        <f>'2-ф2'!O16</f>
        <v>-33.82513586666667</v>
      </c>
      <c r="P26" s="133">
        <f>'2-ф2'!P16</f>
        <v>-33.82513586666667</v>
      </c>
      <c r="Q26" s="133">
        <f>'2-ф2'!Q16</f>
        <v>-803.507541719048</v>
      </c>
      <c r="R26" s="133">
        <f>'2-ф2'!R16</f>
        <v>-1351.298555194144</v>
      </c>
      <c r="S26" s="133">
        <f>'2-ф2'!S16</f>
        <v>-1472.8175517800496</v>
      </c>
      <c r="T26" s="133">
        <f>'2-ф2'!T16</f>
        <v>-1594.3365483659552</v>
      </c>
      <c r="U26" s="133">
        <f>'2-ф2'!U16</f>
        <v>-1715.8555449518608</v>
      </c>
      <c r="V26" s="133">
        <f>'2-ф2'!V16</f>
        <v>-1837.3745415377664</v>
      </c>
      <c r="W26" s="133">
        <f>'2-ф2'!W16</f>
        <v>-1958.893538123672</v>
      </c>
      <c r="X26" s="133">
        <f>'2-ф2'!X16</f>
        <v>-2080.412534709578</v>
      </c>
      <c r="Y26" s="133">
        <f>'2-ф2'!Y16</f>
        <v>-2201.907858602406</v>
      </c>
      <c r="Z26" s="133">
        <f>'2-ф2'!Z16</f>
        <v>-2323.059593452964</v>
      </c>
      <c r="AA26" s="133">
        <f>'2-ф2'!AA16</f>
        <v>-2443.8657349918376</v>
      </c>
      <c r="AB26" s="133">
        <f>'2-ф2'!AB16</f>
        <v>-2564.324267258043</v>
      </c>
      <c r="AC26" s="133">
        <f>'2-ф2'!AC16</f>
        <v>-2564.324267258043</v>
      </c>
      <c r="AD26" s="133">
        <f>'2-ф2'!AD16</f>
        <v>-1934.9524668165363</v>
      </c>
      <c r="AE26" s="133">
        <f>'2-ф2'!AE16</f>
        <v>-1305.2289898324755</v>
      </c>
      <c r="AF26" s="133">
        <f>'2-ф2'!AF16</f>
        <v>-675.1517848593622</v>
      </c>
      <c r="AG26" s="133">
        <f>'2-ф2'!AG16</f>
        <v>-44.718788483927256</v>
      </c>
      <c r="AH26" s="133">
        <f>'2-ф2'!AH16</f>
        <v>468.8576597949411</v>
      </c>
      <c r="AI26" s="133">
        <f>'2-ф2'!AI16</f>
        <v>973.7783139040691</v>
      </c>
      <c r="AJ26" s="133">
        <f>'2-ф2'!AJ16</f>
        <v>1478.9886113274833</v>
      </c>
      <c r="AK26" s="133">
        <f>'2-ф2'!AK16</f>
        <v>1984.4902416511836</v>
      </c>
      <c r="AL26" s="133">
        <f>'2-ф2'!AL16</f>
        <v>2490.2849043170886</v>
      </c>
      <c r="AM26" s="133">
        <f>'2-ф2'!AM16</f>
        <v>2996.3743086805275</v>
      </c>
      <c r="AN26" s="133">
        <f>'2-ф2'!AN16</f>
        <v>3502.7601740680693</v>
      </c>
      <c r="AO26" s="133">
        <f>'2-ф2'!AO16</f>
        <v>4009.444229835688</v>
      </c>
      <c r="AP26" s="133">
        <f>'2-ф2'!AP16</f>
        <v>4009.444229835688</v>
      </c>
      <c r="AQ26" s="133">
        <f>'2-ф2'!AQ16</f>
        <v>12112.170371281973</v>
      </c>
      <c r="AR26" s="133">
        <f>'2-ф2'!AR16</f>
        <v>21860.119432696163</v>
      </c>
      <c r="AS26" s="133">
        <f>'2-ф2'!AS16</f>
        <v>33256.64066912339</v>
      </c>
      <c r="AT26" s="133">
        <f>'2-ф2'!AT16</f>
        <v>46305.32545352685</v>
      </c>
      <c r="AU26" s="133">
        <f>'2-ф2'!AU16</f>
        <v>61009.99548478437</v>
      </c>
    </row>
    <row r="28" spans="1:47" ht="12.75">
      <c r="A28" s="136" t="s">
        <v>134</v>
      </c>
      <c r="B28" s="137"/>
      <c r="C28" s="138">
        <f aca="true" t="shared" si="24" ref="C28:AT28">C5-C16</f>
        <v>0</v>
      </c>
      <c r="D28" s="263">
        <f t="shared" si="24"/>
        <v>0</v>
      </c>
      <c r="E28" s="263">
        <f t="shared" si="24"/>
        <v>0</v>
      </c>
      <c r="F28" s="263">
        <f t="shared" si="24"/>
        <v>0</v>
      </c>
      <c r="G28" s="263">
        <f t="shared" si="24"/>
        <v>0</v>
      </c>
      <c r="H28" s="263">
        <f t="shared" si="24"/>
        <v>0</v>
      </c>
      <c r="I28" s="263">
        <f t="shared" si="24"/>
        <v>0</v>
      </c>
      <c r="J28" s="263">
        <f t="shared" si="24"/>
        <v>0</v>
      </c>
      <c r="K28" s="263">
        <f t="shared" si="24"/>
        <v>0</v>
      </c>
      <c r="L28" s="263">
        <f aca="true" t="shared" si="25" ref="L28:Q28">L5-L16</f>
        <v>0</v>
      </c>
      <c r="M28" s="263">
        <f t="shared" si="25"/>
        <v>0</v>
      </c>
      <c r="N28" s="263">
        <f t="shared" si="25"/>
        <v>0</v>
      </c>
      <c r="O28" s="263">
        <f t="shared" si="25"/>
        <v>0</v>
      </c>
      <c r="P28" s="263">
        <f t="shared" si="25"/>
        <v>0</v>
      </c>
      <c r="Q28" s="263">
        <f t="shared" si="25"/>
        <v>0</v>
      </c>
      <c r="R28" s="263">
        <f t="shared" si="24"/>
        <v>0</v>
      </c>
      <c r="S28" s="263">
        <f t="shared" si="24"/>
        <v>0</v>
      </c>
      <c r="T28" s="263">
        <f t="shared" si="24"/>
        <v>0</v>
      </c>
      <c r="U28" s="263">
        <f t="shared" si="24"/>
        <v>0</v>
      </c>
      <c r="V28" s="263">
        <f t="shared" si="24"/>
        <v>0</v>
      </c>
      <c r="W28" s="263">
        <f t="shared" si="24"/>
        <v>0</v>
      </c>
      <c r="X28" s="263">
        <f t="shared" si="24"/>
        <v>0</v>
      </c>
      <c r="Y28" s="263">
        <f t="shared" si="24"/>
        <v>0</v>
      </c>
      <c r="Z28" s="263">
        <f t="shared" si="24"/>
        <v>0</v>
      </c>
      <c r="AA28" s="263">
        <f t="shared" si="24"/>
        <v>0</v>
      </c>
      <c r="AB28" s="263">
        <f t="shared" si="24"/>
        <v>0</v>
      </c>
      <c r="AC28" s="263">
        <f t="shared" si="24"/>
        <v>0</v>
      </c>
      <c r="AD28" s="263">
        <f t="shared" si="24"/>
        <v>0</v>
      </c>
      <c r="AE28" s="263">
        <f t="shared" si="24"/>
        <v>0</v>
      </c>
      <c r="AF28" s="263">
        <f aca="true" t="shared" si="26" ref="AF28:AP28">AF5-AF16</f>
        <v>0</v>
      </c>
      <c r="AG28" s="263">
        <f t="shared" si="26"/>
        <v>0</v>
      </c>
      <c r="AH28" s="263">
        <f t="shared" si="26"/>
        <v>0</v>
      </c>
      <c r="AI28" s="263">
        <f t="shared" si="26"/>
        <v>0</v>
      </c>
      <c r="AJ28" s="263">
        <f t="shared" si="26"/>
        <v>0</v>
      </c>
      <c r="AK28" s="263">
        <f t="shared" si="26"/>
        <v>0</v>
      </c>
      <c r="AL28" s="263">
        <f t="shared" si="26"/>
        <v>0</v>
      </c>
      <c r="AM28" s="263">
        <f t="shared" si="26"/>
        <v>0</v>
      </c>
      <c r="AN28" s="263">
        <f t="shared" si="26"/>
        <v>0</v>
      </c>
      <c r="AO28" s="263">
        <f t="shared" si="26"/>
        <v>0</v>
      </c>
      <c r="AP28" s="263">
        <f t="shared" si="26"/>
        <v>0</v>
      </c>
      <c r="AQ28" s="263">
        <f t="shared" si="24"/>
        <v>0</v>
      </c>
      <c r="AR28" s="263">
        <f t="shared" si="24"/>
        <v>0</v>
      </c>
      <c r="AS28" s="263">
        <f t="shared" si="24"/>
        <v>0</v>
      </c>
      <c r="AT28" s="263">
        <f t="shared" si="24"/>
        <v>0</v>
      </c>
      <c r="AU28" s="263">
        <f>AU5-AU16</f>
        <v>0</v>
      </c>
    </row>
    <row r="29" spans="11:47" ht="12.75" hidden="1"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</row>
    <row r="30" spans="1:47" ht="12.75" hidden="1">
      <c r="A30" s="119" t="s">
        <v>133</v>
      </c>
      <c r="K30" s="302"/>
      <c r="L30" s="302" t="e">
        <f>'[45]ф2'!L32</f>
        <v>#REF!</v>
      </c>
      <c r="M30" s="302" t="e">
        <f>'[45]ф2'!M32</f>
        <v>#REF!</v>
      </c>
      <c r="N30" s="302" t="e">
        <f>'[45]ф2'!N32</f>
        <v>#REF!</v>
      </c>
      <c r="O30" s="302" t="e">
        <f>'[45]ф2'!O32</f>
        <v>#REF!</v>
      </c>
      <c r="P30" s="302" t="e">
        <f>'[45]ф2'!P32</f>
        <v>#REF!</v>
      </c>
      <c r="Q30" s="302">
        <f>'[45]ф2'!Q32</f>
        <v>109.48954266069855</v>
      </c>
      <c r="R30" s="302">
        <f>'[45]ф2'!R32</f>
        <v>109.48954266069855</v>
      </c>
      <c r="S30" s="302">
        <f>'[45]ф2'!S32</f>
        <v>108.45296951069854</v>
      </c>
      <c r="T30" s="302">
        <f>'[45]ф2'!T32</f>
        <v>106.37982321069852</v>
      </c>
      <c r="U30" s="302">
        <f>'[45]ф2'!U32</f>
        <v>103.27010376069849</v>
      </c>
      <c r="V30" s="302">
        <f>'[45]ф2'!V32</f>
        <v>103.27010376069849</v>
      </c>
      <c r="W30" s="302">
        <f>'[45]ф2'!W32</f>
        <v>103.27010376069849</v>
      </c>
      <c r="X30" s="302">
        <f>'[45]ф2'!X32</f>
        <v>99.20125340855881</v>
      </c>
      <c r="Y30" s="302">
        <f>'[45]ф2'!Y32</f>
        <v>99.20125340855881</v>
      </c>
      <c r="Z30" s="302">
        <f>'[45]ф2'!Z32</f>
        <v>99.20125340855881</v>
      </c>
      <c r="AA30" s="302">
        <f>'[45]ф2'!AA32</f>
        <v>99.20125340855881</v>
      </c>
      <c r="AB30" s="302">
        <f>'[45]ф2'!AB32</f>
        <v>82.61608300855879</v>
      </c>
      <c r="AC30" s="302">
        <f>AC26-P26</f>
        <v>-2530.4991313913765</v>
      </c>
      <c r="AD30" s="302" t="e">
        <f>'[45]ф2'!AD32</f>
        <v>#REF!</v>
      </c>
      <c r="AE30" s="302" t="e">
        <f>'[45]ф2'!AE32</f>
        <v>#REF!</v>
      </c>
      <c r="AF30" s="302" t="e">
        <f>'[45]ф2'!AF32</f>
        <v>#REF!</v>
      </c>
      <c r="AG30" s="302" t="e">
        <f>'[45]ф2'!AG32</f>
        <v>#REF!</v>
      </c>
      <c r="AH30" s="302" t="e">
        <f>'[45]ф2'!AH32</f>
        <v>#REF!</v>
      </c>
      <c r="AI30" s="302" t="e">
        <f>'[45]ф2'!AI32</f>
        <v>#REF!</v>
      </c>
      <c r="AJ30" s="302" t="e">
        <f>'[45]ф2'!AJ32</f>
        <v>#REF!</v>
      </c>
      <c r="AK30" s="302" t="e">
        <f>'[45]ф2'!AK32</f>
        <v>#REF!</v>
      </c>
      <c r="AL30" s="302" t="e">
        <f>'[45]ф2'!AL32</f>
        <v>#REF!</v>
      </c>
      <c r="AM30" s="302" t="e">
        <f>'[45]ф2'!AM32</f>
        <v>#REF!</v>
      </c>
      <c r="AN30" s="302" t="e">
        <f>'[45]ф2'!AN32</f>
        <v>#REF!</v>
      </c>
      <c r="AO30" s="302" t="e">
        <f>'[45]ф2'!AO32</f>
        <v>#REF!</v>
      </c>
      <c r="AP30" s="302">
        <f>AP26-AC26</f>
        <v>6573.768497093732</v>
      </c>
      <c r="AQ30" s="302">
        <f>AQ26-AP26</f>
        <v>8102.726141446285</v>
      </c>
      <c r="AR30" s="302">
        <f>AR26-AQ26</f>
        <v>9747.94906141419</v>
      </c>
      <c r="AS30" s="302">
        <f>AS26-AR26</f>
        <v>11396.52123642723</v>
      </c>
      <c r="AT30" s="302">
        <f>AT26-AS26</f>
        <v>13048.684784403456</v>
      </c>
      <c r="AU30" s="302">
        <f>AU26-AT26</f>
        <v>14704.67003125752</v>
      </c>
    </row>
    <row r="31" spans="1:47" ht="12.75" hidden="1">
      <c r="A31" s="119" t="s">
        <v>135</v>
      </c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>
        <f>(AC8+AC10+AC13+AC14)-(P8+P10+P13+P14)</f>
        <v>-662.8118002285714</v>
      </c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>
        <f>(AP8+AP10+AP13+AP14)-(AC8+AC10+AC13+AC14)</f>
        <v>0</v>
      </c>
      <c r="AQ31" s="302">
        <f>(AQ8+AQ10+AQ13+AQ14)-(AP8+AP10+AP13+AP14)</f>
        <v>0</v>
      </c>
      <c r="AR31" s="302">
        <f>(AR8+AR10+AR13+AR14)-(AQ8+AQ10+AQ13+AQ14)</f>
        <v>0</v>
      </c>
      <c r="AS31" s="302">
        <f>(AS8+AS10+AS13+AS14)-(AR8+AR10+AR13+AR14)</f>
        <v>0</v>
      </c>
      <c r="AT31" s="302">
        <f>(AT8+AT10+AT13+AT14)-(AS8+AS10+AS13+AS14)</f>
        <v>0</v>
      </c>
      <c r="AU31" s="302">
        <f>(AU8+AU10+AU13+AU14)-(AT8+AT10+AT13+AT14)</f>
        <v>0</v>
      </c>
    </row>
    <row r="32" spans="1:47" ht="12.75" hidden="1">
      <c r="A32" s="119" t="s">
        <v>136</v>
      </c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>
        <f>AC9-P9</f>
        <v>365.9014516500007</v>
      </c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>
        <f>AP9-AC9</f>
        <v>0</v>
      </c>
      <c r="AQ32" s="302">
        <f>AQ9-AP9</f>
        <v>0</v>
      </c>
      <c r="AR32" s="302">
        <f>AR9-AQ9</f>
        <v>0</v>
      </c>
      <c r="AS32" s="302">
        <f>AS9-AR9</f>
        <v>0</v>
      </c>
      <c r="AT32" s="302">
        <f>AT9-AS9</f>
        <v>0</v>
      </c>
      <c r="AU32" s="302">
        <f>AU9-AT9</f>
        <v>0</v>
      </c>
    </row>
    <row r="33" spans="1:47" ht="12.75" hidden="1">
      <c r="A33" s="119" t="s">
        <v>137</v>
      </c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>
        <f>(AC21+AC17)-(P21+P17)</f>
        <v>-180.62467114541687</v>
      </c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>
        <f>(AP21+AP17)-(AC21+AC17)</f>
        <v>-747.1168367944447</v>
      </c>
      <c r="AQ33" s="302">
        <f>(AQ21+AQ17)-(AP21+AP17)</f>
        <v>-801.125973335369</v>
      </c>
      <c r="AR33" s="302">
        <f>(AR21+AR17)-(AQ21+AQ17)</f>
        <v>-859.0394347238152</v>
      </c>
      <c r="AS33" s="302">
        <f>(AS21+AS17)-(AR21+AR17)</f>
        <v>-921.1394649186941</v>
      </c>
      <c r="AT33" s="302">
        <f>(AT21+AT17)-(AS21+AS17)</f>
        <v>-987.7287113175366</v>
      </c>
      <c r="AU33" s="302">
        <f>(AU21+AU17)-(AT21+AT17)</f>
        <v>-961.7425236313692</v>
      </c>
    </row>
    <row r="34" spans="1:47" ht="12.75" hidden="1">
      <c r="A34" s="119" t="s">
        <v>138</v>
      </c>
      <c r="K34" s="302"/>
      <c r="L34" s="302">
        <f aca="true" t="shared" si="27" ref="L34:Q34">L31+L32+L33</f>
        <v>0</v>
      </c>
      <c r="M34" s="302">
        <f t="shared" si="27"/>
        <v>0</v>
      </c>
      <c r="N34" s="302">
        <f t="shared" si="27"/>
        <v>0</v>
      </c>
      <c r="O34" s="302">
        <f t="shared" si="27"/>
        <v>0</v>
      </c>
      <c r="P34" s="302">
        <f t="shared" si="27"/>
        <v>0</v>
      </c>
      <c r="Q34" s="302">
        <f t="shared" si="27"/>
        <v>0</v>
      </c>
      <c r="R34" s="302">
        <f aca="true" t="shared" si="28" ref="R34:AB34">R31+R32+R33</f>
        <v>0</v>
      </c>
      <c r="S34" s="302">
        <f t="shared" si="28"/>
        <v>0</v>
      </c>
      <c r="T34" s="302">
        <f t="shared" si="28"/>
        <v>0</v>
      </c>
      <c r="U34" s="302">
        <f t="shared" si="28"/>
        <v>0</v>
      </c>
      <c r="V34" s="302">
        <f t="shared" si="28"/>
        <v>0</v>
      </c>
      <c r="W34" s="302">
        <f t="shared" si="28"/>
        <v>0</v>
      </c>
      <c r="X34" s="302">
        <f t="shared" si="28"/>
        <v>0</v>
      </c>
      <c r="Y34" s="302">
        <f t="shared" si="28"/>
        <v>0</v>
      </c>
      <c r="Z34" s="302">
        <f t="shared" si="28"/>
        <v>0</v>
      </c>
      <c r="AA34" s="302">
        <f t="shared" si="28"/>
        <v>0</v>
      </c>
      <c r="AB34" s="302">
        <f t="shared" si="28"/>
        <v>0</v>
      </c>
      <c r="AC34" s="302">
        <f>-AC31+AC32+AC33</f>
        <v>848.0885807331551</v>
      </c>
      <c r="AD34" s="302">
        <f aca="true" t="shared" si="29" ref="AD34:AO34">AD31+AD32+AD33</f>
        <v>0</v>
      </c>
      <c r="AE34" s="302">
        <f t="shared" si="29"/>
        <v>0</v>
      </c>
      <c r="AF34" s="302">
        <f t="shared" si="29"/>
        <v>0</v>
      </c>
      <c r="AG34" s="302">
        <f t="shared" si="29"/>
        <v>0</v>
      </c>
      <c r="AH34" s="302">
        <f t="shared" si="29"/>
        <v>0</v>
      </c>
      <c r="AI34" s="302">
        <f t="shared" si="29"/>
        <v>0</v>
      </c>
      <c r="AJ34" s="302">
        <f t="shared" si="29"/>
        <v>0</v>
      </c>
      <c r="AK34" s="302">
        <f t="shared" si="29"/>
        <v>0</v>
      </c>
      <c r="AL34" s="302">
        <f t="shared" si="29"/>
        <v>0</v>
      </c>
      <c r="AM34" s="302">
        <f t="shared" si="29"/>
        <v>0</v>
      </c>
      <c r="AN34" s="302">
        <f t="shared" si="29"/>
        <v>0</v>
      </c>
      <c r="AO34" s="302">
        <f t="shared" si="29"/>
        <v>0</v>
      </c>
      <c r="AP34" s="302">
        <f aca="true" t="shared" si="30" ref="AP34:AU34">-AP31+AP32+AP33</f>
        <v>-747.1168367944447</v>
      </c>
      <c r="AQ34" s="302">
        <f t="shared" si="30"/>
        <v>-801.125973335369</v>
      </c>
      <c r="AR34" s="302">
        <f t="shared" si="30"/>
        <v>-859.0394347238152</v>
      </c>
      <c r="AS34" s="302">
        <f t="shared" si="30"/>
        <v>-921.1394649186941</v>
      </c>
      <c r="AT34" s="302">
        <f t="shared" si="30"/>
        <v>-987.7287113175366</v>
      </c>
      <c r="AU34" s="302">
        <f t="shared" si="30"/>
        <v>-961.7425236313692</v>
      </c>
    </row>
    <row r="35" spans="1:47" ht="12.75" hidden="1">
      <c r="A35" s="119" t="s">
        <v>77</v>
      </c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>
        <f>'2-ф2'!AC11</f>
        <v>484.34754285714274</v>
      </c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>
        <f>'2-ф2'!AP11</f>
        <v>484.34754285714274</v>
      </c>
      <c r="AQ35" s="302">
        <f>'2-ф2'!AQ11</f>
        <v>484.3475428571428</v>
      </c>
      <c r="AR35" s="302">
        <f>'2-ф2'!AR11</f>
        <v>484.3475428571428</v>
      </c>
      <c r="AS35" s="302">
        <f>'2-ф2'!AS11</f>
        <v>484.3475428571428</v>
      </c>
      <c r="AT35" s="302">
        <f>'2-ф2'!AT11</f>
        <v>484.3475428571428</v>
      </c>
      <c r="AU35" s="302">
        <f>'2-ф2'!AU11</f>
        <v>484.3475428571428</v>
      </c>
    </row>
    <row r="36" spans="1:47" ht="12.75" hidden="1">
      <c r="A36" s="119" t="s">
        <v>139</v>
      </c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>
        <f>-'1-Ф3'!AC20</f>
        <v>0</v>
      </c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>
        <f>-'1-Ф3'!AP20</f>
        <v>0</v>
      </c>
      <c r="AQ36" s="302">
        <f>-'1-Ф3'!AQ20</f>
        <v>0</v>
      </c>
      <c r="AR36" s="302">
        <f>-'1-Ф3'!AR20</f>
        <v>0</v>
      </c>
      <c r="AS36" s="302">
        <f>-'1-Ф3'!AS20</f>
        <v>0</v>
      </c>
      <c r="AT36" s="302">
        <f>-'1-Ф3'!AT20</f>
        <v>0</v>
      </c>
      <c r="AU36" s="302">
        <f>-'1-Ф3'!AU20</f>
        <v>0</v>
      </c>
    </row>
    <row r="37" spans="1:47" ht="12.75" hidden="1">
      <c r="A37" s="119" t="s">
        <v>140</v>
      </c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>
        <f>AC30+AC34+AC35+AC36</f>
        <v>-1198.0630078010786</v>
      </c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>
        <f aca="true" t="shared" si="31" ref="AP37:AU37">AP30+AP34+AP35+AP36</f>
        <v>6310.99920315643</v>
      </c>
      <c r="AQ37" s="302">
        <f t="shared" si="31"/>
        <v>7785.947710968058</v>
      </c>
      <c r="AR37" s="302">
        <f t="shared" si="31"/>
        <v>9373.25716954752</v>
      </c>
      <c r="AS37" s="302">
        <f t="shared" si="31"/>
        <v>10959.729314365679</v>
      </c>
      <c r="AT37" s="302">
        <f t="shared" si="31"/>
        <v>12545.303615943063</v>
      </c>
      <c r="AU37" s="302">
        <f t="shared" si="31"/>
        <v>14227.275050483295</v>
      </c>
    </row>
    <row r="38" spans="11:47" ht="12.75" hidden="1"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</row>
    <row r="39" spans="1:47" ht="12.75" hidden="1">
      <c r="A39" s="119" t="s">
        <v>146</v>
      </c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>
        <f>'1-Ф3'!AC33</f>
        <v>285.53540729893075</v>
      </c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>
        <f>'1-Ф3'!AP33</f>
        <v>6310.999203156443</v>
      </c>
      <c r="AQ39" s="302">
        <f>'1-Ф3'!AQ33</f>
        <v>7785.947710968055</v>
      </c>
      <c r="AR39" s="302">
        <f>'1-Ф3'!AR33</f>
        <v>9373.257169547516</v>
      </c>
      <c r="AS39" s="302">
        <f>'1-Ф3'!AS33</f>
        <v>10959.729314365675</v>
      </c>
      <c r="AT39" s="302">
        <f>'1-Ф3'!AT33</f>
        <v>12545.30361594306</v>
      </c>
      <c r="AU39" s="302">
        <f>'1-Ф3'!AU33</f>
        <v>14227.275050483304</v>
      </c>
    </row>
    <row r="40" spans="1:47" ht="12.75" hidden="1">
      <c r="A40" s="136" t="s">
        <v>134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63"/>
      <c r="L40" s="263">
        <f aca="true" t="shared" si="32" ref="L40:Q40">L39-L37</f>
        <v>0</v>
      </c>
      <c r="M40" s="263">
        <f t="shared" si="32"/>
        <v>0</v>
      </c>
      <c r="N40" s="263">
        <f t="shared" si="32"/>
        <v>0</v>
      </c>
      <c r="O40" s="263">
        <f t="shared" si="32"/>
        <v>0</v>
      </c>
      <c r="P40" s="263">
        <f t="shared" si="32"/>
        <v>0</v>
      </c>
      <c r="Q40" s="263">
        <f t="shared" si="32"/>
        <v>0</v>
      </c>
      <c r="R40" s="263">
        <f aca="true" t="shared" si="33" ref="R40:AB40">R39-R37</f>
        <v>0</v>
      </c>
      <c r="S40" s="263">
        <f t="shared" si="33"/>
        <v>0</v>
      </c>
      <c r="T40" s="263">
        <f t="shared" si="33"/>
        <v>0</v>
      </c>
      <c r="U40" s="263">
        <f t="shared" si="33"/>
        <v>0</v>
      </c>
      <c r="V40" s="263">
        <f t="shared" si="33"/>
        <v>0</v>
      </c>
      <c r="W40" s="263">
        <f t="shared" si="33"/>
        <v>0</v>
      </c>
      <c r="X40" s="263">
        <f t="shared" si="33"/>
        <v>0</v>
      </c>
      <c r="Y40" s="263">
        <f t="shared" si="33"/>
        <v>0</v>
      </c>
      <c r="Z40" s="263">
        <f t="shared" si="33"/>
        <v>0</v>
      </c>
      <c r="AA40" s="263">
        <f t="shared" si="33"/>
        <v>0</v>
      </c>
      <c r="AB40" s="263">
        <f t="shared" si="33"/>
        <v>0</v>
      </c>
      <c r="AC40" s="263">
        <f aca="true" t="shared" si="34" ref="AC40:AT40">AC39-AC37</f>
        <v>1483.5984151000093</v>
      </c>
      <c r="AD40" s="263">
        <f t="shared" si="34"/>
        <v>0</v>
      </c>
      <c r="AE40" s="263">
        <f t="shared" si="34"/>
        <v>0</v>
      </c>
      <c r="AF40" s="263">
        <f t="shared" si="34"/>
        <v>0</v>
      </c>
      <c r="AG40" s="263">
        <f t="shared" si="34"/>
        <v>0</v>
      </c>
      <c r="AH40" s="263">
        <f t="shared" si="34"/>
        <v>0</v>
      </c>
      <c r="AI40" s="263">
        <f t="shared" si="34"/>
        <v>0</v>
      </c>
      <c r="AJ40" s="263">
        <f t="shared" si="34"/>
        <v>0</v>
      </c>
      <c r="AK40" s="263">
        <f t="shared" si="34"/>
        <v>0</v>
      </c>
      <c r="AL40" s="263">
        <f t="shared" si="34"/>
        <v>0</v>
      </c>
      <c r="AM40" s="263">
        <f t="shared" si="34"/>
        <v>0</v>
      </c>
      <c r="AN40" s="263">
        <f t="shared" si="34"/>
        <v>0</v>
      </c>
      <c r="AO40" s="263">
        <f t="shared" si="34"/>
        <v>0</v>
      </c>
      <c r="AP40" s="263">
        <f t="shared" si="34"/>
        <v>1.3642420526593924E-11</v>
      </c>
      <c r="AQ40" s="263">
        <f t="shared" si="34"/>
        <v>0</v>
      </c>
      <c r="AR40" s="263">
        <f t="shared" si="34"/>
        <v>0</v>
      </c>
      <c r="AS40" s="263">
        <f t="shared" si="34"/>
        <v>0</v>
      </c>
      <c r="AT40" s="263">
        <f t="shared" si="34"/>
        <v>0</v>
      </c>
      <c r="AU40" s="263">
        <f>AU39-AU37</f>
        <v>0</v>
      </c>
    </row>
    <row r="41" spans="11:47" ht="12.75">
      <c r="K41" s="302">
        <f>K28-J28</f>
        <v>0</v>
      </c>
      <c r="L41" s="302">
        <f aca="true" t="shared" si="35" ref="L41:Q41">L28-K28</f>
        <v>0</v>
      </c>
      <c r="M41" s="302">
        <f t="shared" si="35"/>
        <v>0</v>
      </c>
      <c r="N41" s="302">
        <f t="shared" si="35"/>
        <v>0</v>
      </c>
      <c r="O41" s="302">
        <f t="shared" si="35"/>
        <v>0</v>
      </c>
      <c r="P41" s="302">
        <f t="shared" si="35"/>
        <v>0</v>
      </c>
      <c r="Q41" s="302">
        <f t="shared" si="35"/>
        <v>0</v>
      </c>
      <c r="R41" s="302">
        <f>R28-Q28</f>
        <v>0</v>
      </c>
      <c r="S41" s="302">
        <f aca="true" t="shared" si="36" ref="S41:AU41">S28-R28</f>
        <v>0</v>
      </c>
      <c r="T41" s="302">
        <f t="shared" si="36"/>
        <v>0</v>
      </c>
      <c r="U41" s="302">
        <f t="shared" si="36"/>
        <v>0</v>
      </c>
      <c r="V41" s="302">
        <f t="shared" si="36"/>
        <v>0</v>
      </c>
      <c r="W41" s="302">
        <f t="shared" si="36"/>
        <v>0</v>
      </c>
      <c r="X41" s="302">
        <f t="shared" si="36"/>
        <v>0</v>
      </c>
      <c r="Y41" s="302">
        <f t="shared" si="36"/>
        <v>0</v>
      </c>
      <c r="Z41" s="302">
        <f t="shared" si="36"/>
        <v>0</v>
      </c>
      <c r="AA41" s="302">
        <f t="shared" si="36"/>
        <v>0</v>
      </c>
      <c r="AB41" s="302">
        <f t="shared" si="36"/>
        <v>0</v>
      </c>
      <c r="AC41" s="302">
        <f>AC28-AB28</f>
        <v>0</v>
      </c>
      <c r="AD41" s="302">
        <f>AD28-AC28</f>
        <v>0</v>
      </c>
      <c r="AE41" s="302">
        <f>AE28-AD28</f>
        <v>0</v>
      </c>
      <c r="AF41" s="302">
        <f>AF28-AE28</f>
        <v>0</v>
      </c>
      <c r="AG41" s="302">
        <f t="shared" si="36"/>
        <v>0</v>
      </c>
      <c r="AH41" s="302">
        <f t="shared" si="36"/>
        <v>0</v>
      </c>
      <c r="AI41" s="302">
        <f t="shared" si="36"/>
        <v>0</v>
      </c>
      <c r="AJ41" s="302">
        <f t="shared" si="36"/>
        <v>0</v>
      </c>
      <c r="AK41" s="302">
        <f t="shared" si="36"/>
        <v>0</v>
      </c>
      <c r="AL41" s="302">
        <f t="shared" si="36"/>
        <v>0</v>
      </c>
      <c r="AM41" s="302">
        <f t="shared" si="36"/>
        <v>0</v>
      </c>
      <c r="AN41" s="302">
        <f t="shared" si="36"/>
        <v>0</v>
      </c>
      <c r="AO41" s="302">
        <f t="shared" si="36"/>
        <v>0</v>
      </c>
      <c r="AP41" s="302">
        <f t="shared" si="36"/>
        <v>0</v>
      </c>
      <c r="AQ41" s="302">
        <f t="shared" si="36"/>
        <v>0</v>
      </c>
      <c r="AR41" s="302">
        <f t="shared" si="36"/>
        <v>0</v>
      </c>
      <c r="AS41" s="302">
        <f t="shared" si="36"/>
        <v>0</v>
      </c>
      <c r="AT41" s="302">
        <f t="shared" si="36"/>
        <v>0</v>
      </c>
      <c r="AU41" s="302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5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C30" sqref="C30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51" t="s">
        <v>39</v>
      </c>
      <c r="B1" s="351"/>
      <c r="C1" s="351"/>
    </row>
    <row r="2" spans="1:14" ht="12" customHeight="1">
      <c r="A2" s="62"/>
      <c r="N2" s="248">
        <f>'1-Ф3'!$B$2</f>
        <v>0</v>
      </c>
    </row>
    <row r="3" spans="1:14" ht="12.75">
      <c r="A3" s="79" t="s">
        <v>28</v>
      </c>
      <c r="B3" s="80" t="s">
        <v>40</v>
      </c>
      <c r="C3" s="80" t="s">
        <v>8</v>
      </c>
      <c r="N3" s="248">
        <f>'Осн.пок-ли'!B6</f>
        <v>2976.9523072</v>
      </c>
    </row>
    <row r="4" ht="12.75">
      <c r="A4" s="62" t="s">
        <v>148</v>
      </c>
    </row>
    <row r="5" spans="1:4" ht="12.75">
      <c r="A5" s="81" t="s">
        <v>102</v>
      </c>
      <c r="B5" s="81"/>
      <c r="C5" s="234">
        <v>152.85</v>
      </c>
      <c r="D5" s="78" t="s">
        <v>297</v>
      </c>
    </row>
    <row r="6" spans="1:4" ht="12.75">
      <c r="A6" s="81" t="s">
        <v>298</v>
      </c>
      <c r="B6" s="81"/>
      <c r="C6" s="234">
        <v>25.01</v>
      </c>
      <c r="D6" s="78" t="s">
        <v>297</v>
      </c>
    </row>
    <row r="7" spans="1:4" ht="12.75">
      <c r="A7" s="81" t="s">
        <v>157</v>
      </c>
      <c r="B7" s="81"/>
      <c r="C7" s="234">
        <v>4.64</v>
      </c>
      <c r="D7" s="78" t="s">
        <v>297</v>
      </c>
    </row>
    <row r="8" spans="1:4" ht="12.75">
      <c r="A8" s="81" t="s">
        <v>73</v>
      </c>
      <c r="B8" s="81"/>
      <c r="C8" s="160">
        <f>20%*C9+C36*(1-C20)*(1-C9)</f>
        <v>0.10702347731838183</v>
      </c>
      <c r="D8" s="78" t="s">
        <v>158</v>
      </c>
    </row>
    <row r="9" spans="1:3" ht="12.75">
      <c r="A9" s="81" t="s">
        <v>207</v>
      </c>
      <c r="B9" s="81"/>
      <c r="C9" s="160">
        <f>'1-Ф3'!B27/'1-Ф3'!B26</f>
        <v>0.35432970359987376</v>
      </c>
    </row>
    <row r="10" spans="1:3" ht="12.75">
      <c r="A10" s="81" t="s">
        <v>141</v>
      </c>
      <c r="B10" s="81"/>
      <c r="C10" s="85" t="s">
        <v>59</v>
      </c>
    </row>
    <row r="11" ht="12.75">
      <c r="A11" s="62" t="s">
        <v>142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214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214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214</v>
      </c>
    </row>
    <row r="15" spans="1:4" ht="12.75">
      <c r="A15" s="81" t="s">
        <v>50</v>
      </c>
      <c r="B15" s="83" t="s">
        <v>42</v>
      </c>
      <c r="C15" s="84">
        <v>0.11</v>
      </c>
      <c r="D15" s="78" t="s">
        <v>214</v>
      </c>
    </row>
    <row r="16" spans="1:4" ht="12.75">
      <c r="A16" s="81" t="s">
        <v>112</v>
      </c>
      <c r="B16" s="83" t="s">
        <v>59</v>
      </c>
      <c r="C16" s="86">
        <v>18.66</v>
      </c>
      <c r="D16" s="78" t="s">
        <v>214</v>
      </c>
    </row>
    <row r="17" spans="1:4" ht="12.75">
      <c r="A17" s="81" t="s">
        <v>2</v>
      </c>
      <c r="B17" s="83"/>
      <c r="C17" s="244">
        <v>0.015</v>
      </c>
      <c r="D17" s="78" t="s">
        <v>214</v>
      </c>
    </row>
    <row r="18" spans="1:4" ht="12.75">
      <c r="A18" s="81" t="s">
        <v>41</v>
      </c>
      <c r="B18" s="83" t="s">
        <v>42</v>
      </c>
      <c r="C18" s="84">
        <v>0.12</v>
      </c>
      <c r="D18" s="78" t="s">
        <v>214</v>
      </c>
    </row>
    <row r="19" spans="1:4" ht="12.75">
      <c r="A19" s="81" t="s">
        <v>60</v>
      </c>
      <c r="B19" s="81"/>
      <c r="C19" s="82">
        <v>1.12</v>
      </c>
      <c r="D19" s="78" t="s">
        <v>214</v>
      </c>
    </row>
    <row r="20" spans="1:4" ht="12.75">
      <c r="A20" s="81" t="s">
        <v>209</v>
      </c>
      <c r="B20" s="81"/>
      <c r="C20" s="84">
        <v>0.2</v>
      </c>
      <c r="D20" s="78" t="s">
        <v>214</v>
      </c>
    </row>
    <row r="21" ht="12.75">
      <c r="A21" s="62" t="s">
        <v>196</v>
      </c>
    </row>
    <row r="22" spans="1:4" ht="12.75">
      <c r="A22" s="312" t="s">
        <v>339</v>
      </c>
      <c r="B22" s="83" t="s">
        <v>340</v>
      </c>
      <c r="C22" s="234">
        <v>2.5</v>
      </c>
      <c r="D22" s="303"/>
    </row>
    <row r="23" spans="1:5" ht="12.75">
      <c r="A23" s="81" t="s">
        <v>208</v>
      </c>
      <c r="B23" s="83" t="s">
        <v>201</v>
      </c>
      <c r="C23" s="145">
        <v>25</v>
      </c>
      <c r="D23" s="78" t="s">
        <v>330</v>
      </c>
      <c r="E23" s="248"/>
    </row>
    <row r="24" spans="1:5" ht="12.75">
      <c r="A24" s="81" t="s">
        <v>262</v>
      </c>
      <c r="B24" s="83" t="s">
        <v>263</v>
      </c>
      <c r="C24" s="145">
        <v>1</v>
      </c>
      <c r="E24" s="248"/>
    </row>
    <row r="25" spans="1:5" ht="12.75">
      <c r="A25" s="81" t="s">
        <v>259</v>
      </c>
      <c r="B25" s="83" t="s">
        <v>260</v>
      </c>
      <c r="C25" s="145">
        <v>8</v>
      </c>
      <c r="E25" s="248"/>
    </row>
    <row r="26" ht="12.75">
      <c r="A26" s="62" t="s">
        <v>210</v>
      </c>
    </row>
    <row r="27" spans="1:4" ht="12.75">
      <c r="A27" s="81" t="str">
        <f>A22</f>
        <v>Стул офисный</v>
      </c>
      <c r="B27" s="83" t="s">
        <v>341</v>
      </c>
      <c r="C27" s="146">
        <f>C22*C25*C24*C23</f>
        <v>500</v>
      </c>
      <c r="D27" s="278" t="s">
        <v>231</v>
      </c>
    </row>
    <row r="29" spans="1:14" ht="12.75">
      <c r="A29" s="62" t="s">
        <v>211</v>
      </c>
      <c r="N29" s="201"/>
    </row>
    <row r="30" spans="1:14" ht="12.75">
      <c r="A30" s="81" t="str">
        <f>A27</f>
        <v>Стул офисный</v>
      </c>
      <c r="B30" s="83" t="s">
        <v>406</v>
      </c>
      <c r="C30" s="145">
        <v>10000</v>
      </c>
      <c r="N30" s="201"/>
    </row>
    <row r="31" spans="1:3" ht="12.75">
      <c r="A31" s="295" t="s">
        <v>264</v>
      </c>
      <c r="B31" s="83" t="s">
        <v>258</v>
      </c>
      <c r="C31" s="234">
        <f>12.49*1.12</f>
        <v>13.988800000000001</v>
      </c>
    </row>
    <row r="32" ht="12.75">
      <c r="A32" s="62" t="s">
        <v>300</v>
      </c>
    </row>
    <row r="33" spans="1:3" ht="12.75">
      <c r="A33" s="295" t="s">
        <v>302</v>
      </c>
      <c r="B33" s="83" t="s">
        <v>242</v>
      </c>
      <c r="C33" s="145">
        <v>32</v>
      </c>
    </row>
    <row r="34" spans="1:5" ht="12.75">
      <c r="A34" s="295" t="s">
        <v>303</v>
      </c>
      <c r="B34" s="83" t="s">
        <v>304</v>
      </c>
      <c r="C34" s="146">
        <f>C24*C25*C23*C33</f>
        <v>6400</v>
      </c>
      <c r="D34" s="78">
        <f>C34/C27</f>
        <v>12.8</v>
      </c>
      <c r="E34" s="78" t="s">
        <v>356</v>
      </c>
    </row>
    <row r="35" ht="12.75">
      <c r="A35" s="62" t="s">
        <v>149</v>
      </c>
    </row>
    <row r="36" spans="1:4" ht="12.75">
      <c r="A36" s="81" t="s">
        <v>57</v>
      </c>
      <c r="B36" s="83" t="s">
        <v>42</v>
      </c>
      <c r="C36" s="84">
        <v>0.07</v>
      </c>
      <c r="D36" s="78" t="s">
        <v>305</v>
      </c>
    </row>
    <row r="37" spans="1:3" ht="12.75">
      <c r="A37" s="81" t="s">
        <v>150</v>
      </c>
      <c r="B37" s="83" t="s">
        <v>151</v>
      </c>
      <c r="C37" s="234">
        <v>7</v>
      </c>
    </row>
    <row r="38" spans="1:3" ht="12.75">
      <c r="A38" s="81" t="s">
        <v>152</v>
      </c>
      <c r="B38" s="83" t="s">
        <v>154</v>
      </c>
      <c r="C38" s="145">
        <v>9</v>
      </c>
    </row>
    <row r="39" spans="1:3" ht="12.75">
      <c r="A39" s="81" t="s">
        <v>153</v>
      </c>
      <c r="B39" s="83" t="s">
        <v>154</v>
      </c>
      <c r="C39" s="145">
        <v>3</v>
      </c>
    </row>
    <row r="41" ht="12.75" hidden="1">
      <c r="A41" s="62" t="s">
        <v>243</v>
      </c>
    </row>
    <row r="42" spans="1:14" ht="12.75" hidden="1">
      <c r="A42" s="81" t="s">
        <v>218</v>
      </c>
      <c r="B42" s="83" t="s">
        <v>219</v>
      </c>
      <c r="C42" s="83" t="s">
        <v>220</v>
      </c>
      <c r="D42" s="83" t="s">
        <v>221</v>
      </c>
      <c r="E42" s="83" t="s">
        <v>222</v>
      </c>
      <c r="F42" s="83" t="s">
        <v>223</v>
      </c>
      <c r="G42" s="83" t="s">
        <v>224</v>
      </c>
      <c r="H42" s="83" t="s">
        <v>225</v>
      </c>
      <c r="I42" s="83" t="s">
        <v>226</v>
      </c>
      <c r="J42" s="83" t="s">
        <v>227</v>
      </c>
      <c r="K42" s="83" t="s">
        <v>228</v>
      </c>
      <c r="L42" s="83" t="s">
        <v>229</v>
      </c>
      <c r="M42" s="83" t="s">
        <v>230</v>
      </c>
      <c r="N42" s="275" t="s">
        <v>235</v>
      </c>
    </row>
    <row r="43" spans="1:14" ht="12.75" hidden="1">
      <c r="A43" s="81" t="s">
        <v>290</v>
      </c>
      <c r="B43" s="254">
        <f>1/12</f>
        <v>0.08333333333333333</v>
      </c>
      <c r="C43" s="254">
        <f aca="true" t="shared" si="0" ref="C43:M43">1/12</f>
        <v>0.08333333333333333</v>
      </c>
      <c r="D43" s="254">
        <f t="shared" si="0"/>
        <v>0.08333333333333333</v>
      </c>
      <c r="E43" s="254">
        <f t="shared" si="0"/>
        <v>0.08333333333333333</v>
      </c>
      <c r="F43" s="254">
        <f t="shared" si="0"/>
        <v>0.08333333333333333</v>
      </c>
      <c r="G43" s="254">
        <f t="shared" si="0"/>
        <v>0.08333333333333333</v>
      </c>
      <c r="H43" s="254">
        <f t="shared" si="0"/>
        <v>0.08333333333333333</v>
      </c>
      <c r="I43" s="254">
        <f t="shared" si="0"/>
        <v>0.08333333333333333</v>
      </c>
      <c r="J43" s="254">
        <f t="shared" si="0"/>
        <v>0.08333333333333333</v>
      </c>
      <c r="K43" s="254">
        <f t="shared" si="0"/>
        <v>0.08333333333333333</v>
      </c>
      <c r="L43" s="254">
        <f t="shared" si="0"/>
        <v>0.08333333333333333</v>
      </c>
      <c r="M43" s="254">
        <f t="shared" si="0"/>
        <v>0.08333333333333333</v>
      </c>
      <c r="N43" s="301">
        <f>SUM(B43:M43)</f>
        <v>1</v>
      </c>
    </row>
    <row r="44" spans="1:2" ht="12.75" hidden="1">
      <c r="A44" s="148"/>
      <c r="B44" s="148"/>
    </row>
    <row r="45" spans="1:2" ht="12.75" hidden="1">
      <c r="A45" s="148" t="s">
        <v>291</v>
      </c>
      <c r="B45" s="308">
        <f>1/12</f>
        <v>0.08333333333333333</v>
      </c>
    </row>
  </sheetData>
  <sheetProtection/>
  <mergeCells count="1">
    <mergeCell ref="A1:C1"/>
  </mergeCells>
  <printOptions/>
  <pageMargins left="0.66" right="0.22" top="0.55" bottom="0.2" header="0.23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9.125" style="78" bestFit="1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197</v>
      </c>
    </row>
    <row r="2" ht="12.75">
      <c r="A2" s="62"/>
    </row>
    <row r="3" ht="12.75">
      <c r="F3" s="248"/>
    </row>
    <row r="4" spans="1:5" ht="12.75">
      <c r="A4" s="358" t="s">
        <v>185</v>
      </c>
      <c r="B4" s="356" t="s">
        <v>215</v>
      </c>
      <c r="C4" s="361" t="s">
        <v>217</v>
      </c>
      <c r="D4" s="362"/>
      <c r="E4" s="356" t="s">
        <v>206</v>
      </c>
    </row>
    <row r="5" spans="1:5" ht="12.75">
      <c r="A5" s="359"/>
      <c r="B5" s="357"/>
      <c r="C5" s="250" t="s">
        <v>43</v>
      </c>
      <c r="D5" s="250" t="s">
        <v>216</v>
      </c>
      <c r="E5" s="357"/>
    </row>
    <row r="6" spans="1:5" ht="12.75">
      <c r="A6" s="81" t="str">
        <f>Исх!A30</f>
        <v>Стул офисный</v>
      </c>
      <c r="B6" s="232" t="s">
        <v>394</v>
      </c>
      <c r="C6" s="232">
        <f>D6/Исх!$C$19</f>
        <v>8928.571428571428</v>
      </c>
      <c r="D6" s="232">
        <f>Исх!$C$30</f>
        <v>10000</v>
      </c>
      <c r="E6" s="81" t="s">
        <v>405</v>
      </c>
    </row>
    <row r="10" spans="1:9" ht="12.75" customHeight="1">
      <c r="A10" s="358" t="s">
        <v>185</v>
      </c>
      <c r="B10" s="356" t="s">
        <v>215</v>
      </c>
      <c r="C10" s="250" t="s">
        <v>296</v>
      </c>
      <c r="D10" s="360" t="s">
        <v>292</v>
      </c>
      <c r="E10" s="360"/>
      <c r="F10" s="352" t="s">
        <v>261</v>
      </c>
      <c r="G10" s="353"/>
      <c r="H10" s="354" t="s">
        <v>246</v>
      </c>
      <c r="I10" s="355"/>
    </row>
    <row r="11" spans="1:9" ht="12.75">
      <c r="A11" s="359"/>
      <c r="B11" s="357"/>
      <c r="C11" s="250" t="s">
        <v>43</v>
      </c>
      <c r="D11" s="250" t="s">
        <v>293</v>
      </c>
      <c r="E11" s="250" t="s">
        <v>294</v>
      </c>
      <c r="F11" s="250" t="s">
        <v>293</v>
      </c>
      <c r="G11" s="250" t="s">
        <v>294</v>
      </c>
      <c r="H11" s="250" t="s">
        <v>293</v>
      </c>
      <c r="I11" s="250" t="s">
        <v>295</v>
      </c>
    </row>
    <row r="12" spans="1:9" ht="12.75">
      <c r="A12" s="81" t="str">
        <f>A6</f>
        <v>Стул офисный</v>
      </c>
      <c r="B12" s="232" t="str">
        <f>B6</f>
        <v>шт</v>
      </c>
      <c r="C12" s="232">
        <f>C6</f>
        <v>8928.571428571428</v>
      </c>
      <c r="D12" s="232">
        <f>'Расх перем'!F27</f>
        <v>2266.5208000000002</v>
      </c>
      <c r="E12" s="232">
        <f>'Расх перем'!F31</f>
        <v>6707.671984805241</v>
      </c>
      <c r="F12" s="232">
        <f>C12-D12</f>
        <v>6662.050628571427</v>
      </c>
      <c r="G12" s="232">
        <f>C12-E12</f>
        <v>2220.899443766187</v>
      </c>
      <c r="H12" s="280">
        <f>F12/C12</f>
        <v>0.7461496703999999</v>
      </c>
      <c r="I12" s="280">
        <f>G12/C12</f>
        <v>0.24874073770181296</v>
      </c>
    </row>
    <row r="13" spans="1:9" ht="12.75" hidden="1">
      <c r="A13" s="81"/>
      <c r="B13" s="232"/>
      <c r="C13" s="232"/>
      <c r="D13" s="232"/>
      <c r="E13" s="232"/>
      <c r="F13" s="232"/>
      <c r="G13" s="232"/>
      <c r="H13" s="280"/>
      <c r="I13" s="280"/>
    </row>
  </sheetData>
  <sheetProtection/>
  <mergeCells count="9">
    <mergeCell ref="F10:G10"/>
    <mergeCell ref="H10:I10"/>
    <mergeCell ref="B10:B11"/>
    <mergeCell ref="A10:A11"/>
    <mergeCell ref="D10:E10"/>
    <mergeCell ref="A4:A5"/>
    <mergeCell ref="B4:B5"/>
    <mergeCell ref="C4:D4"/>
    <mergeCell ref="E4:E5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V15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R6" sqref="AR6"/>
    </sheetView>
  </sheetViews>
  <sheetFormatPr defaultColWidth="10.125" defaultRowHeight="12.75" outlineLevelCol="1"/>
  <cols>
    <col min="1" max="1" width="30.125" style="238" customWidth="1"/>
    <col min="2" max="2" width="11.375" style="238" customWidth="1"/>
    <col min="3" max="3" width="10.125" style="238" customWidth="1"/>
    <col min="4" max="15" width="7.00390625" style="238" hidden="1" customWidth="1" outlineLevel="1"/>
    <col min="16" max="16" width="9.125" style="238" customWidth="1" collapsed="1"/>
    <col min="17" max="28" width="8.375" style="238" hidden="1" customWidth="1" outlineLevel="1"/>
    <col min="29" max="29" width="9.125" style="238" customWidth="1" collapsed="1"/>
    <col min="30" max="41" width="8.375" style="238" hidden="1" customWidth="1" outlineLevel="1"/>
    <col min="42" max="42" width="9.125" style="238" customWidth="1" collapsed="1"/>
    <col min="43" max="47" width="9.125" style="238" customWidth="1"/>
    <col min="48" max="48" width="10.125" style="235" customWidth="1"/>
    <col min="49" max="16384" width="10.125" style="238" customWidth="1"/>
  </cols>
  <sheetData>
    <row r="1" spans="1:48" ht="21" customHeight="1">
      <c r="A1" s="241" t="s">
        <v>233</v>
      </c>
      <c r="B1" s="237"/>
      <c r="C1" s="237"/>
      <c r="AV1" s="238"/>
    </row>
    <row r="2" spans="1:48" ht="17.25" customHeight="1">
      <c r="A2" s="241"/>
      <c r="B2" s="242"/>
      <c r="C2" s="239"/>
      <c r="AV2" s="238"/>
    </row>
    <row r="3" spans="1:48" ht="12.75" customHeight="1">
      <c r="A3" s="363" t="s">
        <v>191</v>
      </c>
      <c r="B3" s="346" t="s">
        <v>89</v>
      </c>
      <c r="C3" s="365" t="s">
        <v>40</v>
      </c>
      <c r="D3" s="347">
        <v>2013</v>
      </c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>
        <v>2014</v>
      </c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8">
        <v>2015</v>
      </c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50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8"/>
    </row>
    <row r="4" spans="1:48" ht="12.75">
      <c r="A4" s="364"/>
      <c r="B4" s="346"/>
      <c r="C4" s="366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  <c r="AV4" s="238"/>
    </row>
    <row r="5" spans="1:48" ht="12.75">
      <c r="A5" s="259" t="s">
        <v>192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8"/>
    </row>
    <row r="6" spans="1:48" ht="15" customHeight="1">
      <c r="A6" s="240" t="s">
        <v>198</v>
      </c>
      <c r="B6" s="127"/>
      <c r="C6" s="128"/>
      <c r="D6" s="132"/>
      <c r="E6" s="132"/>
      <c r="F6" s="132"/>
      <c r="G6" s="132"/>
      <c r="H6" s="132"/>
      <c r="I6" s="246"/>
      <c r="J6" s="246"/>
      <c r="K6" s="246"/>
      <c r="L6" s="246"/>
      <c r="M6" s="246"/>
      <c r="N6" s="246"/>
      <c r="O6" s="246"/>
      <c r="P6" s="246"/>
      <c r="Q6" s="247">
        <v>0.4</v>
      </c>
      <c r="R6" s="246">
        <f>Q6</f>
        <v>0.4</v>
      </c>
      <c r="S6" s="246">
        <f>R6</f>
        <v>0.4</v>
      </c>
      <c r="T6" s="247">
        <v>0.45</v>
      </c>
      <c r="U6" s="246">
        <f>T6</f>
        <v>0.45</v>
      </c>
      <c r="V6" s="246">
        <f>U6</f>
        <v>0.45</v>
      </c>
      <c r="W6" s="247">
        <v>0.55</v>
      </c>
      <c r="X6" s="246">
        <f>W6</f>
        <v>0.55</v>
      </c>
      <c r="Y6" s="246">
        <f>X6</f>
        <v>0.55</v>
      </c>
      <c r="Z6" s="247">
        <v>0.65</v>
      </c>
      <c r="AA6" s="246">
        <f>Z6</f>
        <v>0.65</v>
      </c>
      <c r="AB6" s="246">
        <f>AA6</f>
        <v>0.65</v>
      </c>
      <c r="AC6" s="246">
        <f>AVERAGE(Q6:AB6)</f>
        <v>0.5125000000000001</v>
      </c>
      <c r="AD6" s="247">
        <v>0.7</v>
      </c>
      <c r="AE6" s="246">
        <f>AD6</f>
        <v>0.7</v>
      </c>
      <c r="AF6" s="246">
        <f>AE6</f>
        <v>0.7</v>
      </c>
      <c r="AG6" s="247">
        <v>0.7</v>
      </c>
      <c r="AH6" s="246">
        <f>AG6</f>
        <v>0.7</v>
      </c>
      <c r="AI6" s="246">
        <f>AH6</f>
        <v>0.7</v>
      </c>
      <c r="AJ6" s="247">
        <v>0.75</v>
      </c>
      <c r="AK6" s="246">
        <f>AJ6</f>
        <v>0.75</v>
      </c>
      <c r="AL6" s="246">
        <f>AK6</f>
        <v>0.75</v>
      </c>
      <c r="AM6" s="247">
        <v>0.8</v>
      </c>
      <c r="AN6" s="246">
        <f>AM6</f>
        <v>0.8</v>
      </c>
      <c r="AO6" s="246">
        <f>AN6</f>
        <v>0.8</v>
      </c>
      <c r="AP6" s="246">
        <f>AVERAGE(AD6:AO6)</f>
        <v>0.7375000000000002</v>
      </c>
      <c r="AQ6" s="247">
        <v>0.8</v>
      </c>
      <c r="AR6" s="247">
        <v>0.85</v>
      </c>
      <c r="AS6" s="247">
        <v>0.9</v>
      </c>
      <c r="AT6" s="247">
        <v>0.95</v>
      </c>
      <c r="AU6" s="247">
        <v>1</v>
      </c>
      <c r="AV6" s="238"/>
    </row>
    <row r="7" spans="1:48" ht="15" customHeight="1">
      <c r="A7" s="240" t="str">
        <f>Дох!A12</f>
        <v>Стул офисный</v>
      </c>
      <c r="B7" s="127">
        <f>P7+AC7+AP7+AQ7+AR7+AS7+AT7+AU7</f>
        <v>34500</v>
      </c>
      <c r="C7" s="304" t="s">
        <v>328</v>
      </c>
      <c r="D7" s="132">
        <f>Исх!$C26*Производство!D$6</f>
        <v>0</v>
      </c>
      <c r="E7" s="132">
        <f>Исх!$C26*Производство!E$6</f>
        <v>0</v>
      </c>
      <c r="F7" s="132">
        <f>Исх!$C26*Производство!F$6</f>
        <v>0</v>
      </c>
      <c r="G7" s="132">
        <f>Исх!$C26*Производство!G$6</f>
        <v>0</v>
      </c>
      <c r="H7" s="132">
        <f>Исх!$C26*Производство!H$6</f>
        <v>0</v>
      </c>
      <c r="I7" s="132">
        <f>Исх!$C27*Производство!I$6</f>
        <v>0</v>
      </c>
      <c r="J7" s="132">
        <f>Исх!$C27*Производство!J$6</f>
        <v>0</v>
      </c>
      <c r="K7" s="132">
        <f>Исх!$C27*Производство!K$6</f>
        <v>0</v>
      </c>
      <c r="L7" s="132">
        <f>Исх!$C27*Производство!L$6</f>
        <v>0</v>
      </c>
      <c r="M7" s="132">
        <f>Исх!$C27*Производство!M$6</f>
        <v>0</v>
      </c>
      <c r="N7" s="132">
        <f>Исх!$C27*Производство!N$6</f>
        <v>0</v>
      </c>
      <c r="O7" s="132">
        <f>Исх!$C27*Производство!O$6</f>
        <v>0</v>
      </c>
      <c r="P7" s="128">
        <f>SUM(D7:O7)</f>
        <v>0</v>
      </c>
      <c r="Q7" s="132">
        <f>Исх!$C$27*Производство!Q$6</f>
        <v>200</v>
      </c>
      <c r="R7" s="132">
        <f>Исх!$C$27*Производство!R$6</f>
        <v>200</v>
      </c>
      <c r="S7" s="132">
        <f>Исх!$C$27*Производство!S$6</f>
        <v>200</v>
      </c>
      <c r="T7" s="132">
        <f>Исх!$C$27*Производство!T$6</f>
        <v>225</v>
      </c>
      <c r="U7" s="132">
        <f>Исх!$C$27*Производство!U$6</f>
        <v>225</v>
      </c>
      <c r="V7" s="132">
        <f>Исх!$C$27*Производство!V$6</f>
        <v>225</v>
      </c>
      <c r="W7" s="132">
        <f>Исх!$C$27*Производство!W$6</f>
        <v>275</v>
      </c>
      <c r="X7" s="132">
        <f>Исх!$C$27*Производство!X$6</f>
        <v>275</v>
      </c>
      <c r="Y7" s="132">
        <f>Исх!$C$27*Производство!Y$6</f>
        <v>275</v>
      </c>
      <c r="Z7" s="132">
        <f>Исх!$C$27*Производство!Z$6</f>
        <v>325</v>
      </c>
      <c r="AA7" s="132">
        <f>Исх!$C$27*Производство!AA$6</f>
        <v>325</v>
      </c>
      <c r="AB7" s="132">
        <f>Исх!$C$27*Производство!AB$6</f>
        <v>325</v>
      </c>
      <c r="AC7" s="128">
        <f>SUM(Q7:AB7)</f>
        <v>3075</v>
      </c>
      <c r="AD7" s="132">
        <f>Исх!$C$27*Производство!AD$6</f>
        <v>350</v>
      </c>
      <c r="AE7" s="132">
        <f>Исх!$C$27*Производство!AE$6</f>
        <v>350</v>
      </c>
      <c r="AF7" s="132">
        <f>Исх!$C$27*Производство!AF$6</f>
        <v>350</v>
      </c>
      <c r="AG7" s="132">
        <f>Исх!$C$27*Производство!AG$6</f>
        <v>350</v>
      </c>
      <c r="AH7" s="132">
        <f>Исх!$C$27*Производство!AH$6</f>
        <v>350</v>
      </c>
      <c r="AI7" s="132">
        <f>Исх!$C$27*Производство!AI$6</f>
        <v>350</v>
      </c>
      <c r="AJ7" s="132">
        <f>Исх!$C$27*Производство!AJ$6</f>
        <v>375</v>
      </c>
      <c r="AK7" s="132">
        <f>Исх!$C$27*Производство!AK$6</f>
        <v>375</v>
      </c>
      <c r="AL7" s="132">
        <f>Исх!$C$27*Производство!AL$6</f>
        <v>375</v>
      </c>
      <c r="AM7" s="132">
        <f>Исх!$C$27*Производство!AM$6</f>
        <v>400</v>
      </c>
      <c r="AN7" s="132">
        <f>Исх!$C$27*Производство!AN$6</f>
        <v>400</v>
      </c>
      <c r="AO7" s="132">
        <f>Исх!$C$27*Производство!AO$6</f>
        <v>400</v>
      </c>
      <c r="AP7" s="132">
        <f>SUM(AD7:AO7)</f>
        <v>4425</v>
      </c>
      <c r="AQ7" s="132">
        <f>Исх!$C$27*Производство!AQ$6*12</f>
        <v>4800</v>
      </c>
      <c r="AR7" s="132">
        <f>Исх!$C$27*Производство!AR$6*12</f>
        <v>5100</v>
      </c>
      <c r="AS7" s="132">
        <f>Исх!$C$27*Производство!AS$6*12</f>
        <v>5400</v>
      </c>
      <c r="AT7" s="132">
        <f>Исх!$C$27*Производство!AT$6*12</f>
        <v>5700</v>
      </c>
      <c r="AU7" s="132">
        <f>Исх!$C$27*Производство!AU$6*12</f>
        <v>6000</v>
      </c>
      <c r="AV7" s="238"/>
    </row>
    <row r="8" ht="12.75">
      <c r="C8" s="305"/>
    </row>
    <row r="9" spans="1:48" ht="12.75">
      <c r="A9" s="260" t="s">
        <v>234</v>
      </c>
      <c r="B9" s="127"/>
      <c r="C9" s="306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238"/>
    </row>
    <row r="10" spans="1:48" ht="15" customHeight="1">
      <c r="A10" s="240" t="str">
        <f>A7</f>
        <v>Стул офисный</v>
      </c>
      <c r="B10" s="127">
        <f>P10+AC10+AP10+AQ10+AR10+AS10+AT10+AU10</f>
        <v>34338.5625</v>
      </c>
      <c r="C10" s="304" t="str">
        <f>C7</f>
        <v>м</v>
      </c>
      <c r="D10" s="132"/>
      <c r="E10" s="132"/>
      <c r="F10" s="132"/>
      <c r="G10" s="132"/>
      <c r="H10" s="132"/>
      <c r="I10" s="132"/>
      <c r="J10" s="132">
        <f>J7*Исх!H$43*0.5</f>
        <v>0</v>
      </c>
      <c r="K10" s="132">
        <f>K7*Исх!I$43</f>
        <v>0</v>
      </c>
      <c r="L10" s="132">
        <f>L7*Исх!J$43</f>
        <v>0</v>
      </c>
      <c r="M10" s="132">
        <f>M7*Исх!K$43</f>
        <v>0</v>
      </c>
      <c r="N10" s="132">
        <f>N7*Исх!L$43</f>
        <v>0</v>
      </c>
      <c r="O10" s="132"/>
      <c r="P10" s="128">
        <f>SUM(D10:O10)</f>
        <v>0</v>
      </c>
      <c r="Q10" s="281">
        <f>$AC$7*Исх!B43*0.62</f>
        <v>158.875</v>
      </c>
      <c r="R10" s="281">
        <f>$AC$7*Исх!C43*0.75</f>
        <v>192.1875</v>
      </c>
      <c r="S10" s="132">
        <f>$AC$7*Исх!D43</f>
        <v>256.25</v>
      </c>
      <c r="T10" s="132">
        <f>$AC$7*Исх!E43</f>
        <v>256.25</v>
      </c>
      <c r="U10" s="132">
        <f>$AC$7*Исх!F43</f>
        <v>256.25</v>
      </c>
      <c r="V10" s="132">
        <f>$AC$7*Исх!G43</f>
        <v>256.25</v>
      </c>
      <c r="W10" s="132">
        <f>$AC$7*Исх!H43</f>
        <v>256.25</v>
      </c>
      <c r="X10" s="132">
        <f>$AC$7*Исх!I43</f>
        <v>256.25</v>
      </c>
      <c r="Y10" s="132">
        <f>$AC$7*Исх!J43</f>
        <v>256.25</v>
      </c>
      <c r="Z10" s="132">
        <f>$AC$7*Исх!K43</f>
        <v>256.25</v>
      </c>
      <c r="AA10" s="132">
        <f>$AC$7*Исх!L43</f>
        <v>256.25</v>
      </c>
      <c r="AB10" s="132">
        <f>$AC$7*Исх!M43</f>
        <v>256.25</v>
      </c>
      <c r="AC10" s="128">
        <f>SUM(Q10:AB10)</f>
        <v>2913.5625</v>
      </c>
      <c r="AD10" s="132">
        <f>$AP$7*Исх!B43</f>
        <v>368.75</v>
      </c>
      <c r="AE10" s="132">
        <f>$AP$7*Исх!C43</f>
        <v>368.75</v>
      </c>
      <c r="AF10" s="132">
        <f>$AP$7*Исх!D43</f>
        <v>368.75</v>
      </c>
      <c r="AG10" s="132">
        <f>$AP$7*Исх!E43</f>
        <v>368.75</v>
      </c>
      <c r="AH10" s="132">
        <f>$AP$7*Исх!F43</f>
        <v>368.75</v>
      </c>
      <c r="AI10" s="132">
        <f>$AP$7*Исх!G43</f>
        <v>368.75</v>
      </c>
      <c r="AJ10" s="132">
        <f>$AP$7*Исх!H43</f>
        <v>368.75</v>
      </c>
      <c r="AK10" s="132">
        <f>$AP$7*Исх!I43</f>
        <v>368.75</v>
      </c>
      <c r="AL10" s="132">
        <f>$AP$7*Исх!J43</f>
        <v>368.75</v>
      </c>
      <c r="AM10" s="132">
        <f>$AP$7*Исх!K43</f>
        <v>368.75</v>
      </c>
      <c r="AN10" s="132">
        <f>$AP$7*Исх!L43</f>
        <v>368.75</v>
      </c>
      <c r="AO10" s="132">
        <f>$AP$7*Исх!M43</f>
        <v>368.75</v>
      </c>
      <c r="AP10" s="128">
        <f>SUM(AD10:AO10)</f>
        <v>4425</v>
      </c>
      <c r="AQ10" s="132">
        <f>AQ7</f>
        <v>4800</v>
      </c>
      <c r="AR10" s="132">
        <f>AR7</f>
        <v>5100</v>
      </c>
      <c r="AS10" s="132">
        <f>AS7</f>
        <v>5400</v>
      </c>
      <c r="AT10" s="132">
        <f>AT7</f>
        <v>5700</v>
      </c>
      <c r="AU10" s="132">
        <f>AU7</f>
        <v>6000</v>
      </c>
      <c r="AV10" s="238"/>
    </row>
    <row r="11" ht="12.75">
      <c r="C11" s="305"/>
    </row>
    <row r="12" spans="1:48" ht="12.75">
      <c r="A12" s="260" t="s">
        <v>317</v>
      </c>
      <c r="B12" s="127"/>
      <c r="C12" s="306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2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238"/>
    </row>
    <row r="13" spans="1:48" ht="15" customHeight="1">
      <c r="A13" s="240" t="str">
        <f>A10</f>
        <v>Стул офисный</v>
      </c>
      <c r="B13" s="127">
        <f>AU13</f>
        <v>161.4375</v>
      </c>
      <c r="C13" s="304" t="str">
        <f>C10</f>
        <v>м</v>
      </c>
      <c r="D13" s="132"/>
      <c r="E13" s="132">
        <f aca="true" t="shared" si="3" ref="E13:K13">D13+E7-E10</f>
        <v>0</v>
      </c>
      <c r="F13" s="132">
        <f t="shared" si="3"/>
        <v>0</v>
      </c>
      <c r="G13" s="132">
        <f t="shared" si="3"/>
        <v>0</v>
      </c>
      <c r="H13" s="132">
        <f t="shared" si="3"/>
        <v>0</v>
      </c>
      <c r="I13" s="132">
        <f t="shared" si="3"/>
        <v>0</v>
      </c>
      <c r="J13" s="132">
        <f t="shared" si="3"/>
        <v>0</v>
      </c>
      <c r="K13" s="132">
        <f t="shared" si="3"/>
        <v>0</v>
      </c>
      <c r="L13" s="132">
        <f>K13+L7-L10</f>
        <v>0</v>
      </c>
      <c r="M13" s="132">
        <f>L13+M7-M10</f>
        <v>0</v>
      </c>
      <c r="N13" s="132">
        <f>M13+N7-N10</f>
        <v>0</v>
      </c>
      <c r="O13" s="132">
        <f>N13+O7-O10</f>
        <v>0</v>
      </c>
      <c r="P13" s="128">
        <f>O13</f>
        <v>0</v>
      </c>
      <c r="Q13" s="132">
        <f aca="true" t="shared" si="4" ref="Q13:AB13">P13+Q7-Q10</f>
        <v>41.125</v>
      </c>
      <c r="R13" s="132">
        <f t="shared" si="4"/>
        <v>48.9375</v>
      </c>
      <c r="S13" s="132">
        <f t="shared" si="4"/>
        <v>-7.3125</v>
      </c>
      <c r="T13" s="132">
        <f t="shared" si="4"/>
        <v>-38.5625</v>
      </c>
      <c r="U13" s="132">
        <f t="shared" si="4"/>
        <v>-69.8125</v>
      </c>
      <c r="V13" s="132">
        <f t="shared" si="4"/>
        <v>-101.0625</v>
      </c>
      <c r="W13" s="132">
        <f t="shared" si="4"/>
        <v>-82.3125</v>
      </c>
      <c r="X13" s="132">
        <f t="shared" si="4"/>
        <v>-63.5625</v>
      </c>
      <c r="Y13" s="132">
        <f t="shared" si="4"/>
        <v>-44.8125</v>
      </c>
      <c r="Z13" s="132">
        <f t="shared" si="4"/>
        <v>23.9375</v>
      </c>
      <c r="AA13" s="132">
        <f t="shared" si="4"/>
        <v>92.6875</v>
      </c>
      <c r="AB13" s="132">
        <f t="shared" si="4"/>
        <v>161.4375</v>
      </c>
      <c r="AC13" s="128">
        <f>AB13</f>
        <v>161.4375</v>
      </c>
      <c r="AD13" s="132">
        <f aca="true" t="shared" si="5" ref="AD13:AO13">AC13+AD7-AD10</f>
        <v>142.6875</v>
      </c>
      <c r="AE13" s="132">
        <f t="shared" si="5"/>
        <v>123.9375</v>
      </c>
      <c r="AF13" s="132">
        <f t="shared" si="5"/>
        <v>105.1875</v>
      </c>
      <c r="AG13" s="132">
        <f t="shared" si="5"/>
        <v>86.4375</v>
      </c>
      <c r="AH13" s="132">
        <f t="shared" si="5"/>
        <v>67.6875</v>
      </c>
      <c r="AI13" s="132">
        <f t="shared" si="5"/>
        <v>48.9375</v>
      </c>
      <c r="AJ13" s="132">
        <f t="shared" si="5"/>
        <v>55.1875</v>
      </c>
      <c r="AK13" s="132">
        <f t="shared" si="5"/>
        <v>61.4375</v>
      </c>
      <c r="AL13" s="132">
        <f t="shared" si="5"/>
        <v>67.6875</v>
      </c>
      <c r="AM13" s="132">
        <f t="shared" si="5"/>
        <v>98.9375</v>
      </c>
      <c r="AN13" s="132">
        <f t="shared" si="5"/>
        <v>130.1875</v>
      </c>
      <c r="AO13" s="132">
        <f t="shared" si="5"/>
        <v>161.4375</v>
      </c>
      <c r="AP13" s="132">
        <f>AO13</f>
        <v>161.4375</v>
      </c>
      <c r="AQ13" s="132">
        <f>AP13+AQ7-AQ10</f>
        <v>161.4375</v>
      </c>
      <c r="AR13" s="132">
        <f>AQ13+AR7-AR10</f>
        <v>161.4375</v>
      </c>
      <c r="AS13" s="132">
        <f>AR13+AS7-AS10</f>
        <v>161.4375</v>
      </c>
      <c r="AT13" s="132">
        <f>AS13+AT7-AT10</f>
        <v>161.4375</v>
      </c>
      <c r="AU13" s="132">
        <f>AT13+AU7-AU10</f>
        <v>161.4375</v>
      </c>
      <c r="AV13" s="238"/>
    </row>
    <row r="15" spans="1:13" ht="12.75">
      <c r="A15" s="264" t="s">
        <v>235</v>
      </c>
      <c r="B15" s="261">
        <f>B7-B10-B13</f>
        <v>0</v>
      </c>
      <c r="M15" s="302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1"/>
  <sheetViews>
    <sheetView showGridLine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8.875" defaultRowHeight="12.75"/>
  <cols>
    <col min="1" max="1" width="40.25390625" style="78" customWidth="1"/>
    <col min="2" max="2" width="39.375" style="78" customWidth="1"/>
    <col min="3" max="3" width="11.75390625" style="78" customWidth="1"/>
    <col min="4" max="4" width="9.375" style="78" customWidth="1"/>
    <col min="5" max="5" width="16.00390625" style="78" customWidth="1"/>
    <col min="6" max="6" width="14.625" style="78" bestFit="1" customWidth="1"/>
    <col min="7" max="7" width="17.375" style="78" hidden="1" customWidth="1"/>
    <col min="8" max="8" width="18.125" style="78" hidden="1" customWidth="1"/>
    <col min="9" max="9" width="10.75390625" style="78" customWidth="1"/>
    <col min="10" max="10" width="12.625" style="78" customWidth="1"/>
    <col min="11" max="11" width="11.625" style="78" customWidth="1"/>
    <col min="12" max="16384" width="8.875" style="78" customWidth="1"/>
  </cols>
  <sheetData>
    <row r="1" spans="1:7" ht="12.75">
      <c r="A1" s="62" t="s">
        <v>195</v>
      </c>
      <c r="B1" s="62"/>
      <c r="C1" s="62"/>
      <c r="E1" s="62"/>
      <c r="G1" s="62"/>
    </row>
    <row r="2" spans="1:7" ht="12.75">
      <c r="A2" s="62"/>
      <c r="E2" s="62"/>
      <c r="G2" s="62"/>
    </row>
    <row r="3" spans="1:6" ht="12.75">
      <c r="A3" s="313" t="s">
        <v>43</v>
      </c>
      <c r="E3" s="371"/>
      <c r="F3" s="371"/>
    </row>
    <row r="4" spans="1:8" ht="12.75">
      <c r="A4" s="358" t="s">
        <v>203</v>
      </c>
      <c r="B4" s="369" t="s">
        <v>360</v>
      </c>
      <c r="C4" s="369" t="s">
        <v>193</v>
      </c>
      <c r="D4" s="369" t="s">
        <v>232</v>
      </c>
      <c r="E4" s="367" t="str">
        <f>Дох!A6</f>
        <v>Стул офисный</v>
      </c>
      <c r="F4" s="368"/>
      <c r="G4" s="367"/>
      <c r="H4" s="368"/>
    </row>
    <row r="5" spans="1:8" ht="25.5">
      <c r="A5" s="359"/>
      <c r="B5" s="370"/>
      <c r="C5" s="370"/>
      <c r="D5" s="370"/>
      <c r="E5" s="255" t="s">
        <v>357</v>
      </c>
      <c r="F5" s="255" t="s">
        <v>358</v>
      </c>
      <c r="G5" s="255"/>
      <c r="H5" s="255"/>
    </row>
    <row r="6" spans="1:8" s="62" customFormat="1" ht="12.75">
      <c r="A6" s="156" t="s">
        <v>359</v>
      </c>
      <c r="B6" s="256"/>
      <c r="C6" s="256"/>
      <c r="D6" s="245"/>
      <c r="E6" s="315"/>
      <c r="F6" s="245">
        <f>SUM(F7:F12)</f>
        <v>2100.1941</v>
      </c>
      <c r="G6" s="315"/>
      <c r="H6" s="245"/>
    </row>
    <row r="7" spans="1:8" ht="12.75">
      <c r="A7" s="81" t="s">
        <v>361</v>
      </c>
      <c r="B7" s="317" t="s">
        <v>362</v>
      </c>
      <c r="C7" s="236" t="s">
        <v>373</v>
      </c>
      <c r="D7" s="145">
        <f>21.56*5*2</f>
        <v>215.6</v>
      </c>
      <c r="E7" s="318">
        <v>4.6</v>
      </c>
      <c r="F7" s="146">
        <f aca="true" t="shared" si="0" ref="F7:F12">E7*$D7</f>
        <v>991.7599999999999</v>
      </c>
      <c r="G7" s="258"/>
      <c r="H7" s="146"/>
    </row>
    <row r="8" spans="1:8" ht="12.75">
      <c r="A8" s="81" t="s">
        <v>363</v>
      </c>
      <c r="B8" s="317" t="s">
        <v>364</v>
      </c>
      <c r="C8" s="236" t="s">
        <v>374</v>
      </c>
      <c r="D8" s="145">
        <f>40.38*5*2</f>
        <v>403.8</v>
      </c>
      <c r="E8" s="318">
        <v>0.6</v>
      </c>
      <c r="F8" s="146">
        <f t="shared" si="0"/>
        <v>242.28</v>
      </c>
      <c r="G8" s="258"/>
      <c r="H8" s="146"/>
    </row>
    <row r="9" spans="1:8" ht="12.75">
      <c r="A9" s="81" t="s">
        <v>365</v>
      </c>
      <c r="B9" s="317" t="s">
        <v>366</v>
      </c>
      <c r="C9" s="236" t="s">
        <v>375</v>
      </c>
      <c r="D9" s="145">
        <f>116.67*5*2</f>
        <v>1166.7</v>
      </c>
      <c r="E9" s="318">
        <v>0.4</v>
      </c>
      <c r="F9" s="146">
        <f t="shared" si="0"/>
        <v>466.68000000000006</v>
      </c>
      <c r="G9" s="258"/>
      <c r="H9" s="249"/>
    </row>
    <row r="10" spans="1:8" ht="12.75">
      <c r="A10" s="81" t="s">
        <v>367</v>
      </c>
      <c r="B10" s="317" t="s">
        <v>368</v>
      </c>
      <c r="C10" s="236" t="s">
        <v>376</v>
      </c>
      <c r="D10" s="145">
        <f>10916.67*5*2</f>
        <v>109166.7</v>
      </c>
      <c r="E10" s="319">
        <v>0.003</v>
      </c>
      <c r="F10" s="146">
        <f t="shared" si="0"/>
        <v>327.5001</v>
      </c>
      <c r="G10" s="258"/>
      <c r="H10" s="146"/>
    </row>
    <row r="11" spans="1:8" ht="12.75">
      <c r="A11" s="81" t="s">
        <v>369</v>
      </c>
      <c r="B11" s="317" t="s">
        <v>370</v>
      </c>
      <c r="C11" s="236" t="s">
        <v>329</v>
      </c>
      <c r="D11" s="145">
        <f>22.37*5*2</f>
        <v>223.70000000000002</v>
      </c>
      <c r="E11" s="318">
        <v>0.3</v>
      </c>
      <c r="F11" s="146">
        <f t="shared" si="0"/>
        <v>67.11</v>
      </c>
      <c r="G11" s="258"/>
      <c r="H11" s="249"/>
    </row>
    <row r="12" spans="1:8" ht="12.75">
      <c r="A12" s="81" t="s">
        <v>371</v>
      </c>
      <c r="B12" s="317" t="s">
        <v>372</v>
      </c>
      <c r="C12" s="236" t="s">
        <v>329</v>
      </c>
      <c r="D12" s="145">
        <f>7.6*5*2</f>
        <v>76</v>
      </c>
      <c r="E12" s="319">
        <v>0.064</v>
      </c>
      <c r="F12" s="146">
        <f t="shared" si="0"/>
        <v>4.864</v>
      </c>
      <c r="G12" s="258"/>
      <c r="H12" s="146"/>
    </row>
    <row r="13" spans="1:8" s="62" customFormat="1" ht="12.75">
      <c r="A13" s="156" t="s">
        <v>377</v>
      </c>
      <c r="B13" s="256"/>
      <c r="C13" s="256"/>
      <c r="D13" s="245"/>
      <c r="E13" s="315"/>
      <c r="F13" s="245">
        <f>SUM(F14:F18)</f>
        <v>44.377700000000004</v>
      </c>
      <c r="G13" s="315"/>
      <c r="H13" s="245"/>
    </row>
    <row r="14" spans="1:8" ht="12.75">
      <c r="A14" s="81" t="s">
        <v>378</v>
      </c>
      <c r="B14" s="316" t="s">
        <v>379</v>
      </c>
      <c r="C14" s="236" t="s">
        <v>329</v>
      </c>
      <c r="D14" s="145">
        <f>11.3*5*2</f>
        <v>113</v>
      </c>
      <c r="E14" s="319">
        <v>0.005</v>
      </c>
      <c r="F14" s="146">
        <f>E14*$D14</f>
        <v>0.5650000000000001</v>
      </c>
      <c r="G14" s="258"/>
      <c r="H14" s="146"/>
    </row>
    <row r="15" spans="1:8" ht="12.75">
      <c r="A15" s="81" t="s">
        <v>380</v>
      </c>
      <c r="B15" s="316" t="s">
        <v>379</v>
      </c>
      <c r="C15" s="236" t="s">
        <v>329</v>
      </c>
      <c r="D15" s="145">
        <f>10.16*5*2</f>
        <v>101.6</v>
      </c>
      <c r="E15" s="319">
        <v>0.002</v>
      </c>
      <c r="F15" s="146">
        <f>E15*$D15</f>
        <v>0.2032</v>
      </c>
      <c r="G15" s="258"/>
      <c r="H15" s="249"/>
    </row>
    <row r="16" spans="1:8" ht="12.75">
      <c r="A16" s="81" t="s">
        <v>381</v>
      </c>
      <c r="B16" s="316" t="s">
        <v>379</v>
      </c>
      <c r="C16" s="236" t="s">
        <v>329</v>
      </c>
      <c r="D16" s="145">
        <f>13.37*5*2</f>
        <v>133.7</v>
      </c>
      <c r="E16" s="319">
        <v>0.015</v>
      </c>
      <c r="F16" s="146">
        <f>E16*$D16</f>
        <v>2.0054999999999996</v>
      </c>
      <c r="G16" s="258"/>
      <c r="H16" s="146"/>
    </row>
    <row r="17" spans="1:8" ht="12.75">
      <c r="A17" s="81" t="s">
        <v>382</v>
      </c>
      <c r="B17" s="316" t="s">
        <v>383</v>
      </c>
      <c r="C17" s="236" t="s">
        <v>329</v>
      </c>
      <c r="D17" s="145">
        <f>118.94*5*2</f>
        <v>1189.4</v>
      </c>
      <c r="E17" s="319">
        <v>0.03</v>
      </c>
      <c r="F17" s="146">
        <f>E17*$D17</f>
        <v>35.682</v>
      </c>
      <c r="G17" s="258"/>
      <c r="H17" s="249"/>
    </row>
    <row r="18" spans="1:8" ht="12.75">
      <c r="A18" s="81" t="s">
        <v>384</v>
      </c>
      <c r="B18" s="232"/>
      <c r="C18" s="236" t="s">
        <v>329</v>
      </c>
      <c r="D18" s="145">
        <f>7.05*5*2</f>
        <v>70.5</v>
      </c>
      <c r="E18" s="319">
        <v>0.084</v>
      </c>
      <c r="F18" s="146">
        <f>E18*$D18</f>
        <v>5.922000000000001</v>
      </c>
      <c r="G18" s="258"/>
      <c r="H18" s="146"/>
    </row>
    <row r="19" spans="1:8" s="62" customFormat="1" ht="12.75">
      <c r="A19" s="156" t="s">
        <v>385</v>
      </c>
      <c r="B19" s="256"/>
      <c r="C19" s="256"/>
      <c r="D19" s="245"/>
      <c r="E19" s="315"/>
      <c r="F19" s="245">
        <f>SUM(F20:F26)</f>
        <v>121.949</v>
      </c>
      <c r="G19" s="315"/>
      <c r="H19" s="245"/>
    </row>
    <row r="20" spans="1:8" ht="12.75">
      <c r="A20" s="81" t="s">
        <v>386</v>
      </c>
      <c r="B20" s="316" t="s">
        <v>387</v>
      </c>
      <c r="C20" s="236" t="s">
        <v>394</v>
      </c>
      <c r="D20" s="145">
        <f>0.57*5*2</f>
        <v>5.699999999999999</v>
      </c>
      <c r="E20" s="234">
        <v>9</v>
      </c>
      <c r="F20" s="146">
        <f aca="true" t="shared" si="1" ref="F20:F26">E20*$D20</f>
        <v>51.3</v>
      </c>
      <c r="G20" s="258"/>
      <c r="H20" s="249"/>
    </row>
    <row r="21" spans="1:8" ht="12.75">
      <c r="A21" s="81" t="s">
        <v>388</v>
      </c>
      <c r="B21" s="316" t="s">
        <v>387</v>
      </c>
      <c r="C21" s="236" t="s">
        <v>394</v>
      </c>
      <c r="D21" s="145">
        <f>0.86*5*2</f>
        <v>8.6</v>
      </c>
      <c r="E21" s="234">
        <v>2</v>
      </c>
      <c r="F21" s="146">
        <f t="shared" si="1"/>
        <v>17.2</v>
      </c>
      <c r="G21" s="258"/>
      <c r="H21" s="146"/>
    </row>
    <row r="22" spans="1:8" ht="12.75">
      <c r="A22" s="81" t="s">
        <v>389</v>
      </c>
      <c r="B22" s="316" t="s">
        <v>387</v>
      </c>
      <c r="C22" s="236" t="s">
        <v>394</v>
      </c>
      <c r="D22" s="145">
        <f>0.26*5*2</f>
        <v>2.6</v>
      </c>
      <c r="E22" s="234">
        <v>4</v>
      </c>
      <c r="F22" s="146">
        <f t="shared" si="1"/>
        <v>10.4</v>
      </c>
      <c r="G22" s="258"/>
      <c r="H22" s="146"/>
    </row>
    <row r="23" spans="1:8" ht="12.75">
      <c r="A23" s="81" t="s">
        <v>390</v>
      </c>
      <c r="B23" s="316" t="s">
        <v>387</v>
      </c>
      <c r="C23" s="236" t="s">
        <v>394</v>
      </c>
      <c r="D23" s="145">
        <f>0.86*5*2</f>
        <v>8.6</v>
      </c>
      <c r="E23" s="234">
        <v>3</v>
      </c>
      <c r="F23" s="146">
        <f t="shared" si="1"/>
        <v>25.799999999999997</v>
      </c>
      <c r="G23" s="258"/>
      <c r="H23" s="249"/>
    </row>
    <row r="24" spans="1:8" ht="12.75">
      <c r="A24" s="81" t="s">
        <v>391</v>
      </c>
      <c r="B24" s="316" t="s">
        <v>387</v>
      </c>
      <c r="C24" s="236" t="s">
        <v>329</v>
      </c>
      <c r="D24" s="145">
        <f>16.83*5*2</f>
        <v>168.29999999999998</v>
      </c>
      <c r="E24" s="318">
        <v>0.03</v>
      </c>
      <c r="F24" s="146">
        <f t="shared" si="1"/>
        <v>5.0489999999999995</v>
      </c>
      <c r="G24" s="258"/>
      <c r="H24" s="146"/>
    </row>
    <row r="25" spans="1:8" ht="12.75">
      <c r="A25" s="81" t="s">
        <v>392</v>
      </c>
      <c r="B25" s="316" t="s">
        <v>393</v>
      </c>
      <c r="C25" s="236" t="s">
        <v>394</v>
      </c>
      <c r="D25" s="234">
        <f>0.01*5*2</f>
        <v>0.1</v>
      </c>
      <c r="E25" s="145">
        <v>122</v>
      </c>
      <c r="F25" s="146">
        <f t="shared" si="1"/>
        <v>12.200000000000001</v>
      </c>
      <c r="G25" s="258"/>
      <c r="H25" s="249"/>
    </row>
    <row r="26" spans="1:8" ht="12.75">
      <c r="A26" s="81" t="s">
        <v>264</v>
      </c>
      <c r="B26" s="232"/>
      <c r="C26" s="236" t="s">
        <v>318</v>
      </c>
      <c r="D26" s="146"/>
      <c r="E26" s="258">
        <f>Исх!D34</f>
        <v>12.8</v>
      </c>
      <c r="F26" s="146">
        <f t="shared" si="1"/>
        <v>0</v>
      </c>
      <c r="G26" s="258"/>
      <c r="H26" s="249"/>
    </row>
    <row r="27" spans="1:9" ht="12.75">
      <c r="A27" s="156" t="s">
        <v>0</v>
      </c>
      <c r="B27" s="256"/>
      <c r="C27" s="256"/>
      <c r="D27" s="251"/>
      <c r="E27" s="257"/>
      <c r="F27" s="245">
        <f>F6+F13+F19</f>
        <v>2266.5208000000002</v>
      </c>
      <c r="G27" s="257"/>
      <c r="H27" s="245">
        <f>SUM(H7:H26)</f>
        <v>0</v>
      </c>
      <c r="I27" s="148"/>
    </row>
    <row r="28" spans="1:8" s="148" customFormat="1" ht="12.75">
      <c r="A28" s="148" t="s">
        <v>239</v>
      </c>
      <c r="F28" s="266">
        <f>('2-ф2'!$B$10+'2-ф2'!$B$11+'2-ф2'!$B$12)*'Расх перем'!F29</f>
        <v>152502.74753138382</v>
      </c>
      <c r="H28" s="266"/>
    </row>
    <row r="29" spans="1:8" s="148" customFormat="1" ht="12.75">
      <c r="A29" s="148" t="s">
        <v>236</v>
      </c>
      <c r="F29" s="265">
        <f>'2-ф2'!$B$6/'2-ф2'!$B$5</f>
        <v>1</v>
      </c>
      <c r="G29" s="265"/>
      <c r="H29" s="265"/>
    </row>
    <row r="30" spans="1:8" s="148" customFormat="1" ht="12.75">
      <c r="A30" s="148" t="s">
        <v>238</v>
      </c>
      <c r="F30" s="266">
        <f>F28*1000/Производство!$B$10</f>
        <v>4441.1511848052405</v>
      </c>
      <c r="H30" s="266"/>
    </row>
    <row r="31" spans="1:8" s="148" customFormat="1" ht="12.75">
      <c r="A31" s="267" t="s">
        <v>237</v>
      </c>
      <c r="B31" s="268"/>
      <c r="C31" s="268"/>
      <c r="D31" s="268"/>
      <c r="E31" s="268"/>
      <c r="F31" s="269">
        <f>F27+F30</f>
        <v>6707.671984805241</v>
      </c>
      <c r="G31" s="268"/>
      <c r="H31" s="269"/>
    </row>
    <row r="32" s="148" customFormat="1" ht="12.75"/>
  </sheetData>
  <sheetProtection/>
  <mergeCells count="7">
    <mergeCell ref="E4:F4"/>
    <mergeCell ref="A4:A5"/>
    <mergeCell ref="C4:C5"/>
    <mergeCell ref="D4:D5"/>
    <mergeCell ref="G4:H4"/>
    <mergeCell ref="E3:F3"/>
    <mergeCell ref="B4:B5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37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40" sqref="G40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143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8">
        <f>'1-Ф3'!$B$2</f>
        <v>0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244</v>
      </c>
      <c r="C6" s="310">
        <v>1</v>
      </c>
      <c r="D6" s="145">
        <v>150</v>
      </c>
      <c r="E6" s="154">
        <f>C6*D6</f>
        <v>150</v>
      </c>
      <c r="F6" s="154">
        <f>E6*$C$31</f>
        <v>15</v>
      </c>
      <c r="G6" s="154">
        <f>(E6-$C$35-F6)*$C$33</f>
        <v>11.634</v>
      </c>
      <c r="H6" s="154">
        <f>(E6-F6)*$C$32</f>
        <v>6.75</v>
      </c>
      <c r="I6" s="154">
        <f>(E6-F6)*$C$34-H6</f>
        <v>8.1</v>
      </c>
      <c r="J6" s="154">
        <f>E6-F6-G6</f>
        <v>123.366</v>
      </c>
      <c r="K6" s="155">
        <f>SUM(F6:J6)</f>
        <v>164.85</v>
      </c>
    </row>
    <row r="7" spans="1:11" ht="12.75">
      <c r="A7" s="81">
        <v>2</v>
      </c>
      <c r="B7" s="81" t="s">
        <v>245</v>
      </c>
      <c r="C7" s="310">
        <v>1</v>
      </c>
      <c r="D7" s="145">
        <v>70</v>
      </c>
      <c r="E7" s="154">
        <f>C7*D7</f>
        <v>70</v>
      </c>
      <c r="F7" s="154">
        <f>E7*$C$31</f>
        <v>7</v>
      </c>
      <c r="G7" s="154">
        <f>(E7-$C$35-F7)*$C$33</f>
        <v>4.434</v>
      </c>
      <c r="H7" s="154">
        <f>(E7-F7)*$C$32</f>
        <v>3.1500000000000004</v>
      </c>
      <c r="I7" s="154">
        <f>(E7-F7)*$C$34-H7</f>
        <v>3.7799999999999994</v>
      </c>
      <c r="J7" s="154">
        <f>E7-F7-G7</f>
        <v>58.566</v>
      </c>
      <c r="K7" s="155">
        <f>SUM(F7:J7)</f>
        <v>76.93</v>
      </c>
    </row>
    <row r="8" spans="1:11" ht="12.75">
      <c r="A8" s="81">
        <v>3</v>
      </c>
      <c r="B8" s="81" t="s">
        <v>332</v>
      </c>
      <c r="C8" s="310">
        <v>1</v>
      </c>
      <c r="D8" s="145">
        <v>90</v>
      </c>
      <c r="E8" s="154">
        <f>C8*D8</f>
        <v>90</v>
      </c>
      <c r="F8" s="154">
        <f>E8*$C$31</f>
        <v>9</v>
      </c>
      <c r="G8" s="154">
        <f>(E8-$C$35-F8)*$C$33</f>
        <v>6.234000000000001</v>
      </c>
      <c r="H8" s="154">
        <f>(E8-F8)*$C$32</f>
        <v>4.05</v>
      </c>
      <c r="I8" s="154">
        <f>(E8-F8)*$C$34-H8</f>
        <v>4.86</v>
      </c>
      <c r="J8" s="154">
        <f>E8-F8-G8</f>
        <v>74.766</v>
      </c>
      <c r="K8" s="155">
        <f>SUM(F8:J8)</f>
        <v>98.91000000000001</v>
      </c>
    </row>
    <row r="9" spans="1:11" s="62" customFormat="1" ht="12.75">
      <c r="A9" s="156"/>
      <c r="B9" s="156" t="s">
        <v>0</v>
      </c>
      <c r="C9" s="31">
        <f aca="true" t="shared" si="0" ref="C9:K9">SUM(C6:C8)</f>
        <v>3</v>
      </c>
      <c r="D9" s="31">
        <f t="shared" si="0"/>
        <v>310</v>
      </c>
      <c r="E9" s="31">
        <f t="shared" si="0"/>
        <v>310</v>
      </c>
      <c r="F9" s="31">
        <f t="shared" si="0"/>
        <v>31</v>
      </c>
      <c r="G9" s="31">
        <f t="shared" si="0"/>
        <v>22.302000000000003</v>
      </c>
      <c r="H9" s="31">
        <f t="shared" si="0"/>
        <v>13.95</v>
      </c>
      <c r="I9" s="31">
        <f t="shared" si="0"/>
        <v>16.74</v>
      </c>
      <c r="J9" s="31">
        <f t="shared" si="0"/>
        <v>256.69800000000004</v>
      </c>
      <c r="K9" s="31">
        <f t="shared" si="0"/>
        <v>340.69</v>
      </c>
    </row>
    <row r="10" spans="1:12" s="62" customFormat="1" ht="12.75">
      <c r="A10" s="143"/>
      <c r="B10" s="143" t="s">
        <v>316</v>
      </c>
      <c r="C10" s="143"/>
      <c r="D10" s="144"/>
      <c r="E10" s="144"/>
      <c r="F10" s="144"/>
      <c r="G10" s="144"/>
      <c r="H10" s="144"/>
      <c r="I10" s="144"/>
      <c r="J10" s="144"/>
      <c r="K10" s="144"/>
      <c r="L10" s="78"/>
    </row>
    <row r="11" spans="1:11" ht="12.75">
      <c r="A11" s="81">
        <v>1</v>
      </c>
      <c r="B11" s="81" t="s">
        <v>395</v>
      </c>
      <c r="C11" s="145">
        <v>1</v>
      </c>
      <c r="D11" s="145">
        <v>90</v>
      </c>
      <c r="E11" s="154">
        <f aca="true" t="shared" si="1" ref="E11:E17">C11*D11</f>
        <v>90</v>
      </c>
      <c r="F11" s="154">
        <f aca="true" t="shared" si="2" ref="F11:F17">E11*$C$31</f>
        <v>9</v>
      </c>
      <c r="G11" s="154">
        <f aca="true" t="shared" si="3" ref="G11:G17">(E11-$C$35-F11)*$C$33</f>
        <v>6.234000000000001</v>
      </c>
      <c r="H11" s="154">
        <f aca="true" t="shared" si="4" ref="H11:H17">(E11-F11)*$C$32</f>
        <v>4.05</v>
      </c>
      <c r="I11" s="154">
        <f aca="true" t="shared" si="5" ref="I11:I17">(E11-F11)*$C$34-H11</f>
        <v>4.86</v>
      </c>
      <c r="J11" s="154">
        <f aca="true" t="shared" si="6" ref="J11:J17">E11-F11-G11</f>
        <v>74.766</v>
      </c>
      <c r="K11" s="155">
        <f aca="true" t="shared" si="7" ref="K11:K17">SUM(F11:J11)</f>
        <v>98.91000000000001</v>
      </c>
    </row>
    <row r="12" spans="1:11" ht="12.75">
      <c r="A12" s="81">
        <v>2</v>
      </c>
      <c r="B12" s="81" t="s">
        <v>396</v>
      </c>
      <c r="C12" s="145">
        <v>1</v>
      </c>
      <c r="D12" s="145">
        <v>100</v>
      </c>
      <c r="E12" s="154">
        <f t="shared" si="1"/>
        <v>100</v>
      </c>
      <c r="F12" s="154">
        <f t="shared" si="2"/>
        <v>10</v>
      </c>
      <c r="G12" s="154">
        <f t="shared" si="3"/>
        <v>7.134</v>
      </c>
      <c r="H12" s="154">
        <f t="shared" si="4"/>
        <v>4.5</v>
      </c>
      <c r="I12" s="154">
        <f t="shared" si="5"/>
        <v>5.4</v>
      </c>
      <c r="J12" s="154">
        <f t="shared" si="6"/>
        <v>82.866</v>
      </c>
      <c r="K12" s="155">
        <f t="shared" si="7"/>
        <v>109.9</v>
      </c>
    </row>
    <row r="13" spans="1:11" ht="12.75">
      <c r="A13" s="81">
        <v>3</v>
      </c>
      <c r="B13" s="81" t="s">
        <v>397</v>
      </c>
      <c r="C13" s="145">
        <v>1</v>
      </c>
      <c r="D13" s="145">
        <v>75</v>
      </c>
      <c r="E13" s="154">
        <f t="shared" si="1"/>
        <v>75</v>
      </c>
      <c r="F13" s="154">
        <f t="shared" si="2"/>
        <v>7.5</v>
      </c>
      <c r="G13" s="154">
        <f t="shared" si="3"/>
        <v>4.884</v>
      </c>
      <c r="H13" s="154">
        <f t="shared" si="4"/>
        <v>3.375</v>
      </c>
      <c r="I13" s="154">
        <f t="shared" si="5"/>
        <v>4.05</v>
      </c>
      <c r="J13" s="154">
        <f t="shared" si="6"/>
        <v>62.616</v>
      </c>
      <c r="K13" s="155">
        <f t="shared" si="7"/>
        <v>82.425</v>
      </c>
    </row>
    <row r="14" spans="1:11" ht="12.75">
      <c r="A14" s="81">
        <v>4</v>
      </c>
      <c r="B14" s="81" t="s">
        <v>398</v>
      </c>
      <c r="C14" s="145">
        <v>1</v>
      </c>
      <c r="D14" s="145">
        <v>75</v>
      </c>
      <c r="E14" s="154">
        <f t="shared" si="1"/>
        <v>75</v>
      </c>
      <c r="F14" s="154">
        <f t="shared" si="2"/>
        <v>7.5</v>
      </c>
      <c r="G14" s="154">
        <f t="shared" si="3"/>
        <v>4.884</v>
      </c>
      <c r="H14" s="154">
        <f t="shared" si="4"/>
        <v>3.375</v>
      </c>
      <c r="I14" s="154">
        <f t="shared" si="5"/>
        <v>4.05</v>
      </c>
      <c r="J14" s="154">
        <f t="shared" si="6"/>
        <v>62.616</v>
      </c>
      <c r="K14" s="155">
        <f t="shared" si="7"/>
        <v>82.425</v>
      </c>
    </row>
    <row r="15" spans="1:11" ht="12.75">
      <c r="A15" s="81">
        <v>5</v>
      </c>
      <c r="B15" s="81" t="s">
        <v>399</v>
      </c>
      <c r="C15" s="145">
        <v>1</v>
      </c>
      <c r="D15" s="145">
        <v>75</v>
      </c>
      <c r="E15" s="154">
        <f t="shared" si="1"/>
        <v>75</v>
      </c>
      <c r="F15" s="154">
        <f t="shared" si="2"/>
        <v>7.5</v>
      </c>
      <c r="G15" s="154">
        <f t="shared" si="3"/>
        <v>4.884</v>
      </c>
      <c r="H15" s="154">
        <f t="shared" si="4"/>
        <v>3.375</v>
      </c>
      <c r="I15" s="154">
        <f t="shared" si="5"/>
        <v>4.05</v>
      </c>
      <c r="J15" s="154">
        <f t="shared" si="6"/>
        <v>62.616</v>
      </c>
      <c r="K15" s="155">
        <f t="shared" si="7"/>
        <v>82.425</v>
      </c>
    </row>
    <row r="16" spans="1:11" ht="12.75">
      <c r="A16" s="81">
        <v>6</v>
      </c>
      <c r="B16" s="81" t="s">
        <v>400</v>
      </c>
      <c r="C16" s="145">
        <v>1</v>
      </c>
      <c r="D16" s="145">
        <v>75</v>
      </c>
      <c r="E16" s="154">
        <f t="shared" si="1"/>
        <v>75</v>
      </c>
      <c r="F16" s="154">
        <f t="shared" si="2"/>
        <v>7.5</v>
      </c>
      <c r="G16" s="154">
        <f t="shared" si="3"/>
        <v>4.884</v>
      </c>
      <c r="H16" s="154">
        <f t="shared" si="4"/>
        <v>3.375</v>
      </c>
      <c r="I16" s="154">
        <f t="shared" si="5"/>
        <v>4.05</v>
      </c>
      <c r="J16" s="154">
        <f t="shared" si="6"/>
        <v>62.616</v>
      </c>
      <c r="K16" s="155">
        <f t="shared" si="7"/>
        <v>82.425</v>
      </c>
    </row>
    <row r="17" spans="1:11" ht="12.75">
      <c r="A17" s="81">
        <v>7</v>
      </c>
      <c r="B17" s="81" t="s">
        <v>401</v>
      </c>
      <c r="C17" s="145">
        <v>1</v>
      </c>
      <c r="D17" s="145">
        <v>75</v>
      </c>
      <c r="E17" s="154">
        <f t="shared" si="1"/>
        <v>75</v>
      </c>
      <c r="F17" s="154">
        <f t="shared" si="2"/>
        <v>7.5</v>
      </c>
      <c r="G17" s="154">
        <f t="shared" si="3"/>
        <v>4.884</v>
      </c>
      <c r="H17" s="154">
        <f t="shared" si="4"/>
        <v>3.375</v>
      </c>
      <c r="I17" s="154">
        <f t="shared" si="5"/>
        <v>4.05</v>
      </c>
      <c r="J17" s="154">
        <f t="shared" si="6"/>
        <v>62.616</v>
      </c>
      <c r="K17" s="155">
        <f t="shared" si="7"/>
        <v>82.425</v>
      </c>
    </row>
    <row r="18" spans="1:11" s="62" customFormat="1" ht="12.75">
      <c r="A18" s="156"/>
      <c r="B18" s="157" t="s">
        <v>0</v>
      </c>
      <c r="C18" s="276">
        <f>SUM(C11:C17)</f>
        <v>7</v>
      </c>
      <c r="D18" s="276">
        <f aca="true" t="shared" si="8" ref="D18:K18">SUM(D11:D17)</f>
        <v>565</v>
      </c>
      <c r="E18" s="276">
        <f t="shared" si="8"/>
        <v>565</v>
      </c>
      <c r="F18" s="276">
        <f t="shared" si="8"/>
        <v>56.5</v>
      </c>
      <c r="G18" s="276">
        <f t="shared" si="8"/>
        <v>37.788000000000004</v>
      </c>
      <c r="H18" s="276">
        <f t="shared" si="8"/>
        <v>25.425</v>
      </c>
      <c r="I18" s="276">
        <f t="shared" si="8"/>
        <v>30.510000000000005</v>
      </c>
      <c r="J18" s="276">
        <f t="shared" si="8"/>
        <v>470.71199999999993</v>
      </c>
      <c r="K18" s="276">
        <f t="shared" si="8"/>
        <v>620.935</v>
      </c>
    </row>
    <row r="19" spans="1:11" s="62" customFormat="1" ht="12.75" hidden="1">
      <c r="A19" s="143"/>
      <c r="B19" s="143" t="s">
        <v>301</v>
      </c>
      <c r="C19" s="143"/>
      <c r="D19" s="144"/>
      <c r="E19" s="144"/>
      <c r="F19" s="144"/>
      <c r="G19" s="144"/>
      <c r="H19" s="144"/>
      <c r="I19" s="144"/>
      <c r="J19" s="144"/>
      <c r="K19" s="144"/>
    </row>
    <row r="20" spans="1:11" ht="12.75" hidden="1">
      <c r="A20" s="81"/>
      <c r="B20" s="81"/>
      <c r="C20" s="310"/>
      <c r="D20" s="145"/>
      <c r="E20" s="154">
        <f>C20*D20</f>
        <v>0</v>
      </c>
      <c r="F20" s="154">
        <f>E20*$C$31</f>
        <v>0</v>
      </c>
      <c r="G20" s="154">
        <f>(E20-$C$35-F20)*$C$33*0</f>
        <v>0</v>
      </c>
      <c r="H20" s="154">
        <f>(E20-F20)*$C$32</f>
        <v>0</v>
      </c>
      <c r="I20" s="154">
        <f>(E20-F20)*$C$34-H20</f>
        <v>0</v>
      </c>
      <c r="J20" s="154">
        <f>E20-F20-G20</f>
        <v>0</v>
      </c>
      <c r="K20" s="155">
        <f>SUM(F20:J20)</f>
        <v>0</v>
      </c>
    </row>
    <row r="21" spans="1:11" ht="12.75" hidden="1">
      <c r="A21" s="81"/>
      <c r="B21" s="81"/>
      <c r="C21" s="310"/>
      <c r="D21" s="145"/>
      <c r="E21" s="154">
        <f>C21*D21</f>
        <v>0</v>
      </c>
      <c r="F21" s="154">
        <f>E21*$C$31</f>
        <v>0</v>
      </c>
      <c r="G21" s="154">
        <f>(E21-$C$35-F21)*$C$33*0</f>
        <v>0</v>
      </c>
      <c r="H21" s="154">
        <f>(E21-F21)*$C$32</f>
        <v>0</v>
      </c>
      <c r="I21" s="154">
        <f>(E21-F21)*$C$34-H21</f>
        <v>0</v>
      </c>
      <c r="J21" s="154">
        <f>E21-F21-G21</f>
        <v>0</v>
      </c>
      <c r="K21" s="155">
        <f>SUM(F21:J21)</f>
        <v>0</v>
      </c>
    </row>
    <row r="22" spans="1:11" s="62" customFormat="1" ht="12.75" hidden="1">
      <c r="A22" s="156"/>
      <c r="B22" s="157" t="s">
        <v>0</v>
      </c>
      <c r="C22" s="156">
        <f aca="true" t="shared" si="9" ref="C22:K22">SUM(C20:C21)</f>
        <v>0</v>
      </c>
      <c r="D22" s="155">
        <f t="shared" si="9"/>
        <v>0</v>
      </c>
      <c r="E22" s="155">
        <f t="shared" si="9"/>
        <v>0</v>
      </c>
      <c r="F22" s="155">
        <f t="shared" si="9"/>
        <v>0</v>
      </c>
      <c r="G22" s="155">
        <f t="shared" si="9"/>
        <v>0</v>
      </c>
      <c r="H22" s="155">
        <f t="shared" si="9"/>
        <v>0</v>
      </c>
      <c r="I22" s="155">
        <f t="shared" si="9"/>
        <v>0</v>
      </c>
      <c r="J22" s="155">
        <f t="shared" si="9"/>
        <v>0</v>
      </c>
      <c r="K22" s="155">
        <f t="shared" si="9"/>
        <v>0</v>
      </c>
    </row>
    <row r="23" spans="1:11" s="62" customFormat="1" ht="12.75">
      <c r="A23" s="143"/>
      <c r="B23" s="143" t="s">
        <v>107</v>
      </c>
      <c r="C23" s="143"/>
      <c r="D23" s="144"/>
      <c r="E23" s="144"/>
      <c r="F23" s="144"/>
      <c r="G23" s="144"/>
      <c r="H23" s="144"/>
      <c r="I23" s="144"/>
      <c r="J23" s="144"/>
      <c r="K23" s="144"/>
    </row>
    <row r="24" spans="1:13" ht="12.75">
      <c r="A24" s="81">
        <v>1</v>
      </c>
      <c r="B24" s="81" t="s">
        <v>402</v>
      </c>
      <c r="C24" s="310">
        <v>1</v>
      </c>
      <c r="D24" s="145">
        <v>75</v>
      </c>
      <c r="E24" s="154">
        <f>C24*D24</f>
        <v>75</v>
      </c>
      <c r="F24" s="154">
        <f>E24*$C$31</f>
        <v>7.5</v>
      </c>
      <c r="G24" s="154">
        <f>(E24-$C$35-F24)*$C$33</f>
        <v>4.884</v>
      </c>
      <c r="H24" s="154">
        <f>(E24-F24)*$C$32</f>
        <v>3.375</v>
      </c>
      <c r="I24" s="154">
        <f>(E24-F24)*$C$34-H24</f>
        <v>4.05</v>
      </c>
      <c r="J24" s="154">
        <f>E24-F24-G24</f>
        <v>62.616</v>
      </c>
      <c r="K24" s="155">
        <f>SUM(F24:J24)</f>
        <v>82.425</v>
      </c>
      <c r="M24" s="158"/>
    </row>
    <row r="25" spans="1:11" ht="12.75">
      <c r="A25" s="81">
        <v>2</v>
      </c>
      <c r="B25" s="81" t="s">
        <v>403</v>
      </c>
      <c r="C25" s="310">
        <v>1</v>
      </c>
      <c r="D25" s="145">
        <v>80</v>
      </c>
      <c r="E25" s="154">
        <f>C25*D25</f>
        <v>80</v>
      </c>
      <c r="F25" s="154">
        <f>E25*$C$31</f>
        <v>8</v>
      </c>
      <c r="G25" s="154">
        <f>(E25-$C$35-F25)*$C$33</f>
        <v>5.3340000000000005</v>
      </c>
      <c r="H25" s="154">
        <f>(E25-F25)*$C$32</f>
        <v>3.6</v>
      </c>
      <c r="I25" s="154">
        <f>(E25-F25)*$C$34-H25</f>
        <v>4.32</v>
      </c>
      <c r="J25" s="154">
        <f>E25-F25-G25</f>
        <v>66.666</v>
      </c>
      <c r="K25" s="155">
        <f>SUM(F25:J25)</f>
        <v>87.92</v>
      </c>
    </row>
    <row r="26" spans="1:11" ht="12.75">
      <c r="A26" s="81">
        <v>3</v>
      </c>
      <c r="B26" s="81" t="s">
        <v>404</v>
      </c>
      <c r="C26" s="310">
        <v>1</v>
      </c>
      <c r="D26" s="145">
        <v>60</v>
      </c>
      <c r="E26" s="154">
        <f>C26*D26</f>
        <v>60</v>
      </c>
      <c r="F26" s="154">
        <f>E26*$C$31</f>
        <v>6</v>
      </c>
      <c r="G26" s="154">
        <f>(E26-$C$35-F26)*$C$33</f>
        <v>3.5340000000000007</v>
      </c>
      <c r="H26" s="154">
        <f>(E26-F26)*$C$32</f>
        <v>2.7</v>
      </c>
      <c r="I26" s="154">
        <f>(E26-F26)*$C$34-H26</f>
        <v>3.24</v>
      </c>
      <c r="J26" s="154">
        <f>E26-F26-G26</f>
        <v>50.466</v>
      </c>
      <c r="K26" s="155">
        <f>SUM(F26:J26)</f>
        <v>65.94</v>
      </c>
    </row>
    <row r="27" spans="1:11" s="62" customFormat="1" ht="12.75">
      <c r="A27" s="156"/>
      <c r="B27" s="157" t="s">
        <v>0</v>
      </c>
      <c r="C27" s="156">
        <f aca="true" t="shared" si="10" ref="C27:K27">SUM(C24:C26)</f>
        <v>3</v>
      </c>
      <c r="D27" s="155">
        <f t="shared" si="10"/>
        <v>215</v>
      </c>
      <c r="E27" s="155">
        <f t="shared" si="10"/>
        <v>215</v>
      </c>
      <c r="F27" s="155">
        <f t="shared" si="10"/>
        <v>21.5</v>
      </c>
      <c r="G27" s="155">
        <f t="shared" si="10"/>
        <v>13.752</v>
      </c>
      <c r="H27" s="155">
        <f t="shared" si="10"/>
        <v>9.675</v>
      </c>
      <c r="I27" s="155">
        <f t="shared" si="10"/>
        <v>11.610000000000001</v>
      </c>
      <c r="J27" s="155">
        <f t="shared" si="10"/>
        <v>179.748</v>
      </c>
      <c r="K27" s="155">
        <f t="shared" si="10"/>
        <v>236.285</v>
      </c>
    </row>
    <row r="28" spans="1:11" ht="12.75">
      <c r="A28" s="81"/>
      <c r="B28" s="81"/>
      <c r="C28" s="81"/>
      <c r="D28" s="154"/>
      <c r="E28" s="154"/>
      <c r="F28" s="154"/>
      <c r="G28" s="154"/>
      <c r="H28" s="154"/>
      <c r="I28" s="154"/>
      <c r="J28" s="154"/>
      <c r="K28" s="154"/>
    </row>
    <row r="29" spans="1:13" s="62" customFormat="1" ht="12.75">
      <c r="A29" s="156"/>
      <c r="B29" s="156" t="s">
        <v>108</v>
      </c>
      <c r="C29" s="155">
        <f aca="true" t="shared" si="11" ref="C29:K29">C9+C18+C22+C27</f>
        <v>13</v>
      </c>
      <c r="D29" s="155">
        <f t="shared" si="11"/>
        <v>1090</v>
      </c>
      <c r="E29" s="155">
        <f t="shared" si="11"/>
        <v>1090</v>
      </c>
      <c r="F29" s="155">
        <f t="shared" si="11"/>
        <v>109</v>
      </c>
      <c r="G29" s="155">
        <f t="shared" si="11"/>
        <v>73.842</v>
      </c>
      <c r="H29" s="155">
        <f t="shared" si="11"/>
        <v>49.05</v>
      </c>
      <c r="I29" s="155">
        <f t="shared" si="11"/>
        <v>58.86</v>
      </c>
      <c r="J29" s="155">
        <f t="shared" si="11"/>
        <v>907.1579999999999</v>
      </c>
      <c r="K29" s="159">
        <f t="shared" si="11"/>
        <v>1197.91</v>
      </c>
      <c r="M29" s="248"/>
    </row>
    <row r="31" spans="2:10" ht="12.75" hidden="1">
      <c r="B31" s="81" t="s">
        <v>47</v>
      </c>
      <c r="C31" s="160">
        <f>Исх!C12</f>
        <v>0.1</v>
      </c>
      <c r="D31" s="161"/>
      <c r="E31" s="161"/>
      <c r="F31" s="161"/>
      <c r="G31" s="372"/>
      <c r="H31" s="372"/>
      <c r="I31" s="372"/>
      <c r="J31" s="372"/>
    </row>
    <row r="32" spans="2:10" ht="12.75" hidden="1">
      <c r="B32" s="81" t="s">
        <v>52</v>
      </c>
      <c r="C32" s="160">
        <f>Исх!C13</f>
        <v>0.05</v>
      </c>
      <c r="D32" s="161"/>
      <c r="E32" s="161"/>
      <c r="F32" s="161"/>
      <c r="G32" s="161"/>
      <c r="H32" s="161"/>
      <c r="I32" s="162"/>
      <c r="J32" s="163"/>
    </row>
    <row r="33" spans="2:10" ht="12.75" hidden="1">
      <c r="B33" s="81" t="s">
        <v>48</v>
      </c>
      <c r="C33" s="160">
        <f>Исх!C14</f>
        <v>0.1</v>
      </c>
      <c r="D33" s="161"/>
      <c r="E33" s="161"/>
      <c r="F33" s="161"/>
      <c r="G33" s="161"/>
      <c r="H33" s="161"/>
      <c r="I33" s="162"/>
      <c r="J33" s="163"/>
    </row>
    <row r="34" spans="2:10" ht="12.75" hidden="1">
      <c r="B34" s="81" t="s">
        <v>50</v>
      </c>
      <c r="C34" s="160">
        <f>Исх!C15</f>
        <v>0.11</v>
      </c>
      <c r="D34" s="164"/>
      <c r="E34" s="164"/>
      <c r="F34" s="161"/>
      <c r="G34" s="161"/>
      <c r="H34" s="161"/>
      <c r="I34" s="162"/>
      <c r="J34" s="163"/>
    </row>
    <row r="35" spans="2:3" ht="12.75" hidden="1">
      <c r="B35" s="81" t="s">
        <v>112</v>
      </c>
      <c r="C35" s="165">
        <f>Исх!C16</f>
        <v>18.66</v>
      </c>
    </row>
    <row r="36" spans="7:10" ht="12.75">
      <c r="G36" s="161"/>
      <c r="H36" s="161"/>
      <c r="I36" s="162"/>
      <c r="J36" s="163"/>
    </row>
    <row r="37" ht="12.75">
      <c r="C37" s="201"/>
    </row>
  </sheetData>
  <sheetProtection/>
  <mergeCells count="1">
    <mergeCell ref="G31:J31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X5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C8" sqref="C8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147</v>
      </c>
      <c r="M1" s="62" t="s">
        <v>257</v>
      </c>
      <c r="W1" s="62"/>
    </row>
    <row r="2" spans="1:23" ht="12.75">
      <c r="A2" s="62"/>
      <c r="B2" s="62"/>
      <c r="C2" s="320" t="s">
        <v>286</v>
      </c>
      <c r="D2" s="320"/>
      <c r="E2" s="321">
        <v>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0" ht="12.75">
      <c r="A3" s="148" t="s">
        <v>43</v>
      </c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206</v>
      </c>
      <c r="M4" s="217" t="str">
        <f aca="true" t="shared" si="1" ref="M4:M16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8"/>
    </row>
    <row r="5" spans="1:22" ht="12.75">
      <c r="A5" s="81" t="s">
        <v>45</v>
      </c>
      <c r="B5" s="146"/>
      <c r="C5" s="154">
        <f>ФОТ!$K$29</f>
        <v>1197.91</v>
      </c>
      <c r="D5" s="154">
        <f>ФОТ!$K$29</f>
        <v>1197.91</v>
      </c>
      <c r="E5" s="154">
        <f aca="true" t="shared" si="3" ref="E5:E15">D5+D5*$E$2</f>
        <v>1197.91</v>
      </c>
      <c r="F5" s="154">
        <f aca="true" t="shared" si="4" ref="F5:J7">E5+E5*$E$2</f>
        <v>1197.91</v>
      </c>
      <c r="G5" s="154">
        <f t="shared" si="4"/>
        <v>1197.91</v>
      </c>
      <c r="H5" s="154">
        <f t="shared" si="4"/>
        <v>1197.91</v>
      </c>
      <c r="I5" s="154">
        <f t="shared" si="4"/>
        <v>1197.91</v>
      </c>
      <c r="J5" s="154">
        <f t="shared" si="4"/>
        <v>1197.91</v>
      </c>
      <c r="K5" s="154"/>
      <c r="M5" s="81" t="str">
        <f t="shared" si="1"/>
        <v>ФОТ</v>
      </c>
      <c r="N5" s="146"/>
      <c r="O5" s="154">
        <f aca="true" t="shared" si="5" ref="O5:O15">C5*12</f>
        <v>14374.920000000002</v>
      </c>
      <c r="P5" s="154">
        <f aca="true" t="shared" si="6" ref="P5:P15">D5*12</f>
        <v>14374.920000000002</v>
      </c>
      <c r="Q5" s="154">
        <f aca="true" t="shared" si="7" ref="Q5:Q15">E5*12</f>
        <v>14374.920000000002</v>
      </c>
      <c r="R5" s="154">
        <f aca="true" t="shared" si="8" ref="R5:R15">F5*12</f>
        <v>14374.920000000002</v>
      </c>
      <c r="S5" s="154">
        <f aca="true" t="shared" si="9" ref="S5:S15">G5*12</f>
        <v>14374.920000000002</v>
      </c>
      <c r="T5" s="154">
        <f aca="true" t="shared" si="10" ref="T5:T15">H5*12</f>
        <v>14374.920000000002</v>
      </c>
      <c r="U5" s="154">
        <f aca="true" t="shared" si="11" ref="U5:U15">I5*12</f>
        <v>14374.920000000002</v>
      </c>
      <c r="V5" s="154">
        <f aca="true" t="shared" si="12" ref="V5:V15">J5*12</f>
        <v>14374.920000000002</v>
      </c>
    </row>
    <row r="6" spans="1:22" ht="12.75">
      <c r="A6" s="167" t="s">
        <v>319</v>
      </c>
      <c r="B6" s="232"/>
      <c r="C6" s="145">
        <f>200*1.7/Исх!$C$19</f>
        <v>303.57142857142856</v>
      </c>
      <c r="D6" s="154">
        <f>C6</f>
        <v>303.57142857142856</v>
      </c>
      <c r="E6" s="154">
        <f>D6+D6*$E$2</f>
        <v>303.57142857142856</v>
      </c>
      <c r="F6" s="154">
        <f t="shared" si="4"/>
        <v>303.57142857142856</v>
      </c>
      <c r="G6" s="154">
        <f t="shared" si="4"/>
        <v>303.57142857142856</v>
      </c>
      <c r="H6" s="154">
        <f t="shared" si="4"/>
        <v>303.57142857142856</v>
      </c>
      <c r="I6" s="154">
        <f t="shared" si="4"/>
        <v>303.57142857142856</v>
      </c>
      <c r="J6" s="154">
        <f t="shared" si="4"/>
        <v>303.57142857142856</v>
      </c>
      <c r="K6" s="292" t="s">
        <v>407</v>
      </c>
      <c r="M6" s="81" t="str">
        <f t="shared" si="1"/>
        <v>Аренда помещения</v>
      </c>
      <c r="N6" s="232"/>
      <c r="O6" s="154">
        <f t="shared" si="5"/>
        <v>3642.8571428571427</v>
      </c>
      <c r="P6" s="154">
        <f t="shared" si="6"/>
        <v>3642.8571428571427</v>
      </c>
      <c r="Q6" s="154">
        <f t="shared" si="7"/>
        <v>3642.8571428571427</v>
      </c>
      <c r="R6" s="154">
        <f t="shared" si="8"/>
        <v>3642.8571428571427</v>
      </c>
      <c r="S6" s="154">
        <f t="shared" si="9"/>
        <v>3642.8571428571427</v>
      </c>
      <c r="T6" s="154">
        <f t="shared" si="10"/>
        <v>3642.8571428571427</v>
      </c>
      <c r="U6" s="154">
        <f t="shared" si="11"/>
        <v>3642.8571428571427</v>
      </c>
      <c r="V6" s="154">
        <f t="shared" si="12"/>
        <v>3642.8571428571427</v>
      </c>
    </row>
    <row r="7" spans="1:22" ht="12.75">
      <c r="A7" s="167" t="s">
        <v>212</v>
      </c>
      <c r="B7" s="232"/>
      <c r="C7" s="145">
        <v>25</v>
      </c>
      <c r="D7" s="154">
        <f aca="true" t="shared" si="13" ref="D7:D15">C7</f>
        <v>25</v>
      </c>
      <c r="E7" s="154">
        <f t="shared" si="3"/>
        <v>25</v>
      </c>
      <c r="F7" s="154">
        <f t="shared" si="4"/>
        <v>25</v>
      </c>
      <c r="G7" s="154">
        <f t="shared" si="4"/>
        <v>25</v>
      </c>
      <c r="H7" s="154">
        <f t="shared" si="4"/>
        <v>25</v>
      </c>
      <c r="I7" s="154">
        <f t="shared" si="4"/>
        <v>25</v>
      </c>
      <c r="J7" s="154">
        <f t="shared" si="4"/>
        <v>25</v>
      </c>
      <c r="K7" s="154" t="s">
        <v>320</v>
      </c>
      <c r="M7" s="81" t="str">
        <f t="shared" si="1"/>
        <v>Коммунальные расходы</v>
      </c>
      <c r="N7" s="232"/>
      <c r="O7" s="154">
        <f t="shared" si="5"/>
        <v>300</v>
      </c>
      <c r="P7" s="154">
        <f t="shared" si="6"/>
        <v>300</v>
      </c>
      <c r="Q7" s="154">
        <f t="shared" si="7"/>
        <v>300</v>
      </c>
      <c r="R7" s="154">
        <f t="shared" si="8"/>
        <v>300</v>
      </c>
      <c r="S7" s="154">
        <f t="shared" si="9"/>
        <v>300</v>
      </c>
      <c r="T7" s="154">
        <f t="shared" si="10"/>
        <v>300</v>
      </c>
      <c r="U7" s="154">
        <f t="shared" si="11"/>
        <v>300</v>
      </c>
      <c r="V7" s="154">
        <f t="shared" si="12"/>
        <v>300</v>
      </c>
    </row>
    <row r="8" spans="1:22" ht="12.75">
      <c r="A8" s="293" t="s">
        <v>289</v>
      </c>
      <c r="B8" s="294"/>
      <c r="C8" s="262">
        <v>45</v>
      </c>
      <c r="D8" s="116">
        <f t="shared" si="13"/>
        <v>45</v>
      </c>
      <c r="E8" s="116">
        <f t="shared" si="3"/>
        <v>45</v>
      </c>
      <c r="F8" s="116">
        <f aca="true" t="shared" si="14" ref="F8:J12">E8+E8*$E$2</f>
        <v>45</v>
      </c>
      <c r="G8" s="116">
        <f t="shared" si="14"/>
        <v>45</v>
      </c>
      <c r="H8" s="116">
        <f t="shared" si="14"/>
        <v>45</v>
      </c>
      <c r="I8" s="116">
        <f t="shared" si="14"/>
        <v>45</v>
      </c>
      <c r="J8" s="116">
        <f t="shared" si="14"/>
        <v>45</v>
      </c>
      <c r="K8" s="292" t="s">
        <v>321</v>
      </c>
      <c r="M8" s="115" t="str">
        <f t="shared" si="1"/>
        <v>Услуги охранной фирмы</v>
      </c>
      <c r="N8" s="294"/>
      <c r="O8" s="154">
        <f t="shared" si="5"/>
        <v>540</v>
      </c>
      <c r="P8" s="154">
        <f t="shared" si="6"/>
        <v>540</v>
      </c>
      <c r="Q8" s="154">
        <f t="shared" si="7"/>
        <v>540</v>
      </c>
      <c r="R8" s="154">
        <f t="shared" si="8"/>
        <v>540</v>
      </c>
      <c r="S8" s="154">
        <f t="shared" si="9"/>
        <v>540</v>
      </c>
      <c r="T8" s="154">
        <f t="shared" si="10"/>
        <v>540</v>
      </c>
      <c r="U8" s="154">
        <f t="shared" si="11"/>
        <v>540</v>
      </c>
      <c r="V8" s="154">
        <f t="shared" si="12"/>
        <v>540</v>
      </c>
    </row>
    <row r="9" spans="1:22" ht="12.75">
      <c r="A9" s="167" t="s">
        <v>247</v>
      </c>
      <c r="B9" s="146"/>
      <c r="C9" s="145">
        <v>35</v>
      </c>
      <c r="D9" s="154">
        <f t="shared" si="13"/>
        <v>35</v>
      </c>
      <c r="E9" s="154">
        <f t="shared" si="3"/>
        <v>35</v>
      </c>
      <c r="F9" s="154">
        <f t="shared" si="14"/>
        <v>35</v>
      </c>
      <c r="G9" s="154">
        <f t="shared" si="14"/>
        <v>35</v>
      </c>
      <c r="H9" s="154">
        <f t="shared" si="14"/>
        <v>35</v>
      </c>
      <c r="I9" s="154">
        <f t="shared" si="14"/>
        <v>35</v>
      </c>
      <c r="J9" s="154">
        <f t="shared" si="14"/>
        <v>35</v>
      </c>
      <c r="K9" s="154"/>
      <c r="M9" s="81" t="str">
        <f t="shared" si="1"/>
        <v>Спецодежда, перчатки, хоз.товары</v>
      </c>
      <c r="N9" s="146"/>
      <c r="O9" s="154">
        <f t="shared" si="5"/>
        <v>420</v>
      </c>
      <c r="P9" s="154">
        <f t="shared" si="6"/>
        <v>420</v>
      </c>
      <c r="Q9" s="154">
        <f t="shared" si="7"/>
        <v>420</v>
      </c>
      <c r="R9" s="154">
        <f t="shared" si="8"/>
        <v>420</v>
      </c>
      <c r="S9" s="154">
        <f t="shared" si="9"/>
        <v>420</v>
      </c>
      <c r="T9" s="154">
        <f t="shared" si="10"/>
        <v>420</v>
      </c>
      <c r="U9" s="154">
        <f t="shared" si="11"/>
        <v>420</v>
      </c>
      <c r="V9" s="154">
        <f t="shared" si="12"/>
        <v>420</v>
      </c>
    </row>
    <row r="10" spans="1:22" ht="12.75">
      <c r="A10" s="81" t="s">
        <v>100</v>
      </c>
      <c r="B10" s="146"/>
      <c r="C10" s="145">
        <v>10</v>
      </c>
      <c r="D10" s="154">
        <f t="shared" si="13"/>
        <v>10</v>
      </c>
      <c r="E10" s="154">
        <f t="shared" si="3"/>
        <v>10</v>
      </c>
      <c r="F10" s="154">
        <f t="shared" si="14"/>
        <v>10</v>
      </c>
      <c r="G10" s="154">
        <f t="shared" si="14"/>
        <v>10</v>
      </c>
      <c r="H10" s="154">
        <f t="shared" si="14"/>
        <v>10</v>
      </c>
      <c r="I10" s="154">
        <f t="shared" si="14"/>
        <v>10</v>
      </c>
      <c r="J10" s="154">
        <f t="shared" si="14"/>
        <v>10</v>
      </c>
      <c r="K10" s="154"/>
      <c r="M10" s="81" t="str">
        <f t="shared" si="1"/>
        <v>Обслуживание и ремонт ОС</v>
      </c>
      <c r="N10" s="146"/>
      <c r="O10" s="154">
        <f t="shared" si="5"/>
        <v>120</v>
      </c>
      <c r="P10" s="154">
        <f t="shared" si="6"/>
        <v>120</v>
      </c>
      <c r="Q10" s="154">
        <f t="shared" si="7"/>
        <v>120</v>
      </c>
      <c r="R10" s="154">
        <f t="shared" si="8"/>
        <v>120</v>
      </c>
      <c r="S10" s="154">
        <f t="shared" si="9"/>
        <v>120</v>
      </c>
      <c r="T10" s="154">
        <f t="shared" si="10"/>
        <v>120</v>
      </c>
      <c r="U10" s="154">
        <f t="shared" si="11"/>
        <v>120</v>
      </c>
      <c r="V10" s="154">
        <f t="shared" si="12"/>
        <v>120</v>
      </c>
    </row>
    <row r="11" spans="1:22" ht="12.75">
      <c r="A11" s="81" t="s">
        <v>248</v>
      </c>
      <c r="B11" s="146"/>
      <c r="C11" s="145">
        <v>10</v>
      </c>
      <c r="D11" s="154">
        <f t="shared" si="13"/>
        <v>10</v>
      </c>
      <c r="E11" s="154">
        <f t="shared" si="3"/>
        <v>10</v>
      </c>
      <c r="F11" s="154">
        <f t="shared" si="14"/>
        <v>10</v>
      </c>
      <c r="G11" s="154">
        <f t="shared" si="14"/>
        <v>10</v>
      </c>
      <c r="H11" s="154">
        <f t="shared" si="14"/>
        <v>10</v>
      </c>
      <c r="I11" s="154">
        <f t="shared" si="14"/>
        <v>10</v>
      </c>
      <c r="J11" s="154">
        <f t="shared" si="14"/>
        <v>10</v>
      </c>
      <c r="K11" s="154" t="s">
        <v>287</v>
      </c>
      <c r="M11" s="81" t="str">
        <f t="shared" si="1"/>
        <v>Услуги банка</v>
      </c>
      <c r="N11" s="146"/>
      <c r="O11" s="154">
        <f t="shared" si="5"/>
        <v>120</v>
      </c>
      <c r="P11" s="154">
        <f t="shared" si="6"/>
        <v>120</v>
      </c>
      <c r="Q11" s="154">
        <f t="shared" si="7"/>
        <v>120</v>
      </c>
      <c r="R11" s="154">
        <f t="shared" si="8"/>
        <v>120</v>
      </c>
      <c r="S11" s="154">
        <f t="shared" si="9"/>
        <v>120</v>
      </c>
      <c r="T11" s="154">
        <f t="shared" si="10"/>
        <v>120</v>
      </c>
      <c r="U11" s="154">
        <f t="shared" si="11"/>
        <v>120</v>
      </c>
      <c r="V11" s="154">
        <f t="shared" si="12"/>
        <v>120</v>
      </c>
    </row>
    <row r="12" spans="1:22" ht="12.75">
      <c r="A12" s="81" t="s">
        <v>249</v>
      </c>
      <c r="B12" s="146"/>
      <c r="C12" s="145">
        <v>7</v>
      </c>
      <c r="D12" s="154">
        <f t="shared" si="13"/>
        <v>7</v>
      </c>
      <c r="E12" s="154">
        <f t="shared" si="3"/>
        <v>7</v>
      </c>
      <c r="F12" s="154">
        <f t="shared" si="14"/>
        <v>7</v>
      </c>
      <c r="G12" s="154">
        <f t="shared" si="14"/>
        <v>7</v>
      </c>
      <c r="H12" s="154">
        <f t="shared" si="14"/>
        <v>7</v>
      </c>
      <c r="I12" s="154">
        <f t="shared" si="14"/>
        <v>7</v>
      </c>
      <c r="J12" s="154">
        <f t="shared" si="14"/>
        <v>7</v>
      </c>
      <c r="K12" s="154"/>
      <c r="M12" s="81" t="str">
        <f t="shared" si="1"/>
        <v>Канц.товары</v>
      </c>
      <c r="N12" s="146"/>
      <c r="O12" s="154">
        <f t="shared" si="5"/>
        <v>84</v>
      </c>
      <c r="P12" s="154">
        <f t="shared" si="6"/>
        <v>84</v>
      </c>
      <c r="Q12" s="154">
        <f t="shared" si="7"/>
        <v>84</v>
      </c>
      <c r="R12" s="154">
        <f t="shared" si="8"/>
        <v>84</v>
      </c>
      <c r="S12" s="154">
        <f t="shared" si="9"/>
        <v>84</v>
      </c>
      <c r="T12" s="154">
        <f t="shared" si="10"/>
        <v>84</v>
      </c>
      <c r="U12" s="154">
        <f t="shared" si="11"/>
        <v>84</v>
      </c>
      <c r="V12" s="154">
        <f t="shared" si="12"/>
        <v>84</v>
      </c>
    </row>
    <row r="13" spans="1:22" ht="12.75">
      <c r="A13" s="81" t="s">
        <v>241</v>
      </c>
      <c r="B13" s="146"/>
      <c r="C13" s="145">
        <f>20*25*110/1000/1.12</f>
        <v>49.107142857142854</v>
      </c>
      <c r="D13" s="154">
        <f t="shared" si="13"/>
        <v>49.107142857142854</v>
      </c>
      <c r="E13" s="154">
        <f t="shared" si="3"/>
        <v>49.107142857142854</v>
      </c>
      <c r="F13" s="154">
        <f>E13+E13*$E$2</f>
        <v>49.107142857142854</v>
      </c>
      <c r="G13" s="154">
        <f>F13+F13*$E$2</f>
        <v>49.107142857142854</v>
      </c>
      <c r="H13" s="154">
        <f>G13+G13*$E$2</f>
        <v>49.107142857142854</v>
      </c>
      <c r="I13" s="154">
        <f>H13+H13*$E$2</f>
        <v>49.107142857142854</v>
      </c>
      <c r="J13" s="154">
        <f>I13+I13*$E$2</f>
        <v>49.107142857142854</v>
      </c>
      <c r="K13" s="154" t="s">
        <v>331</v>
      </c>
      <c r="M13" s="81" t="str">
        <f t="shared" si="1"/>
        <v>ГСМ</v>
      </c>
      <c r="N13" s="146"/>
      <c r="O13" s="154">
        <f t="shared" si="5"/>
        <v>589.2857142857142</v>
      </c>
      <c r="P13" s="154">
        <f t="shared" si="6"/>
        <v>589.2857142857142</v>
      </c>
      <c r="Q13" s="154">
        <f t="shared" si="7"/>
        <v>589.2857142857142</v>
      </c>
      <c r="R13" s="154">
        <f t="shared" si="8"/>
        <v>589.2857142857142</v>
      </c>
      <c r="S13" s="154">
        <f t="shared" si="9"/>
        <v>589.2857142857142</v>
      </c>
      <c r="T13" s="154">
        <f t="shared" si="10"/>
        <v>589.2857142857142</v>
      </c>
      <c r="U13" s="154">
        <f t="shared" si="11"/>
        <v>589.2857142857142</v>
      </c>
      <c r="V13" s="154">
        <f t="shared" si="12"/>
        <v>589.2857142857142</v>
      </c>
    </row>
    <row r="14" spans="1:22" ht="12.75">
      <c r="A14" s="81" t="s">
        <v>79</v>
      </c>
      <c r="B14" s="146"/>
      <c r="C14" s="145">
        <v>35</v>
      </c>
      <c r="D14" s="154">
        <f t="shared" si="13"/>
        <v>35</v>
      </c>
      <c r="E14" s="154">
        <f t="shared" si="3"/>
        <v>35</v>
      </c>
      <c r="F14" s="154">
        <f aca="true" t="shared" si="15" ref="F14:J15">E14+E14*$E$2</f>
        <v>35</v>
      </c>
      <c r="G14" s="154">
        <f t="shared" si="15"/>
        <v>35</v>
      </c>
      <c r="H14" s="154">
        <f t="shared" si="15"/>
        <v>35</v>
      </c>
      <c r="I14" s="154">
        <f t="shared" si="15"/>
        <v>35</v>
      </c>
      <c r="J14" s="154">
        <f t="shared" si="15"/>
        <v>35</v>
      </c>
      <c r="K14" s="154" t="s">
        <v>288</v>
      </c>
      <c r="M14" s="81" t="str">
        <f t="shared" si="1"/>
        <v>Расходы на рекламу</v>
      </c>
      <c r="N14" s="146"/>
      <c r="O14" s="154">
        <f t="shared" si="5"/>
        <v>420</v>
      </c>
      <c r="P14" s="154">
        <f t="shared" si="6"/>
        <v>420</v>
      </c>
      <c r="Q14" s="154">
        <f t="shared" si="7"/>
        <v>420</v>
      </c>
      <c r="R14" s="154">
        <f t="shared" si="8"/>
        <v>420</v>
      </c>
      <c r="S14" s="154">
        <f t="shared" si="9"/>
        <v>420</v>
      </c>
      <c r="T14" s="154">
        <f t="shared" si="10"/>
        <v>420</v>
      </c>
      <c r="U14" s="154">
        <f t="shared" si="11"/>
        <v>420</v>
      </c>
      <c r="V14" s="154">
        <f t="shared" si="12"/>
        <v>420</v>
      </c>
    </row>
    <row r="15" spans="1:22" ht="12.75">
      <c r="A15" s="81" t="s">
        <v>46</v>
      </c>
      <c r="B15" s="154"/>
      <c r="C15" s="145">
        <v>30</v>
      </c>
      <c r="D15" s="154">
        <f t="shared" si="13"/>
        <v>30</v>
      </c>
      <c r="E15" s="154">
        <f t="shared" si="3"/>
        <v>30</v>
      </c>
      <c r="F15" s="154">
        <f t="shared" si="15"/>
        <v>30</v>
      </c>
      <c r="G15" s="154">
        <f t="shared" si="15"/>
        <v>30</v>
      </c>
      <c r="H15" s="154">
        <f t="shared" si="15"/>
        <v>30</v>
      </c>
      <c r="I15" s="154">
        <f t="shared" si="15"/>
        <v>30</v>
      </c>
      <c r="J15" s="154">
        <f t="shared" si="15"/>
        <v>30</v>
      </c>
      <c r="K15" s="154"/>
      <c r="M15" s="81" t="str">
        <f t="shared" si="1"/>
        <v>Прочие непредвиденные расходы</v>
      </c>
      <c r="N15" s="154"/>
      <c r="O15" s="154">
        <f t="shared" si="5"/>
        <v>360</v>
      </c>
      <c r="P15" s="154">
        <f t="shared" si="6"/>
        <v>360</v>
      </c>
      <c r="Q15" s="154">
        <f t="shared" si="7"/>
        <v>360</v>
      </c>
      <c r="R15" s="154">
        <f t="shared" si="8"/>
        <v>360</v>
      </c>
      <c r="S15" s="154">
        <f t="shared" si="9"/>
        <v>360</v>
      </c>
      <c r="T15" s="154">
        <f t="shared" si="10"/>
        <v>360</v>
      </c>
      <c r="U15" s="154">
        <f t="shared" si="11"/>
        <v>360</v>
      </c>
      <c r="V15" s="154">
        <f t="shared" si="12"/>
        <v>360</v>
      </c>
    </row>
    <row r="16" spans="1:24" ht="12.75">
      <c r="A16" s="217" t="s">
        <v>0</v>
      </c>
      <c r="B16" s="218"/>
      <c r="C16" s="218">
        <f aca="true" t="shared" si="16" ref="C16:J16">SUM(C5:C15)</f>
        <v>1747.5885714285716</v>
      </c>
      <c r="D16" s="218">
        <f t="shared" si="16"/>
        <v>1747.5885714285716</v>
      </c>
      <c r="E16" s="218">
        <f t="shared" si="16"/>
        <v>1747.5885714285716</v>
      </c>
      <c r="F16" s="218">
        <f t="shared" si="16"/>
        <v>1747.5885714285716</v>
      </c>
      <c r="G16" s="218">
        <f t="shared" si="16"/>
        <v>1747.5885714285716</v>
      </c>
      <c r="H16" s="218">
        <f t="shared" si="16"/>
        <v>1747.5885714285716</v>
      </c>
      <c r="I16" s="218">
        <f t="shared" si="16"/>
        <v>1747.5885714285716</v>
      </c>
      <c r="J16" s="218">
        <f t="shared" si="16"/>
        <v>1747.5885714285716</v>
      </c>
      <c r="K16" s="218"/>
      <c r="M16" s="217" t="str">
        <f t="shared" si="1"/>
        <v>Итого</v>
      </c>
      <c r="N16" s="218"/>
      <c r="O16" s="218">
        <f aca="true" t="shared" si="17" ref="O16:V16">SUM(O5:O15)</f>
        <v>20971.062857142857</v>
      </c>
      <c r="P16" s="218">
        <f t="shared" si="17"/>
        <v>20971.062857142857</v>
      </c>
      <c r="Q16" s="218">
        <f t="shared" si="17"/>
        <v>20971.062857142857</v>
      </c>
      <c r="R16" s="218">
        <f t="shared" si="17"/>
        <v>20971.062857142857</v>
      </c>
      <c r="S16" s="218">
        <f t="shared" si="17"/>
        <v>20971.062857142857</v>
      </c>
      <c r="T16" s="218">
        <f t="shared" si="17"/>
        <v>20971.062857142857</v>
      </c>
      <c r="U16" s="218">
        <f t="shared" si="17"/>
        <v>20971.062857142857</v>
      </c>
      <c r="V16" s="218">
        <f t="shared" si="17"/>
        <v>20971.062857142857</v>
      </c>
      <c r="X16" s="248"/>
    </row>
    <row r="18" spans="1:22" ht="12.75">
      <c r="A18" s="62" t="s">
        <v>80</v>
      </c>
      <c r="C18" s="201">
        <f aca="true" t="shared" si="18" ref="C18:J18">SUM(C19:C19)</f>
        <v>7.187460000000001</v>
      </c>
      <c r="D18" s="201">
        <f t="shared" si="18"/>
        <v>7.187460000000001</v>
      </c>
      <c r="E18" s="201">
        <f t="shared" si="18"/>
        <v>7.187460000000001</v>
      </c>
      <c r="F18" s="201">
        <f t="shared" si="18"/>
        <v>7.187460000000001</v>
      </c>
      <c r="G18" s="201">
        <f t="shared" si="18"/>
        <v>7.187460000000001</v>
      </c>
      <c r="H18" s="201">
        <f t="shared" si="18"/>
        <v>7.187460000000001</v>
      </c>
      <c r="I18" s="201">
        <f t="shared" si="18"/>
        <v>7.187460000000001</v>
      </c>
      <c r="J18" s="201">
        <f t="shared" si="18"/>
        <v>7.187460000000001</v>
      </c>
      <c r="M18" s="62" t="str">
        <f>A18</f>
        <v>Страхование</v>
      </c>
      <c r="O18" s="201">
        <f aca="true" t="shared" si="19" ref="O18:V18">SUM(O19:O19)</f>
        <v>86.24952</v>
      </c>
      <c r="P18" s="201">
        <f t="shared" si="19"/>
        <v>86.24952</v>
      </c>
      <c r="Q18" s="201">
        <f t="shared" si="19"/>
        <v>86.24952</v>
      </c>
      <c r="R18" s="201">
        <f t="shared" si="19"/>
        <v>86.24952</v>
      </c>
      <c r="S18" s="201">
        <f t="shared" si="19"/>
        <v>86.24952</v>
      </c>
      <c r="T18" s="201">
        <f t="shared" si="19"/>
        <v>86.24952</v>
      </c>
      <c r="U18" s="201">
        <f t="shared" si="19"/>
        <v>86.24952</v>
      </c>
      <c r="V18" s="201">
        <f t="shared" si="19"/>
        <v>86.24952</v>
      </c>
    </row>
    <row r="19" spans="1:22" ht="25.5">
      <c r="A19" s="167" t="s">
        <v>81</v>
      </c>
      <c r="B19" s="170">
        <v>0.006</v>
      </c>
      <c r="C19" s="154">
        <f aca="true" t="shared" si="20" ref="C19:J19">C5*$B$19</f>
        <v>7.187460000000001</v>
      </c>
      <c r="D19" s="154">
        <f t="shared" si="20"/>
        <v>7.187460000000001</v>
      </c>
      <c r="E19" s="154">
        <f t="shared" si="20"/>
        <v>7.187460000000001</v>
      </c>
      <c r="F19" s="154">
        <f t="shared" si="20"/>
        <v>7.187460000000001</v>
      </c>
      <c r="G19" s="154">
        <f t="shared" si="20"/>
        <v>7.187460000000001</v>
      </c>
      <c r="H19" s="154">
        <f t="shared" si="20"/>
        <v>7.187460000000001</v>
      </c>
      <c r="I19" s="154">
        <f t="shared" si="20"/>
        <v>7.187460000000001</v>
      </c>
      <c r="J19" s="154">
        <f t="shared" si="20"/>
        <v>7.187460000000001</v>
      </c>
      <c r="M19" s="167" t="s">
        <v>81</v>
      </c>
      <c r="N19" s="170">
        <f>B19</f>
        <v>0.006</v>
      </c>
      <c r="O19" s="154">
        <f aca="true" t="shared" si="21" ref="O19:V19">C19*12</f>
        <v>86.24952</v>
      </c>
      <c r="P19" s="154">
        <f t="shared" si="21"/>
        <v>86.24952</v>
      </c>
      <c r="Q19" s="154">
        <f t="shared" si="21"/>
        <v>86.24952</v>
      </c>
      <c r="R19" s="154">
        <f t="shared" si="21"/>
        <v>86.24952</v>
      </c>
      <c r="S19" s="154">
        <f t="shared" si="21"/>
        <v>86.24952</v>
      </c>
      <c r="T19" s="154">
        <f t="shared" si="21"/>
        <v>86.24952</v>
      </c>
      <c r="U19" s="154">
        <f t="shared" si="21"/>
        <v>86.24952</v>
      </c>
      <c r="V19" s="154">
        <f t="shared" si="21"/>
        <v>86.24952</v>
      </c>
    </row>
    <row r="21" spans="1:22" ht="12.75">
      <c r="A21" s="62" t="s">
        <v>82</v>
      </c>
      <c r="C21" s="201">
        <f>SUM(C22:C23)</f>
        <v>1.3333333333333333</v>
      </c>
      <c r="D21" s="201">
        <f aca="true" t="shared" si="22" ref="D21:I21">SUM(D22:D23)</f>
        <v>1.3333333333333333</v>
      </c>
      <c r="E21" s="201">
        <f t="shared" si="22"/>
        <v>1.3333333333333333</v>
      </c>
      <c r="F21" s="201">
        <f t="shared" si="22"/>
        <v>1.3333333333333333</v>
      </c>
      <c r="G21" s="201">
        <f t="shared" si="22"/>
        <v>1.3333333333333333</v>
      </c>
      <c r="H21" s="201">
        <f t="shared" si="22"/>
        <v>1.3333333333333333</v>
      </c>
      <c r="I21" s="201">
        <f t="shared" si="22"/>
        <v>1.3333333333333333</v>
      </c>
      <c r="J21" s="201">
        <f>SUM(J22:J23)</f>
        <v>1.3333333333333333</v>
      </c>
      <c r="M21" s="62" t="str">
        <f>A21</f>
        <v>Налоги (кроме налогов на ФЗП)</v>
      </c>
      <c r="O21" s="201">
        <f>SUM(O22:O23)</f>
        <v>16</v>
      </c>
      <c r="P21" s="201">
        <f aca="true" t="shared" si="23" ref="P21:U21">SUM(P22:P23)</f>
        <v>16</v>
      </c>
      <c r="Q21" s="201">
        <f t="shared" si="23"/>
        <v>16</v>
      </c>
      <c r="R21" s="201">
        <f t="shared" si="23"/>
        <v>16</v>
      </c>
      <c r="S21" s="201">
        <f t="shared" si="23"/>
        <v>16</v>
      </c>
      <c r="T21" s="201">
        <f t="shared" si="23"/>
        <v>16</v>
      </c>
      <c r="U21" s="201">
        <f t="shared" si="23"/>
        <v>16</v>
      </c>
      <c r="V21" s="201">
        <f>SUM(V22:V23)</f>
        <v>16</v>
      </c>
    </row>
    <row r="22" spans="1:22" ht="12.75">
      <c r="A22" s="81" t="s">
        <v>2</v>
      </c>
      <c r="B22" s="172">
        <f>Исх!C17</f>
        <v>0.015</v>
      </c>
      <c r="C22" s="154">
        <f>(C35+C38)/2*$B$22/12</f>
        <v>0</v>
      </c>
      <c r="D22" s="154">
        <f aca="true" t="shared" si="24" ref="D22:I22">(D35+D38)/2*$B$22/12</f>
        <v>0</v>
      </c>
      <c r="E22" s="154">
        <f>(E35+E38)/2*$B$22/12</f>
        <v>0</v>
      </c>
      <c r="F22" s="154">
        <f t="shared" si="24"/>
        <v>0</v>
      </c>
      <c r="G22" s="154">
        <f t="shared" si="24"/>
        <v>0</v>
      </c>
      <c r="H22" s="154">
        <f t="shared" si="24"/>
        <v>0</v>
      </c>
      <c r="I22" s="154">
        <f t="shared" si="24"/>
        <v>0</v>
      </c>
      <c r="J22" s="154">
        <f>(J35+J38)/2*$B$22/12</f>
        <v>0</v>
      </c>
      <c r="M22" s="81" t="s">
        <v>2</v>
      </c>
      <c r="N22" s="172">
        <f>B22</f>
        <v>0.015</v>
      </c>
      <c r="O22" s="154">
        <f aca="true" t="shared" si="25" ref="O22:V23">C22*12</f>
        <v>0</v>
      </c>
      <c r="P22" s="154">
        <f t="shared" si="25"/>
        <v>0</v>
      </c>
      <c r="Q22" s="154">
        <f t="shared" si="25"/>
        <v>0</v>
      </c>
      <c r="R22" s="154">
        <f t="shared" si="25"/>
        <v>0</v>
      </c>
      <c r="S22" s="154">
        <f t="shared" si="25"/>
        <v>0</v>
      </c>
      <c r="T22" s="154">
        <f t="shared" si="25"/>
        <v>0</v>
      </c>
      <c r="U22" s="154">
        <f t="shared" si="25"/>
        <v>0</v>
      </c>
      <c r="V22" s="154">
        <f t="shared" si="25"/>
        <v>0</v>
      </c>
    </row>
    <row r="23" spans="1:22" ht="12.75">
      <c r="A23" s="81" t="s">
        <v>101</v>
      </c>
      <c r="B23" s="81"/>
      <c r="C23" s="145">
        <f>16/12</f>
        <v>1.3333333333333333</v>
      </c>
      <c r="D23" s="154">
        <f aca="true" t="shared" si="26" ref="D23:J23">C23+C23*$E$2</f>
        <v>1.3333333333333333</v>
      </c>
      <c r="E23" s="154">
        <f t="shared" si="26"/>
        <v>1.3333333333333333</v>
      </c>
      <c r="F23" s="154">
        <f t="shared" si="26"/>
        <v>1.3333333333333333</v>
      </c>
      <c r="G23" s="154">
        <f t="shared" si="26"/>
        <v>1.3333333333333333</v>
      </c>
      <c r="H23" s="154">
        <f t="shared" si="26"/>
        <v>1.3333333333333333</v>
      </c>
      <c r="I23" s="154">
        <f t="shared" si="26"/>
        <v>1.3333333333333333</v>
      </c>
      <c r="J23" s="154">
        <f t="shared" si="26"/>
        <v>1.3333333333333333</v>
      </c>
      <c r="M23" s="81" t="s">
        <v>101</v>
      </c>
      <c r="N23" s="81"/>
      <c r="O23" s="154">
        <f t="shared" si="25"/>
        <v>16</v>
      </c>
      <c r="P23" s="154">
        <f t="shared" si="25"/>
        <v>16</v>
      </c>
      <c r="Q23" s="154">
        <f t="shared" si="25"/>
        <v>16</v>
      </c>
      <c r="R23" s="154">
        <f t="shared" si="25"/>
        <v>16</v>
      </c>
      <c r="S23" s="154">
        <f t="shared" si="25"/>
        <v>16</v>
      </c>
      <c r="T23" s="154">
        <f t="shared" si="25"/>
        <v>16</v>
      </c>
      <c r="U23" s="154">
        <f t="shared" si="25"/>
        <v>16</v>
      </c>
      <c r="V23" s="154">
        <f t="shared" si="25"/>
        <v>16</v>
      </c>
    </row>
    <row r="25" ht="12.75">
      <c r="C25" s="173"/>
    </row>
    <row r="26" spans="1:10" ht="12.75">
      <c r="A26" s="307" t="s">
        <v>83</v>
      </c>
      <c r="B26" s="307"/>
      <c r="C26" s="307"/>
      <c r="D26" s="307"/>
      <c r="E26" s="307"/>
      <c r="F26" s="307"/>
      <c r="G26" s="161"/>
      <c r="H26" s="161"/>
      <c r="I26" s="161"/>
      <c r="J26" s="161"/>
    </row>
    <row r="27" spans="1:10" ht="12.75">
      <c r="A27" s="141" t="s">
        <v>89</v>
      </c>
      <c r="B27" s="81"/>
      <c r="C27" s="142">
        <v>2013</v>
      </c>
      <c r="D27" s="142">
        <f aca="true" t="shared" si="27" ref="D27:J27">D4</f>
        <v>2014</v>
      </c>
      <c r="E27" s="142">
        <f t="shared" si="27"/>
        <v>2015</v>
      </c>
      <c r="F27" s="142">
        <f t="shared" si="27"/>
        <v>2016</v>
      </c>
      <c r="G27" s="142">
        <f t="shared" si="27"/>
        <v>2017</v>
      </c>
      <c r="H27" s="142">
        <f t="shared" si="27"/>
        <v>2018</v>
      </c>
      <c r="I27" s="142">
        <f t="shared" si="27"/>
        <v>2019</v>
      </c>
      <c r="J27" s="142">
        <f t="shared" si="27"/>
        <v>2020</v>
      </c>
    </row>
    <row r="28" spans="1:10" ht="12.75">
      <c r="A28" s="81" t="s">
        <v>84</v>
      </c>
      <c r="B28" s="174"/>
      <c r="C28" s="81"/>
      <c r="D28" s="81"/>
      <c r="E28" s="81"/>
      <c r="F28" s="81"/>
      <c r="G28" s="81"/>
      <c r="H28" s="81"/>
      <c r="I28" s="81"/>
      <c r="J28" s="81"/>
    </row>
    <row r="29" spans="1:10" ht="12.75">
      <c r="A29" s="81" t="s">
        <v>85</v>
      </c>
      <c r="B29" s="175"/>
      <c r="C29" s="154">
        <f>C35+C41+C47</f>
        <v>0</v>
      </c>
      <c r="D29" s="154">
        <f aca="true" t="shared" si="28" ref="D29:I29">D35+D41+D47</f>
        <v>4923.597337142856</v>
      </c>
      <c r="E29" s="154">
        <f t="shared" si="28"/>
        <v>4425.896142857142</v>
      </c>
      <c r="F29" s="154">
        <f t="shared" si="28"/>
        <v>3941.5485999999996</v>
      </c>
      <c r="G29" s="154">
        <f t="shared" si="28"/>
        <v>3457.201057142857</v>
      </c>
      <c r="H29" s="154">
        <f t="shared" si="28"/>
        <v>2972.8535142857145</v>
      </c>
      <c r="I29" s="154">
        <f t="shared" si="28"/>
        <v>2488.5059714285717</v>
      </c>
      <c r="J29" s="154">
        <f>J35+J41+J47</f>
        <v>2004.1584285714289</v>
      </c>
    </row>
    <row r="30" spans="1:10" ht="12.75">
      <c r="A30" s="81" t="s">
        <v>86</v>
      </c>
      <c r="B30" s="175"/>
      <c r="C30" s="154">
        <f>C36+C42+C48</f>
        <v>4843.475428571428</v>
      </c>
      <c r="D30" s="154">
        <f aca="true" t="shared" si="29" ref="D30:I30">D36+D42+D48</f>
        <v>0</v>
      </c>
      <c r="E30" s="154">
        <f t="shared" si="29"/>
        <v>0</v>
      </c>
      <c r="F30" s="154">
        <f t="shared" si="29"/>
        <v>0</v>
      </c>
      <c r="G30" s="154">
        <f t="shared" si="29"/>
        <v>0</v>
      </c>
      <c r="H30" s="154">
        <f t="shared" si="29"/>
        <v>0</v>
      </c>
      <c r="I30" s="154">
        <f t="shared" si="29"/>
        <v>0</v>
      </c>
      <c r="J30" s="154">
        <f>J36+J42+J48</f>
        <v>0</v>
      </c>
    </row>
    <row r="31" spans="1:10" ht="12.75">
      <c r="A31" s="156" t="s">
        <v>87</v>
      </c>
      <c r="B31" s="156"/>
      <c r="C31" s="155">
        <f>C37+C43+C49</f>
        <v>0</v>
      </c>
      <c r="D31" s="155">
        <f aca="true" t="shared" si="30" ref="D31:I31">D37+D43+D49</f>
        <v>484.3475428571428</v>
      </c>
      <c r="E31" s="155">
        <f>E37+E43+E49</f>
        <v>484.3475428571428</v>
      </c>
      <c r="F31" s="155">
        <f t="shared" si="30"/>
        <v>484.3475428571428</v>
      </c>
      <c r="G31" s="155">
        <f t="shared" si="30"/>
        <v>484.3475428571428</v>
      </c>
      <c r="H31" s="155">
        <f t="shared" si="30"/>
        <v>484.3475428571428</v>
      </c>
      <c r="I31" s="155">
        <f t="shared" si="30"/>
        <v>484.3475428571428</v>
      </c>
      <c r="J31" s="155">
        <f>J37+J43+J49</f>
        <v>484.3475428571428</v>
      </c>
    </row>
    <row r="32" spans="1:10" ht="12.75">
      <c r="A32" s="81" t="s">
        <v>88</v>
      </c>
      <c r="B32" s="175"/>
      <c r="C32" s="154">
        <f aca="true" t="shared" si="31" ref="C32:I32">C29+C30-C31</f>
        <v>4843.475428571428</v>
      </c>
      <c r="D32" s="154">
        <f t="shared" si="31"/>
        <v>4439.2497942857135</v>
      </c>
      <c r="E32" s="154">
        <f t="shared" si="31"/>
        <v>3941.548599999999</v>
      </c>
      <c r="F32" s="154">
        <f t="shared" si="31"/>
        <v>3457.201057142857</v>
      </c>
      <c r="G32" s="154">
        <f t="shared" si="31"/>
        <v>2972.853514285714</v>
      </c>
      <c r="H32" s="154">
        <f t="shared" si="31"/>
        <v>2488.5059714285717</v>
      </c>
      <c r="I32" s="154">
        <f t="shared" si="31"/>
        <v>2004.1584285714289</v>
      </c>
      <c r="J32" s="154">
        <f>J29+J30-J31</f>
        <v>1519.810885714286</v>
      </c>
    </row>
    <row r="33" spans="1:10" ht="12.75" hidden="1" outlineLevel="1">
      <c r="A33" s="79" t="s">
        <v>109</v>
      </c>
      <c r="C33" s="142"/>
      <c r="D33" s="142"/>
      <c r="E33" s="142"/>
      <c r="F33" s="142"/>
      <c r="G33" s="142"/>
      <c r="H33" s="142"/>
      <c r="I33" s="142"/>
      <c r="J33" s="142"/>
    </row>
    <row r="34" spans="1:10" ht="12.75" hidden="1" outlineLevel="1">
      <c r="A34" s="81" t="s">
        <v>84</v>
      </c>
      <c r="B34" s="176">
        <f>1/15</f>
        <v>0.06666666666666667</v>
      </c>
      <c r="C34" s="81"/>
      <c r="D34" s="81"/>
      <c r="E34" s="81"/>
      <c r="F34" s="81"/>
      <c r="G34" s="81"/>
      <c r="H34" s="81"/>
      <c r="I34" s="81"/>
      <c r="J34" s="81"/>
    </row>
    <row r="35" spans="1:10" ht="12.75" hidden="1" outlineLevel="1">
      <c r="A35" s="81" t="s">
        <v>85</v>
      </c>
      <c r="B35" s="175"/>
      <c r="C35" s="146"/>
      <c r="D35" s="154">
        <f aca="true" t="shared" si="32" ref="D35:J35">C38</f>
        <v>0</v>
      </c>
      <c r="E35" s="154">
        <f t="shared" si="32"/>
        <v>0</v>
      </c>
      <c r="F35" s="154">
        <f t="shared" si="32"/>
        <v>0</v>
      </c>
      <c r="G35" s="154">
        <f t="shared" si="32"/>
        <v>0</v>
      </c>
      <c r="H35" s="154">
        <f t="shared" si="32"/>
        <v>0</v>
      </c>
      <c r="I35" s="154">
        <f t="shared" si="32"/>
        <v>0</v>
      </c>
      <c r="J35" s="154">
        <f t="shared" si="32"/>
        <v>0</v>
      </c>
    </row>
    <row r="36" spans="1:10" ht="12.75" hidden="1" outlineLevel="1">
      <c r="A36" s="81" t="s">
        <v>86</v>
      </c>
      <c r="B36" s="175"/>
      <c r="C36" s="154">
        <f>Инв!Q5/Исх!$C$19</f>
        <v>0</v>
      </c>
      <c r="D36" s="154"/>
      <c r="E36" s="154"/>
      <c r="F36" s="154"/>
      <c r="G36" s="154"/>
      <c r="H36" s="154"/>
      <c r="I36" s="154"/>
      <c r="J36" s="154"/>
    </row>
    <row r="37" spans="1:10" ht="12.75" hidden="1" outlineLevel="1">
      <c r="A37" s="156" t="s">
        <v>87</v>
      </c>
      <c r="B37" s="156"/>
      <c r="C37" s="155">
        <f>$C36*$B34/12*0</f>
        <v>0</v>
      </c>
      <c r="D37" s="155">
        <f>$C36*$B34</f>
        <v>0</v>
      </c>
      <c r="E37" s="155">
        <f aca="true" t="shared" si="33" ref="E37:J37">$C36*$B34</f>
        <v>0</v>
      </c>
      <c r="F37" s="155">
        <f t="shared" si="33"/>
        <v>0</v>
      </c>
      <c r="G37" s="155">
        <f t="shared" si="33"/>
        <v>0</v>
      </c>
      <c r="H37" s="155">
        <f t="shared" si="33"/>
        <v>0</v>
      </c>
      <c r="I37" s="155">
        <f t="shared" si="33"/>
        <v>0</v>
      </c>
      <c r="J37" s="155">
        <f t="shared" si="33"/>
        <v>0</v>
      </c>
    </row>
    <row r="38" spans="1:10" ht="12.75" hidden="1" outlineLevel="1">
      <c r="A38" s="81" t="s">
        <v>88</v>
      </c>
      <c r="B38" s="175"/>
      <c r="C38" s="154">
        <f aca="true" t="shared" si="34" ref="C38:I38">C35+C36-C37</f>
        <v>0</v>
      </c>
      <c r="D38" s="154">
        <f t="shared" si="34"/>
        <v>0</v>
      </c>
      <c r="E38" s="154">
        <f t="shared" si="34"/>
        <v>0</v>
      </c>
      <c r="F38" s="154">
        <f t="shared" si="34"/>
        <v>0</v>
      </c>
      <c r="G38" s="154">
        <f t="shared" si="34"/>
        <v>0</v>
      </c>
      <c r="H38" s="154">
        <f t="shared" si="34"/>
        <v>0</v>
      </c>
      <c r="I38" s="154">
        <f t="shared" si="34"/>
        <v>0</v>
      </c>
      <c r="J38" s="154">
        <f>J35+J36-J37</f>
        <v>0</v>
      </c>
    </row>
    <row r="39" spans="1:10" ht="12.75" hidden="1" outlineLevel="1">
      <c r="A39" s="79" t="s">
        <v>105</v>
      </c>
      <c r="C39" s="142"/>
      <c r="D39" s="142"/>
      <c r="E39" s="142"/>
      <c r="F39" s="142"/>
      <c r="G39" s="142"/>
      <c r="H39" s="142"/>
      <c r="I39" s="142"/>
      <c r="J39" s="142"/>
    </row>
    <row r="40" spans="1:10" ht="12.75" hidden="1" outlineLevel="1">
      <c r="A40" s="81" t="s">
        <v>84</v>
      </c>
      <c r="B40" s="176">
        <f>1/10</f>
        <v>0.1</v>
      </c>
      <c r="C40" s="81"/>
      <c r="D40" s="81"/>
      <c r="E40" s="81"/>
      <c r="F40" s="81"/>
      <c r="G40" s="81"/>
      <c r="H40" s="81"/>
      <c r="I40" s="81"/>
      <c r="J40" s="81"/>
    </row>
    <row r="41" spans="1:10" ht="12.75" hidden="1" outlineLevel="1">
      <c r="A41" s="81" t="s">
        <v>85</v>
      </c>
      <c r="B41" s="175"/>
      <c r="C41" s="154"/>
      <c r="D41" s="154">
        <f>Инв!B23</f>
        <v>747.80448</v>
      </c>
      <c r="E41" s="154">
        <f>Инв!C23</f>
        <v>667.6825714285714</v>
      </c>
      <c r="F41" s="154">
        <f>E44</f>
        <v>600.9143142857142</v>
      </c>
      <c r="G41" s="154">
        <f>F44</f>
        <v>534.1460571428571</v>
      </c>
      <c r="H41" s="154">
        <f>G44</f>
        <v>467.3778</v>
      </c>
      <c r="I41" s="154">
        <f>H44</f>
        <v>400.60954285714286</v>
      </c>
      <c r="J41" s="154">
        <f>I44</f>
        <v>333.84128571428573</v>
      </c>
    </row>
    <row r="42" spans="1:10" ht="12.75" hidden="1" outlineLevel="1">
      <c r="A42" s="81" t="s">
        <v>86</v>
      </c>
      <c r="B42" s="175"/>
      <c r="C42" s="154">
        <f>Инв!Q8/Исх!$C$19</f>
        <v>667.6825714285714</v>
      </c>
      <c r="D42" s="154"/>
      <c r="E42" s="154"/>
      <c r="F42" s="154"/>
      <c r="G42" s="154"/>
      <c r="H42" s="154"/>
      <c r="I42" s="154"/>
      <c r="J42" s="154"/>
    </row>
    <row r="43" spans="1:10" ht="12.75" hidden="1" outlineLevel="1">
      <c r="A43" s="156" t="s">
        <v>87</v>
      </c>
      <c r="B43" s="156"/>
      <c r="C43" s="155">
        <f>$C42*$B40/12*0</f>
        <v>0</v>
      </c>
      <c r="D43" s="155">
        <f aca="true" t="shared" si="35" ref="D43:J43">$C42*$B40</f>
        <v>66.76825714285714</v>
      </c>
      <c r="E43" s="155">
        <f t="shared" si="35"/>
        <v>66.76825714285714</v>
      </c>
      <c r="F43" s="155">
        <f t="shared" si="35"/>
        <v>66.76825714285714</v>
      </c>
      <c r="G43" s="155">
        <f t="shared" si="35"/>
        <v>66.76825714285714</v>
      </c>
      <c r="H43" s="155">
        <f t="shared" si="35"/>
        <v>66.76825714285714</v>
      </c>
      <c r="I43" s="155">
        <f t="shared" si="35"/>
        <v>66.76825714285714</v>
      </c>
      <c r="J43" s="155">
        <f t="shared" si="35"/>
        <v>66.76825714285714</v>
      </c>
    </row>
    <row r="44" spans="1:10" ht="12.75" hidden="1" outlineLevel="1">
      <c r="A44" s="81" t="s">
        <v>88</v>
      </c>
      <c r="B44" s="175"/>
      <c r="C44" s="154">
        <f aca="true" t="shared" si="36" ref="C44:I44">C41+C42-C43</f>
        <v>667.6825714285714</v>
      </c>
      <c r="D44" s="154">
        <f t="shared" si="36"/>
        <v>681.0362228571429</v>
      </c>
      <c r="E44" s="154">
        <f t="shared" si="36"/>
        <v>600.9143142857142</v>
      </c>
      <c r="F44" s="154">
        <f t="shared" si="36"/>
        <v>534.1460571428571</v>
      </c>
      <c r="G44" s="154">
        <f t="shared" si="36"/>
        <v>467.3778</v>
      </c>
      <c r="H44" s="154">
        <f t="shared" si="36"/>
        <v>400.60954285714286</v>
      </c>
      <c r="I44" s="154">
        <f t="shared" si="36"/>
        <v>333.84128571428573</v>
      </c>
      <c r="J44" s="154">
        <f>J41+J42-J43</f>
        <v>267.0730285714286</v>
      </c>
    </row>
    <row r="45" spans="1:10" ht="12.75" hidden="1" outlineLevel="1">
      <c r="A45" s="79" t="s">
        <v>190</v>
      </c>
      <c r="C45" s="142"/>
      <c r="D45" s="142"/>
      <c r="E45" s="142"/>
      <c r="F45" s="142"/>
      <c r="G45" s="142"/>
      <c r="H45" s="142"/>
      <c r="I45" s="142"/>
      <c r="J45" s="142"/>
    </row>
    <row r="46" spans="1:10" ht="12.75" hidden="1" outlineLevel="1">
      <c r="A46" s="81" t="s">
        <v>84</v>
      </c>
      <c r="B46" s="176">
        <f>1/10</f>
        <v>0.1</v>
      </c>
      <c r="C46" s="81"/>
      <c r="D46" s="81"/>
      <c r="E46" s="81"/>
      <c r="F46" s="81"/>
      <c r="G46" s="81"/>
      <c r="H46" s="81"/>
      <c r="I46" s="81"/>
      <c r="J46" s="81"/>
    </row>
    <row r="47" spans="1:10" ht="12.75" hidden="1" outlineLevel="1">
      <c r="A47" s="81" t="s">
        <v>85</v>
      </c>
      <c r="B47" s="175"/>
      <c r="C47" s="154"/>
      <c r="D47" s="154">
        <f aca="true" t="shared" si="37" ref="D47:J47">C50</f>
        <v>4175.7928571428565</v>
      </c>
      <c r="E47" s="154">
        <f t="shared" si="37"/>
        <v>3758.213571428571</v>
      </c>
      <c r="F47" s="154">
        <f t="shared" si="37"/>
        <v>3340.6342857142854</v>
      </c>
      <c r="G47" s="154">
        <f t="shared" si="37"/>
        <v>2923.055</v>
      </c>
      <c r="H47" s="154">
        <f t="shared" si="37"/>
        <v>2505.4757142857143</v>
      </c>
      <c r="I47" s="154">
        <f t="shared" si="37"/>
        <v>2087.8964285714287</v>
      </c>
      <c r="J47" s="154">
        <f t="shared" si="37"/>
        <v>1670.3171428571432</v>
      </c>
    </row>
    <row r="48" spans="1:10" ht="12.75" hidden="1" outlineLevel="1">
      <c r="A48" s="81" t="s">
        <v>86</v>
      </c>
      <c r="B48" s="175"/>
      <c r="C48" s="154">
        <f>Инв!Q16/Исх!$C$19</f>
        <v>4175.7928571428565</v>
      </c>
      <c r="D48" s="154"/>
      <c r="E48" s="154"/>
      <c r="F48" s="154"/>
      <c r="G48" s="154"/>
      <c r="H48" s="154"/>
      <c r="I48" s="154"/>
      <c r="J48" s="154"/>
    </row>
    <row r="49" spans="1:10" ht="12.75" hidden="1" outlineLevel="1">
      <c r="A49" s="156" t="s">
        <v>87</v>
      </c>
      <c r="B49" s="156"/>
      <c r="C49" s="155">
        <f>$C48*$B46/12*0</f>
        <v>0</v>
      </c>
      <c r="D49" s="155">
        <f aca="true" t="shared" si="38" ref="D49:J49">$C48*$B46</f>
        <v>417.5792857142857</v>
      </c>
      <c r="E49" s="155">
        <f t="shared" si="38"/>
        <v>417.5792857142857</v>
      </c>
      <c r="F49" s="155">
        <f t="shared" si="38"/>
        <v>417.5792857142857</v>
      </c>
      <c r="G49" s="155">
        <f t="shared" si="38"/>
        <v>417.5792857142857</v>
      </c>
      <c r="H49" s="155">
        <f t="shared" si="38"/>
        <v>417.5792857142857</v>
      </c>
      <c r="I49" s="155">
        <f t="shared" si="38"/>
        <v>417.5792857142857</v>
      </c>
      <c r="J49" s="155">
        <f t="shared" si="38"/>
        <v>417.5792857142857</v>
      </c>
    </row>
    <row r="50" spans="1:10" ht="12.75" hidden="1" outlineLevel="1">
      <c r="A50" s="81" t="s">
        <v>88</v>
      </c>
      <c r="B50" s="175"/>
      <c r="C50" s="154">
        <f aca="true" t="shared" si="39" ref="C50:I50">C47+C48-C49</f>
        <v>4175.7928571428565</v>
      </c>
      <c r="D50" s="154">
        <f t="shared" si="39"/>
        <v>3758.213571428571</v>
      </c>
      <c r="E50" s="154">
        <f t="shared" si="39"/>
        <v>3340.6342857142854</v>
      </c>
      <c r="F50" s="154">
        <f t="shared" si="39"/>
        <v>2923.055</v>
      </c>
      <c r="G50" s="154">
        <f t="shared" si="39"/>
        <v>2505.4757142857143</v>
      </c>
      <c r="H50" s="154">
        <f t="shared" si="39"/>
        <v>2087.8964285714287</v>
      </c>
      <c r="I50" s="154">
        <f t="shared" si="39"/>
        <v>1670.3171428571432</v>
      </c>
      <c r="J50" s="154">
        <f>J47+J48-J49</f>
        <v>1252.7378571428576</v>
      </c>
    </row>
    <row r="51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2013-09-26T14:39:57Z</cp:lastPrinted>
  <dcterms:created xsi:type="dcterms:W3CDTF">2006-03-01T15:11:19Z</dcterms:created>
  <dcterms:modified xsi:type="dcterms:W3CDTF">2013-09-29T05:59:17Z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