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9" activeTab="1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Производство" sheetId="6" r:id="rId6"/>
    <sheet name="Расх перем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5">#REF!</definedName>
    <definedName name="Ed." localSheetId="6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5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5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5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5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5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5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5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5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5">'[59]Главн'!$C$35</definedName>
    <definedName name="inf">'[21]Главн'!$C$35</definedName>
    <definedName name="kpn1" localSheetId="9">'[32]Главн'!$D$46</definedName>
    <definedName name="kpn1" localSheetId="5">'[59]Главн'!$D$46</definedName>
    <definedName name="kpn1">'[21]Главн'!$D$46</definedName>
    <definedName name="kpn2" localSheetId="9">'[32]Главн'!$E$46</definedName>
    <definedName name="kpn2" localSheetId="5">'[59]Главн'!$E$46</definedName>
    <definedName name="kpn2">'[21]Главн'!$E$46</definedName>
    <definedName name="kpn3" localSheetId="9">'[32]Главн'!$F$46</definedName>
    <definedName name="kpn3" localSheetId="5">'[59]Главн'!$F$46</definedName>
    <definedName name="kpn3">'[21]Главн'!$F$46</definedName>
    <definedName name="kpn4" localSheetId="9">'[32]Главн'!$G$46</definedName>
    <definedName name="kpn4" localSheetId="5">'[59]Главн'!$G$46</definedName>
    <definedName name="kpn4">'[21]Главн'!$G$46</definedName>
    <definedName name="kpn5" localSheetId="9">'[32]Главн'!$H$46</definedName>
    <definedName name="kpn5" localSheetId="5">'[59]Главн'!$H$46</definedName>
    <definedName name="kpn5">'[21]Главн'!$H$46</definedName>
    <definedName name="kpn6" localSheetId="9">'[32]Главн'!$I$46</definedName>
    <definedName name="kpn6" localSheetId="5">'[59]Главн'!$I$46</definedName>
    <definedName name="kpn6">'[21]Главн'!$I$46</definedName>
    <definedName name="kpn7" localSheetId="9">'[32]Главн'!$J$46</definedName>
    <definedName name="kpn7" localSheetId="5">'[59]Главн'!$J$46</definedName>
    <definedName name="kpn7">'[21]Главн'!$J$46</definedName>
    <definedName name="kpn8" localSheetId="9">'[32]Главн'!$K$46</definedName>
    <definedName name="kpn8" localSheetId="5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5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5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5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5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5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5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5">'[59]Главн'!$C$2</definedName>
    <definedName name="name">'[21]Главн'!$C$2</definedName>
    <definedName name="nds1" localSheetId="9">'[32]Главн'!$D$42</definedName>
    <definedName name="nds1" localSheetId="5">'[59]Главн'!$D$42</definedName>
    <definedName name="nds1">'[21]Главн'!$D$42</definedName>
    <definedName name="nds2" localSheetId="9">'[32]Главн'!$E$42</definedName>
    <definedName name="nds2" localSheetId="5">'[59]Главн'!$E$42</definedName>
    <definedName name="nds2">'[21]Главн'!$E$42</definedName>
    <definedName name="nds3" localSheetId="9">'[32]Главн'!$F$42</definedName>
    <definedName name="nds3" localSheetId="5">'[59]Главн'!$F$42</definedName>
    <definedName name="nds3">'[21]Главн'!$F$42</definedName>
    <definedName name="nds4" localSheetId="9">'[32]Главн'!$G$42</definedName>
    <definedName name="nds4" localSheetId="5">'[59]Главн'!$G$42</definedName>
    <definedName name="nds4">'[21]Главн'!$G$42</definedName>
    <definedName name="nds5" localSheetId="9">'[32]Главн'!$H$42</definedName>
    <definedName name="nds5" localSheetId="5">'[59]Главн'!$H$42</definedName>
    <definedName name="nds5">'[21]Главн'!$H$42</definedName>
    <definedName name="nds6" localSheetId="9">'[32]Главн'!$I$42</definedName>
    <definedName name="nds6" localSheetId="5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5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5">'[7]Свод'!#REF!</definedName>
    <definedName name="RUR" localSheetId="6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5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5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5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5">'[61]объекты обществаКокшетау'!#REF!</definedName>
    <definedName name="баланс_стоимость" localSheetId="6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5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5">#REF!</definedName>
    <definedName name="ВалП1" localSheetId="6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5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5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5">'[61]объекты обществаКокшетау'!#REF!</definedName>
    <definedName name="всего_долл" localSheetId="6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5">#REF!</definedName>
    <definedName name="долл" localSheetId="6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5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5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5">#REF!</definedName>
    <definedName name="дсша" localSheetId="6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5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5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5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5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5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5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5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5">#REF!</definedName>
    <definedName name="Инт" localSheetId="6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5">'[61]объекты обществаКокшетау'!#REF!</definedName>
    <definedName name="итого_в_долл" localSheetId="6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5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5">#REF!</definedName>
    <definedName name="кндс" localSheetId="6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5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5">#REF!</definedName>
    <definedName name="компресс" localSheetId="6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5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5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5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5">'[61]объекты обществаКокшетау'!#REF!</definedName>
    <definedName name="курс_НБРК" localSheetId="6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5">#REF!</definedName>
    <definedName name="Курс1" localSheetId="6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5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5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5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5">#REF!</definedName>
    <definedName name="металлоформы" localSheetId="6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5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5">'[58]Исх'!$C$7</definedName>
    <definedName name="НДС" localSheetId="7">'ФОТ'!#REF!</definedName>
    <definedName name="ндс">'Исх'!$C$18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5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'1-Ф3'!$A$1:$AU$34</definedName>
    <definedName name="_xlnm.Print_Area" localSheetId="1">'2-ф2'!$A$1:$AU$27</definedName>
    <definedName name="_xlnm.Print_Area" localSheetId="2">'3-Баланс'!$A$1:$AU$26</definedName>
    <definedName name="_xlnm.Print_Area" localSheetId="10">'Инв'!$A$1:$R$22</definedName>
    <definedName name="_xlnm.Print_Area" localSheetId="3">'Исх'!$A$1:$M$45</definedName>
    <definedName name="_xlnm.Print_Area" localSheetId="9">'кр'!$A$1:$DO$29</definedName>
    <definedName name="_xlnm.Print_Area" localSheetId="12">'Осн.пок-ли'!$A$1:$J$66</definedName>
    <definedName name="_xlnm.Print_Area" localSheetId="8">'Пост'!$A$1:$V$50</definedName>
    <definedName name="_xlnm.Print_Area" localSheetId="5">'Производство'!$A$1:$AU$13</definedName>
    <definedName name="_xlnm.Print_Area" localSheetId="6">'Расх перем'!$A$1:$G$15</definedName>
    <definedName name="_xlnm.Print_Area" localSheetId="7">'ФОТ'!$A$1:$K$25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5">'Производство'!#REF!</definedName>
    <definedName name="обм" localSheetId="6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5">#REF!</definedName>
    <definedName name="оборудование_ЖД" localSheetId="6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5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5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5">#REF!</definedName>
    <definedName name="подстанция" localSheetId="6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5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5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5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5">#REF!</definedName>
    <definedName name="рбу" localSheetId="6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5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5">#REF!</definedName>
    <definedName name="руб" localSheetId="6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5">'Производство'!#REF!</definedName>
    <definedName name="себ" localSheetId="6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5">#REF!</definedName>
    <definedName name="склад_продукции" localSheetId="6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5">#REF!</definedName>
    <definedName name="склад_цем" localSheetId="6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5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5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5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5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5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5">#REF!</definedName>
    <definedName name="спецодежда" localSheetId="6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5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5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5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5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5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5">'[61]объекты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5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5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5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5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5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5">#REF!</definedName>
    <definedName name="тг" localSheetId="6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5">#REF!</definedName>
    <definedName name="ТовРеал1" localSheetId="6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5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5">'[9]Дох'!#REF!</definedName>
    <definedName name="Цена_бобов" localSheetId="6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5">#REF!</definedName>
    <definedName name="цех_пби" localSheetId="6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1.xml><?xml version="1.0" encoding="utf-8"?>
<comments xmlns="http://schemas.openxmlformats.org/spreadsheetml/2006/main">
  <authors>
    <author>МСБ консалтинг</author>
  </authors>
  <commentList>
    <comment ref="O12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запас на 1,5-2 месяца</t>
        </r>
      </text>
    </comment>
  </commentList>
</comments>
</file>

<file path=xl/sharedStrings.xml><?xml version="1.0" encoding="utf-8"?>
<sst xmlns="http://schemas.openxmlformats.org/spreadsheetml/2006/main" count="591" uniqueCount="372">
  <si>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</si>
  <si>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</si>
  <si>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</si>
  <si>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</si>
  <si>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</si>
  <si>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</si>
  <si>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</si>
  <si>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</si>
  <si>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</si>
  <si>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</si>
  <si>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</si>
  <si>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</si>
  <si>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</si>
  <si>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</si>
  <si>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</si>
  <si>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</si>
  <si>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</si>
  <si>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</si>
  <si>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</si>
  <si>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</si>
  <si>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</si>
  <si>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</si>
  <si>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</si>
  <si>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</si>
  <si>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</si>
  <si>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</si>
  <si>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</si>
  <si>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</si>
  <si>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</si>
  <si>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</si>
  <si>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</si>
  <si>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</si>
  <si>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</si>
  <si>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</si>
  <si>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</si>
  <si>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</si>
  <si>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</si>
  <si>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</si>
  <si>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</si>
  <si>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</si>
  <si>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</si>
  <si>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</si>
  <si>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</si>
  <si>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</si>
  <si>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</si>
  <si>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</si>
  <si>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</si>
  <si>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</si>
  <si>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</si>
  <si>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</si>
  <si>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</si>
  <si>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</si>
  <si>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</si>
  <si>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</si>
  <si>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</si>
  <si>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</si>
  <si>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</si>
  <si>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</si>
  <si>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</si>
  <si>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</si>
  <si>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</si>
  <si>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</si>
  <si>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</si>
  <si>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</si>
  <si>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</si>
  <si>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</si>
  <si>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</si>
  <si>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</si>
  <si>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</si>
  <si>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</si>
  <si>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</si>
  <si>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</si>
  <si>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</si>
  <si>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</si>
  <si>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</si>
  <si>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</si>
  <si>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</si>
  <si>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</si>
  <si>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</si>
  <si>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</si>
  <si>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</si>
  <si>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</si>
  <si>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</si>
  <si>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</si>
  <si>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</si>
  <si>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</si>
  <si>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</si>
  <si>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</si>
  <si>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</si>
  <si>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</si>
  <si>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</si>
  <si>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</si>
  <si>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</si>
  <si>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</si>
  <si>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</si>
  <si>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</si>
  <si>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</si>
  <si>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</si>
  <si>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</si>
  <si>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</si>
  <si>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Обслуживание и ремонт ОС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</si>
  <si>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</si>
  <si>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</si>
  <si>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</si>
  <si>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</si>
  <si>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</si>
  <si>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</si>
  <si>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</si>
  <si>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</si>
  <si>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</si>
  <si>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</si>
  <si>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</si>
  <si>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</si>
  <si>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</si>
  <si>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</si>
  <si>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</si>
  <si>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</si>
  <si>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</si>
  <si>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</si>
  <si>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</si>
  <si>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</si>
  <si>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</si>
  <si>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</si>
  <si>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</si>
  <si>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</si>
  <si>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</si>
  <si>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</si>
  <si>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</si>
  <si>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</si>
  <si>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</si>
  <si>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</si>
  <si>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</si>
  <si>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</si>
  <si>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</si>
  <si>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</si>
  <si>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</si>
  <si>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</si>
  <si>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</si>
  <si>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</si>
  <si>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</si>
  <si>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</si>
  <si>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</si>
  <si>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</si>
  <si>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</si>
  <si>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</si>
  <si>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</si>
  <si>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</si>
  <si>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</si>
  <si>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</si>
  <si>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</si>
  <si>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</si>
  <si>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</si>
  <si>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</si>
  <si>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</si>
  <si>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</si>
  <si>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</si>
  <si>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</si>
  <si>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</si>
  <si>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</si>
  <si>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</si>
  <si>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</si>
  <si>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</si>
  <si>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</si>
  <si>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</si>
  <si>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</si>
  <si>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</si>
  <si>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</si>
  <si>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</si>
  <si>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</si>
  <si>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</si>
  <si>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</si>
  <si>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</si>
  <si>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</si>
  <si>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</si>
  <si>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</si>
  <si>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</si>
  <si>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</si>
  <si>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</si>
  <si>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</si>
  <si>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</si>
  <si>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</si>
  <si>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</si>
  <si>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</si>
  <si>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</si>
  <si>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</si>
  <si>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</si>
  <si>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Величина налоговых поступлений за 7 лет, тыс.тг.</t>
  </si>
  <si>
    <t>Налоги и обязательные платежи от ФОТ</t>
  </si>
  <si>
    <t>Вид налога</t>
  </si>
  <si>
    <t>Сумма, тыс.тг.</t>
  </si>
  <si>
    <t>Техника</t>
  </si>
  <si>
    <t>Продукция</t>
  </si>
  <si>
    <t>Производство</t>
  </si>
  <si>
    <t>ед.изм.</t>
  </si>
  <si>
    <t>Срок погашения, лет</t>
  </si>
  <si>
    <t>Переменные расходы</t>
  </si>
  <si>
    <t>Производительность</t>
  </si>
  <si>
    <t>Цены на продукцию</t>
  </si>
  <si>
    <t>Загрузка, %</t>
  </si>
  <si>
    <t>Сырье и материалы</t>
  </si>
  <si>
    <t>Мощность, %</t>
  </si>
  <si>
    <t>дн./мес.</t>
  </si>
  <si>
    <t>Доход до выплаты налогов</t>
  </si>
  <si>
    <t>Наименование материала</t>
  </si>
  <si>
    <t>Расходы, тыс.тг.</t>
  </si>
  <si>
    <t>Источник финансирования, тыс.тг.</t>
  </si>
  <si>
    <t>Примечание</t>
  </si>
  <si>
    <t>Доля собственного участия</t>
  </si>
  <si>
    <t>Время работы в мес.</t>
  </si>
  <si>
    <t>КПН</t>
  </si>
  <si>
    <t>Месячная производительность</t>
  </si>
  <si>
    <t>Цены</t>
  </si>
  <si>
    <t>Коммунальные расходы</t>
  </si>
  <si>
    <t>Корпоративный подоходный налог</t>
  </si>
  <si>
    <t>НК РК</t>
  </si>
  <si>
    <t>Ед.изм.</t>
  </si>
  <si>
    <t>с НДС</t>
  </si>
  <si>
    <t>Цена, тенге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</si>
  <si>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</si>
  <si>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</si>
  <si>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</si>
  <si>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</si>
  <si>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</si>
  <si>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</si>
  <si>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</si>
  <si>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</si>
  <si>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</si>
  <si>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</si>
  <si>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</si>
  <si>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</si>
  <si>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</si>
  <si>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исходя из дневной производительности и дней работы</t>
  </si>
  <si>
    <t>цена, тг.</t>
  </si>
  <si>
    <t>Производство и реализация</t>
  </si>
  <si>
    <t>Реализация</t>
  </si>
  <si>
    <t>контроль</t>
  </si>
  <si>
    <t>Оператор</t>
  </si>
  <si>
    <t>Доля в выручке</t>
  </si>
  <si>
    <t>Итого себестоимость полная</t>
  </si>
  <si>
    <t>Постоянные расходы на единицу</t>
  </si>
  <si>
    <t>Постоянные расходы всего, тыс.тг.</t>
  </si>
  <si>
    <t>Контроль</t>
  </si>
  <si>
    <t>ГСМ</t>
  </si>
  <si>
    <t>кВт</t>
  </si>
  <si>
    <t>Фактор сезонности продаж</t>
  </si>
  <si>
    <t>Директор</t>
  </si>
  <si>
    <t>Главный бухгалтер</t>
  </si>
  <si>
    <t>Водитель</t>
  </si>
  <si>
    <t>Рентабельность, %</t>
  </si>
  <si>
    <t>Спецодежда, перчатки, хоз.товары</t>
  </si>
  <si>
    <t>Услуги банка</t>
  </si>
  <si>
    <t>Канц.товары</t>
  </si>
  <si>
    <t>Незавершенное строительство</t>
  </si>
  <si>
    <t>Аннуитет</t>
  </si>
  <si>
    <t>Погашение ОД равными долями</t>
  </si>
  <si>
    <t>аннуитет</t>
  </si>
  <si>
    <t>Финансовые показатели</t>
  </si>
  <si>
    <t>Проведение маркетингового исследования и разработка бизнес-плана</t>
  </si>
  <si>
    <t>Первоначальные инвестиции</t>
  </si>
  <si>
    <t>Постоянные расходы в год</t>
  </si>
  <si>
    <t>тг./кВт*ч с НДС</t>
  </si>
  <si>
    <t>Продолжительность 1 смены</t>
  </si>
  <si>
    <t>час</t>
  </si>
  <si>
    <t>Прибыль, тг./ед.</t>
  </si>
  <si>
    <t>Количество смен</t>
  </si>
  <si>
    <t>смен/сутки</t>
  </si>
  <si>
    <t>Электроэнергия</t>
  </si>
  <si>
    <t>ДТ за оборудование</t>
  </si>
  <si>
    <t>Ввод ОС (с НДС)</t>
  </si>
  <si>
    <t>СВОД</t>
  </si>
  <si>
    <t>Транш 1</t>
  </si>
  <si>
    <t>Транш 2</t>
  </si>
  <si>
    <t>Параметр</t>
  </si>
  <si>
    <t>Условия кредитования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</si>
  <si>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</si>
  <si>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</si>
  <si>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</si>
  <si>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</si>
  <si>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Показатели эффективности проекта</t>
  </si>
  <si>
    <t>Планируемая программа производства</t>
  </si>
  <si>
    <t>июл</t>
  </si>
  <si>
    <t>авг</t>
  </si>
  <si>
    <t>сен</t>
  </si>
  <si>
    <t>окт</t>
  </si>
  <si>
    <t>ноя</t>
  </si>
  <si>
    <t>дек</t>
  </si>
  <si>
    <t>янв</t>
  </si>
  <si>
    <t>2013 год</t>
  </si>
  <si>
    <t>% повышения</t>
  </si>
  <si>
    <t>ведение счета + снятие наличных</t>
  </si>
  <si>
    <t>буклеты, флаера</t>
  </si>
  <si>
    <t>Услуги охранной фирмы</t>
  </si>
  <si>
    <t>Доля от год продаж</t>
  </si>
  <si>
    <t>В среднем</t>
  </si>
  <si>
    <t>Себестоимость, тг./ед.</t>
  </si>
  <si>
    <t>производственная</t>
  </si>
  <si>
    <t>полная</t>
  </si>
  <si>
    <t>чистая</t>
  </si>
  <si>
    <t>Цена, тг.</t>
  </si>
  <si>
    <t>НБ РК</t>
  </si>
  <si>
    <t>Курс кит.юань/тенге</t>
  </si>
  <si>
    <t>Ввод ОС (без НДС)</t>
  </si>
  <si>
    <t>Нормы, нормативы</t>
  </si>
  <si>
    <t>Обслуживающий персонал</t>
  </si>
  <si>
    <t>Мощность оборудования</t>
  </si>
  <si>
    <t>Расход электроэнергии</t>
  </si>
  <si>
    <t>кВт*ч/мес</t>
  </si>
  <si>
    <t>7% субсидирование</t>
  </si>
  <si>
    <t>Остаток денежных средств на начало</t>
  </si>
  <si>
    <t>Собственные средства</t>
  </si>
  <si>
    <t>Инвестиции в основной капитал</t>
  </si>
  <si>
    <t>Чистый денежный поток (к изъятию), тыс.тг.</t>
  </si>
  <si>
    <t>Индекс окупаемости инвестиций (PI)</t>
  </si>
  <si>
    <t>2014 год</t>
  </si>
  <si>
    <t>Оплата за оборудование</t>
  </si>
  <si>
    <t>Начало производства</t>
  </si>
  <si>
    <t>Начало продаж</t>
  </si>
  <si>
    <t>Поставка оборудования</t>
  </si>
  <si>
    <t>Производственный персонал</t>
  </si>
  <si>
    <t>Остаток продукции</t>
  </si>
  <si>
    <t>кВт*ч</t>
  </si>
  <si>
    <t>Электрик-механик</t>
  </si>
  <si>
    <t>Аренда помещения</t>
  </si>
  <si>
    <t>теплоэнергия</t>
  </si>
  <si>
    <t>тревожная кнопка</t>
  </si>
  <si>
    <t>Налог на транспорт, прочие налоги и сборы</t>
  </si>
  <si>
    <t>Приобретение техники</t>
  </si>
  <si>
    <t>Поиск и найм персонала</t>
  </si>
  <si>
    <t>Поиск и аренда помещения</t>
  </si>
  <si>
    <t>Основные параметры проекта</t>
  </si>
  <si>
    <t>Производство текстильных покрытий, включающих  ковры, паласы и половики, напольные покрытия</t>
  </si>
  <si>
    <t>http://www.openbusiness.ru/html/dop10/proizvodstvo-kovrov.htm</t>
  </si>
  <si>
    <t>Тканкий станок</t>
  </si>
  <si>
    <t>Покрывная машина для нанесения латекса + сушильная камера</t>
  </si>
  <si>
    <t>http://www.avtogaz.ru/evroplatforma/</t>
  </si>
  <si>
    <t>ГАЗ 2310 Соболь евроборт. ГУР</t>
  </si>
  <si>
    <t>м/час</t>
  </si>
  <si>
    <t>Ковер</t>
  </si>
  <si>
    <t>м/мес</t>
  </si>
  <si>
    <t>250 м за 8-часовой раб.день</t>
  </si>
  <si>
    <t>тг/м (с НДС)</t>
  </si>
  <si>
    <t>Латекс</t>
  </si>
  <si>
    <t>Краска</t>
  </si>
  <si>
    <t>Смешанная пряжа (акрил+шерсть)</t>
  </si>
  <si>
    <t>тг/кг (с НДС)</t>
  </si>
  <si>
    <t>тг/л (с НДС)</t>
  </si>
  <si>
    <t>тг./л (с НДС)</t>
  </si>
  <si>
    <t>кг/м</t>
  </si>
  <si>
    <t>л/м</t>
  </si>
  <si>
    <t>м</t>
  </si>
  <si>
    <t>полушерстяной</t>
  </si>
  <si>
    <t>кг</t>
  </si>
  <si>
    <t>л</t>
  </si>
  <si>
    <t>Норма расхода на 1 м</t>
  </si>
  <si>
    <t>Сумма на 1 м, тг.</t>
  </si>
  <si>
    <t>Технолог</t>
  </si>
  <si>
    <t>Дизайнер</t>
  </si>
  <si>
    <t>Разнорабочий</t>
  </si>
  <si>
    <t>1 час - технологические нужды</t>
  </si>
  <si>
    <t>5-дневная рабочая неделя</t>
  </si>
  <si>
    <t>из расчета 20 л в день</t>
  </si>
  <si>
    <t>Менеджер по продажам</t>
  </si>
  <si>
    <t>Зав.складом</t>
  </si>
  <si>
    <t>Охранник</t>
  </si>
  <si>
    <t>600 м2 * 1 200 тг/м2</t>
  </si>
  <si>
    <t>Ковер, пог.м.</t>
  </si>
  <si>
    <t>Показатель (5 год реализации проекта)</t>
  </si>
  <si>
    <t>Доход от реализации</t>
  </si>
  <si>
    <t>Полная себестоимость</t>
  </si>
  <si>
    <t>Тип погашения основного долга</t>
  </si>
  <si>
    <t>Доход от реализации продукции</t>
  </si>
  <si>
    <t>Себестоимость реализ. продукции</t>
  </si>
</sst>
</file>

<file path=xl/styles.xml><?xml version="1.0" encoding="utf-8"?>
<styleSheet xmlns="http://schemas.openxmlformats.org/spreadsheetml/2006/main">
  <numFmts count="5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name val="Calibri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16" fillId="0" borderId="0" xfId="71" applyFont="1" applyFill="1" applyBorder="1" applyAlignment="1">
      <alignment/>
      <protection/>
    </xf>
    <xf numFmtId="0" fontId="5" fillId="0" borderId="0" xfId="71" applyFont="1" applyFill="1" applyBorder="1">
      <alignment/>
      <protection/>
    </xf>
    <xf numFmtId="0" fontId="5" fillId="0" borderId="0" xfId="7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center"/>
      <protection/>
    </xf>
    <xf numFmtId="0" fontId="18" fillId="0" borderId="0" xfId="71" applyFont="1" applyFill="1" applyBorder="1">
      <alignment/>
      <protection/>
    </xf>
    <xf numFmtId="14" fontId="5" fillId="0" borderId="0" xfId="71" applyNumberFormat="1" applyFont="1" applyFill="1" applyBorder="1">
      <alignment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2" fontId="16" fillId="33" borderId="10" xfId="71" applyNumberFormat="1" applyFont="1" applyFill="1" applyBorder="1" applyAlignment="1">
      <alignment wrapText="1"/>
      <protection/>
    </xf>
    <xf numFmtId="3" fontId="16" fillId="33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horizontal="left" wrapText="1"/>
      <protection/>
    </xf>
    <xf numFmtId="3" fontId="16" fillId="33" borderId="10" xfId="71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1" applyFont="1" applyFill="1" applyBorder="1" applyAlignment="1">
      <alignment vertical="center"/>
      <protection/>
    </xf>
    <xf numFmtId="0" fontId="16" fillId="34" borderId="12" xfId="7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horizontal="right" vertical="center"/>
      <protection/>
    </xf>
    <xf numFmtId="0" fontId="16" fillId="0" borderId="10" xfId="71" applyFont="1" applyFill="1" applyBorder="1" applyAlignment="1">
      <alignment vertical="center" wrapText="1"/>
      <protection/>
    </xf>
    <xf numFmtId="3" fontId="16" fillId="0" borderId="10" xfId="71" applyNumberFormat="1" applyFont="1" applyFill="1" applyBorder="1" applyAlignment="1">
      <alignment horizontal="right" wrapText="1"/>
      <protection/>
    </xf>
    <xf numFmtId="0" fontId="5" fillId="0" borderId="10" xfId="71" applyFont="1" applyFill="1" applyBorder="1" applyAlignment="1">
      <alignment vertical="center" wrapText="1"/>
      <protection/>
    </xf>
    <xf numFmtId="3" fontId="5" fillId="0" borderId="10" xfId="71" applyNumberFormat="1" applyFont="1" applyFill="1" applyBorder="1" applyAlignment="1">
      <alignment horizontal="right"/>
      <protection/>
    </xf>
    <xf numFmtId="0" fontId="16" fillId="0" borderId="10" xfId="71" applyFont="1" applyFill="1" applyBorder="1" applyAlignment="1">
      <alignment horizontal="left" vertical="center" wrapText="1" indent="1"/>
      <protection/>
    </xf>
    <xf numFmtId="3" fontId="16" fillId="0" borderId="10" xfId="71" applyNumberFormat="1" applyFont="1" applyFill="1" applyBorder="1" applyAlignment="1">
      <alignment vertical="center" wrapText="1"/>
      <protection/>
    </xf>
    <xf numFmtId="9" fontId="16" fillId="0" borderId="10" xfId="71" applyNumberFormat="1" applyFont="1" applyFill="1" applyBorder="1" applyAlignment="1">
      <alignment horizontal="right" wrapText="1"/>
      <protection/>
    </xf>
    <xf numFmtId="3" fontId="5" fillId="35" borderId="10" xfId="71" applyNumberFormat="1" applyFont="1" applyFill="1" applyBorder="1" applyAlignment="1">
      <alignment horizontal="right"/>
      <protection/>
    </xf>
    <xf numFmtId="3" fontId="5" fillId="0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vertical="center" wrapText="1"/>
      <protection/>
    </xf>
    <xf numFmtId="3" fontId="16" fillId="34" borderId="10" xfId="71" applyNumberFormat="1" applyFont="1" applyFill="1" applyBorder="1" applyAlignment="1">
      <alignment horizontal="right" wrapText="1"/>
      <protection/>
    </xf>
    <xf numFmtId="3" fontId="16" fillId="0" borderId="10" xfId="71" applyNumberFormat="1" applyFont="1" applyFill="1" applyBorder="1" applyAlignment="1">
      <alignment horizontal="right"/>
      <protection/>
    </xf>
    <xf numFmtId="0" fontId="5" fillId="0" borderId="10" xfId="71" applyFont="1" applyFill="1" applyBorder="1" applyAlignment="1">
      <alignment wrapText="1"/>
      <protection/>
    </xf>
    <xf numFmtId="0" fontId="16" fillId="33" borderId="10" xfId="71" applyFont="1" applyFill="1" applyBorder="1" applyAlignment="1">
      <alignment wrapText="1"/>
      <protection/>
    </xf>
    <xf numFmtId="1" fontId="19" fillId="0" borderId="11" xfId="71" applyNumberFormat="1" applyFont="1" applyFill="1" applyBorder="1" applyAlignment="1">
      <alignment wrapText="1"/>
      <protection/>
    </xf>
    <xf numFmtId="3" fontId="20" fillId="0" borderId="10" xfId="71" applyNumberFormat="1" applyFont="1" applyFill="1" applyBorder="1" applyAlignment="1">
      <alignment horizontal="right" wrapText="1"/>
      <protection/>
    </xf>
    <xf numFmtId="3" fontId="19" fillId="0" borderId="10" xfId="71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1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5" applyNumberFormat="1" applyFont="1" applyFill="1" applyBorder="1" applyAlignment="1">
      <alignment vertical="center" wrapText="1"/>
      <protection/>
    </xf>
    <xf numFmtId="172" fontId="5" fillId="0" borderId="10" xfId="65" applyNumberFormat="1" applyFont="1" applyFill="1" applyBorder="1" applyAlignment="1">
      <alignment horizontal="right" vertical="center" wrapText="1"/>
      <protection/>
    </xf>
    <xf numFmtId="0" fontId="5" fillId="0" borderId="0" xfId="69" applyFont="1" applyFill="1">
      <alignment/>
      <protection/>
    </xf>
    <xf numFmtId="0" fontId="16" fillId="0" borderId="10" xfId="71" applyFont="1" applyFill="1" applyBorder="1" applyAlignment="1">
      <alignment vertical="center"/>
      <protection/>
    </xf>
    <xf numFmtId="3" fontId="16" fillId="35" borderId="10" xfId="71" applyNumberFormat="1" applyFont="1" applyFill="1" applyBorder="1" applyAlignment="1">
      <alignment horizontal="right" wrapText="1"/>
      <protection/>
    </xf>
    <xf numFmtId="172" fontId="16" fillId="0" borderId="10" xfId="71" applyNumberFormat="1" applyFont="1" applyFill="1" applyBorder="1" applyAlignment="1">
      <alignment horizontal="right" vertical="center"/>
      <protection/>
    </xf>
    <xf numFmtId="172" fontId="16" fillId="0" borderId="10" xfId="7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7" applyFont="1">
      <alignment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3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3" fontId="5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top"/>
      <protection/>
    </xf>
    <xf numFmtId="0" fontId="5" fillId="0" borderId="11" xfId="71" applyFont="1" applyFill="1" applyBorder="1" applyAlignment="1">
      <alignment horizontal="left" vertical="top" wrapText="1" shrinkToFit="1"/>
      <protection/>
    </xf>
    <xf numFmtId="172" fontId="16" fillId="0" borderId="10" xfId="71" applyNumberFormat="1" applyFont="1" applyFill="1" applyBorder="1" applyAlignment="1">
      <alignment horizontal="center" vertical="top"/>
      <protection/>
    </xf>
    <xf numFmtId="172" fontId="16" fillId="0" borderId="14" xfId="71" applyNumberFormat="1" applyFont="1" applyFill="1" applyBorder="1" applyAlignment="1">
      <alignment horizontal="center" vertical="top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21" fillId="0" borderId="0" xfId="71" applyFont="1" applyFill="1" applyBorder="1" applyAlignment="1">
      <alignment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1" applyFont="1" applyFill="1" applyBorder="1" applyAlignment="1">
      <alignment horizontal="right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5" fillId="0" borderId="10" xfId="68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2" applyFont="1" applyFill="1" applyBorder="1" applyAlignment="1">
      <alignment horizontal="left" wrapText="1" shrinkToFit="1"/>
      <protection/>
    </xf>
    <xf numFmtId="0" fontId="5" fillId="0" borderId="0" xfId="72" applyFont="1" applyFill="1" applyBorder="1" applyAlignment="1">
      <alignment wrapText="1" shrinkToFit="1"/>
      <protection/>
    </xf>
    <xf numFmtId="3" fontId="5" fillId="0" borderId="0" xfId="72" applyNumberFormat="1" applyFont="1" applyFill="1" applyBorder="1" applyAlignment="1">
      <alignment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0" fontId="16" fillId="34" borderId="14" xfId="72" applyFont="1" applyFill="1" applyBorder="1" applyAlignment="1">
      <alignment horizontal="center" vertical="center"/>
      <protection/>
    </xf>
    <xf numFmtId="3" fontId="5" fillId="34" borderId="10" xfId="72" applyNumberFormat="1" applyFont="1" applyFill="1" applyBorder="1" applyAlignment="1">
      <alignment horizontal="center" vertical="center"/>
      <protection/>
    </xf>
    <xf numFmtId="0" fontId="16" fillId="0" borderId="11" xfId="72" applyFont="1" applyFill="1" applyBorder="1" applyAlignment="1">
      <alignment horizontal="left" vertical="top" wrapText="1" shrinkToFit="1"/>
      <protection/>
    </xf>
    <xf numFmtId="3" fontId="16" fillId="0" borderId="10" xfId="72" applyNumberFormat="1" applyFont="1" applyFill="1" applyBorder="1" applyAlignment="1">
      <alignment horizontal="center" vertical="center"/>
      <protection/>
    </xf>
    <xf numFmtId="3" fontId="16" fillId="0" borderId="14" xfId="72" applyNumberFormat="1" applyFont="1" applyFill="1" applyBorder="1" applyAlignment="1">
      <alignment horizontal="center" vertical="center"/>
      <protection/>
    </xf>
    <xf numFmtId="172" fontId="16" fillId="0" borderId="0" xfId="72" applyNumberFormat="1" applyFont="1" applyFill="1" applyBorder="1" applyAlignment="1" applyProtection="1">
      <alignment wrapText="1" shrinkToFit="1"/>
      <protection locked="0"/>
    </xf>
    <xf numFmtId="0" fontId="16" fillId="0" borderId="0" xfId="72" applyFont="1" applyFill="1" applyBorder="1" applyAlignment="1">
      <alignment wrapText="1" shrinkToFit="1"/>
      <protection/>
    </xf>
    <xf numFmtId="0" fontId="5" fillId="0" borderId="11" xfId="72" applyFont="1" applyFill="1" applyBorder="1" applyAlignment="1">
      <alignment horizontal="left" vertical="top" wrapText="1" indent="1" shrinkToFit="1"/>
      <protection/>
    </xf>
    <xf numFmtId="3" fontId="5" fillId="0" borderId="14" xfId="72" applyNumberFormat="1" applyFont="1" applyFill="1" applyBorder="1" applyAlignment="1">
      <alignment horizontal="center" vertical="center"/>
      <protection/>
    </xf>
    <xf numFmtId="3" fontId="5" fillId="0" borderId="10" xfId="72" applyNumberFormat="1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left" vertical="top" wrapText="1" shrinkToFit="1"/>
      <protection/>
    </xf>
    <xf numFmtId="0" fontId="5" fillId="0" borderId="0" xfId="72" applyFont="1" applyFill="1" applyBorder="1" applyAlignment="1">
      <alignment horizontal="left" vertical="top"/>
      <protection/>
    </xf>
    <xf numFmtId="0" fontId="17" fillId="0" borderId="15" xfId="72" applyFont="1" applyFill="1" applyBorder="1" applyAlignment="1">
      <alignment wrapText="1" shrinkToFit="1"/>
      <protection/>
    </xf>
    <xf numFmtId="0" fontId="5" fillId="0" borderId="15" xfId="72" applyFont="1" applyFill="1" applyBorder="1" applyAlignment="1">
      <alignment wrapText="1" shrinkToFit="1"/>
      <protection/>
    </xf>
    <xf numFmtId="4" fontId="5" fillId="0" borderId="15" xfId="72" applyNumberFormat="1" applyFont="1" applyFill="1" applyBorder="1" applyAlignment="1">
      <alignment wrapText="1" shrinkToFit="1"/>
      <protection/>
    </xf>
    <xf numFmtId="3" fontId="5" fillId="0" borderId="15" xfId="72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7" applyNumberFormat="1" applyFont="1" applyFill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7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7" applyFont="1" applyFill="1" applyBorder="1" applyAlignment="1">
      <alignment/>
    </xf>
    <xf numFmtId="194" fontId="5" fillId="0" borderId="10" xfId="83" applyNumberFormat="1" applyFont="1" applyBorder="1" applyAlignment="1">
      <alignment/>
    </xf>
    <xf numFmtId="9" fontId="5" fillId="33" borderId="10" xfId="77" applyFont="1" applyFill="1" applyBorder="1" applyAlignment="1">
      <alignment/>
    </xf>
    <xf numFmtId="0" fontId="5" fillId="0" borderId="0" xfId="66" applyFont="1" applyFill="1" applyProtection="1">
      <alignment/>
      <protection locked="0"/>
    </xf>
    <xf numFmtId="0" fontId="16" fillId="0" borderId="0" xfId="66" applyFont="1" applyFill="1" applyProtection="1">
      <alignment/>
      <protection locked="0"/>
    </xf>
    <xf numFmtId="9" fontId="17" fillId="0" borderId="0" xfId="66" applyNumberFormat="1" applyFont="1" applyFill="1" applyProtection="1">
      <alignment/>
      <protection locked="0"/>
    </xf>
    <xf numFmtId="172" fontId="5" fillId="0" borderId="0" xfId="66" applyNumberFormat="1" applyFont="1" applyFill="1" applyProtection="1">
      <alignment/>
      <protection locked="0"/>
    </xf>
    <xf numFmtId="172" fontId="17" fillId="0" borderId="0" xfId="66" applyNumberFormat="1" applyFont="1" applyFill="1" applyProtection="1">
      <alignment/>
      <protection locked="0"/>
    </xf>
    <xf numFmtId="9" fontId="16" fillId="0" borderId="0" xfId="66" applyNumberFormat="1" applyFont="1" applyFill="1" applyProtection="1">
      <alignment/>
      <protection locked="0"/>
    </xf>
    <xf numFmtId="0" fontId="21" fillId="0" borderId="0" xfId="66" applyFont="1" applyFill="1" applyProtection="1">
      <alignment/>
      <protection locked="0"/>
    </xf>
    <xf numFmtId="0" fontId="16" fillId="0" borderId="10" xfId="66" applyFont="1" applyFill="1" applyBorder="1" applyProtection="1">
      <alignment/>
      <protection locked="0"/>
    </xf>
    <xf numFmtId="3" fontId="5" fillId="0" borderId="10" xfId="66" applyNumberFormat="1" applyFont="1" applyFill="1" applyBorder="1" applyAlignment="1" applyProtection="1">
      <alignment horizontal="center"/>
      <protection locked="0"/>
    </xf>
    <xf numFmtId="0" fontId="5" fillId="0" borderId="10" xfId="66" applyFont="1" applyFill="1" applyBorder="1" applyAlignment="1" applyProtection="1">
      <alignment vertical="top"/>
      <protection locked="0"/>
    </xf>
    <xf numFmtId="173" fontId="17" fillId="0" borderId="0" xfId="66" applyNumberFormat="1" applyFont="1" applyFill="1" applyProtection="1">
      <alignment/>
      <protection locked="0"/>
    </xf>
    <xf numFmtId="0" fontId="5" fillId="0" borderId="10" xfId="70" applyFont="1" applyFill="1" applyBorder="1" applyAlignment="1">
      <alignment horizontal="left" vertical="center" wrapText="1"/>
      <protection/>
    </xf>
    <xf numFmtId="0" fontId="16" fillId="0" borderId="10" xfId="70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16" fillId="0" borderId="10" xfId="72" applyFont="1" applyFill="1" applyBorder="1" applyAlignment="1">
      <alignment horizontal="center" vertical="center"/>
      <protection/>
    </xf>
    <xf numFmtId="0" fontId="5" fillId="0" borderId="0" xfId="66" applyFont="1" applyFill="1" applyAlignment="1" applyProtection="1">
      <alignment horizontal="center"/>
      <protection locked="0"/>
    </xf>
    <xf numFmtId="172" fontId="5" fillId="0" borderId="10" xfId="70" applyNumberFormat="1" applyFont="1" applyFill="1" applyBorder="1" applyAlignment="1">
      <alignment horizontal="right" vertical="center"/>
      <protection/>
    </xf>
    <xf numFmtId="172" fontId="5" fillId="0" borderId="10" xfId="66" applyNumberFormat="1" applyFont="1" applyFill="1" applyBorder="1" applyAlignment="1" applyProtection="1">
      <alignment/>
      <protection locked="0"/>
    </xf>
    <xf numFmtId="172" fontId="16" fillId="0" borderId="10" xfId="66" applyNumberFormat="1" applyFont="1" applyFill="1" applyBorder="1" applyAlignment="1" applyProtection="1">
      <alignment/>
      <protection locked="0"/>
    </xf>
    <xf numFmtId="0" fontId="5" fillId="0" borderId="0" xfId="66" applyFont="1" applyFill="1" applyAlignment="1" applyProtection="1">
      <alignment/>
      <protection locked="0"/>
    </xf>
    <xf numFmtId="0" fontId="5" fillId="0" borderId="0" xfId="66" applyFont="1" applyFill="1" applyAlignment="1" applyProtection="1">
      <alignment vertical="center"/>
      <protection locked="0"/>
    </xf>
    <xf numFmtId="0" fontId="5" fillId="36" borderId="10" xfId="70" applyFont="1" applyFill="1" applyBorder="1" applyAlignment="1">
      <alignment horizontal="left" vertical="center" wrapText="1" indent="2"/>
      <protection/>
    </xf>
    <xf numFmtId="172" fontId="5" fillId="39" borderId="10" xfId="66" applyNumberFormat="1" applyFont="1" applyFill="1" applyBorder="1" applyAlignment="1" applyProtection="1">
      <alignment/>
      <protection locked="0"/>
    </xf>
    <xf numFmtId="172" fontId="5" fillId="0" borderId="0" xfId="66" applyNumberFormat="1" applyFont="1" applyFill="1" applyAlignment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1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7" applyFont="1" applyBorder="1" applyAlignment="1">
      <alignment vertical="center"/>
      <protection/>
    </xf>
    <xf numFmtId="3" fontId="5" fillId="0" borderId="10" xfId="67" applyNumberFormat="1" applyFont="1" applyFill="1" applyBorder="1" applyAlignment="1">
      <alignment horizontal="right" vertical="center"/>
      <protection/>
    </xf>
    <xf numFmtId="0" fontId="16" fillId="0" borderId="10" xfId="67" applyFont="1" applyBorder="1" applyAlignment="1">
      <alignment vertical="center"/>
      <protection/>
    </xf>
    <xf numFmtId="3" fontId="16" fillId="0" borderId="10" xfId="67" applyNumberFormat="1" applyFont="1" applyFill="1" applyBorder="1" applyAlignment="1">
      <alignment horizontal="right" vertical="center"/>
      <protection/>
    </xf>
    <xf numFmtId="0" fontId="16" fillId="2" borderId="11" xfId="68" applyFont="1" applyFill="1" applyBorder="1" applyAlignment="1">
      <alignment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0" borderId="10" xfId="67" applyNumberFormat="1" applyFont="1" applyFill="1" applyBorder="1" applyAlignment="1">
      <alignment horizontal="right" vertical="center"/>
      <protection/>
    </xf>
    <xf numFmtId="9" fontId="16" fillId="0" borderId="10" xfId="67" applyNumberFormat="1" applyFont="1" applyFill="1" applyBorder="1" applyAlignment="1">
      <alignment horizontal="right" vertical="center"/>
      <protection/>
    </xf>
    <xf numFmtId="177" fontId="5" fillId="0" borderId="10" xfId="67" applyNumberFormat="1" applyFont="1" applyFill="1" applyBorder="1" applyAlignment="1">
      <alignment horizontal="right" vertical="center"/>
      <protection/>
    </xf>
    <xf numFmtId="0" fontId="1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 wrapText="1"/>
      <protection/>
    </xf>
    <xf numFmtId="9" fontId="5" fillId="2" borderId="10" xfId="67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6" fillId="0" borderId="0" xfId="72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horizontal="center"/>
    </xf>
    <xf numFmtId="0" fontId="16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/>
      <protection/>
    </xf>
    <xf numFmtId="0" fontId="16" fillId="0" borderId="0" xfId="72" applyFont="1" applyFill="1" applyBorder="1" applyAlignment="1">
      <alignment/>
      <protection/>
    </xf>
    <xf numFmtId="0" fontId="5" fillId="0" borderId="11" xfId="72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2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9" fontId="5" fillId="0" borderId="14" xfId="72" applyNumberFormat="1" applyFont="1" applyFill="1" applyBorder="1" applyAlignment="1">
      <alignment horizontal="center" vertical="center"/>
      <protection/>
    </xf>
    <xf numFmtId="9" fontId="5" fillId="35" borderId="14" xfId="72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wrapText="1"/>
    </xf>
    <xf numFmtId="177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35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/>
    </xf>
    <xf numFmtId="185" fontId="1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6" fillId="0" borderId="11" xfId="72" applyFont="1" applyFill="1" applyBorder="1" applyAlignment="1">
      <alignment horizontal="left" vertical="top"/>
      <protection/>
    </xf>
    <xf numFmtId="0" fontId="16" fillId="0" borderId="10" xfId="72" applyFont="1" applyFill="1" applyBorder="1" applyAlignment="1">
      <alignment horizontal="left" vertical="top"/>
      <protection/>
    </xf>
    <xf numFmtId="3" fontId="5" fillId="0" borderId="10" xfId="72" applyNumberFormat="1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vertical="center"/>
    </xf>
    <xf numFmtId="3" fontId="5" fillId="0" borderId="15" xfId="72" applyNumberFormat="1" applyFont="1" applyFill="1" applyBorder="1" applyAlignment="1">
      <alignment/>
      <protection/>
    </xf>
    <xf numFmtId="0" fontId="25" fillId="0" borderId="0" xfId="72" applyFont="1" applyFill="1" applyBorder="1" applyAlignment="1">
      <alignment horizontal="right"/>
      <protection/>
    </xf>
    <xf numFmtId="17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3" fontId="17" fillId="3" borderId="10" xfId="0" applyNumberFormat="1" applyFont="1" applyFill="1" applyBorder="1" applyAlignment="1">
      <alignment/>
    </xf>
    <xf numFmtId="0" fontId="14" fillId="0" borderId="0" xfId="66" applyFont="1" applyFill="1" applyProtection="1">
      <alignment/>
      <protection locked="0"/>
    </xf>
    <xf numFmtId="172" fontId="67" fillId="0" borderId="0" xfId="66" applyNumberFormat="1" applyFont="1" applyFill="1" applyAlignment="1" applyProtection="1">
      <alignment horizontal="center"/>
      <protection locked="0"/>
    </xf>
    <xf numFmtId="0" fontId="16" fillId="2" borderId="10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right" vertical="center"/>
      <protection/>
    </xf>
    <xf numFmtId="172" fontId="68" fillId="0" borderId="0" xfId="71" applyNumberFormat="1" applyFont="1" applyFill="1" applyBorder="1" applyAlignment="1">
      <alignment horizontal="center" wrapText="1" shrinkToFit="1"/>
      <protection/>
    </xf>
    <xf numFmtId="0" fontId="25" fillId="0" borderId="0" xfId="0" applyFont="1" applyAlignment="1">
      <alignment horizontal="right"/>
    </xf>
    <xf numFmtId="1" fontId="16" fillId="0" borderId="10" xfId="0" applyNumberFormat="1" applyFont="1" applyBorder="1" applyAlignment="1">
      <alignment/>
    </xf>
    <xf numFmtId="173" fontId="5" fillId="0" borderId="10" xfId="67" applyNumberFormat="1" applyFont="1" applyFill="1" applyBorder="1" applyAlignment="1">
      <alignment horizontal="right" vertical="center"/>
      <protection/>
    </xf>
    <xf numFmtId="0" fontId="5" fillId="0" borderId="17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center"/>
    </xf>
    <xf numFmtId="3" fontId="5" fillId="35" borderId="14" xfId="72" applyNumberFormat="1" applyFont="1" applyFill="1" applyBorder="1" applyAlignment="1">
      <alignment horizontal="center" vertical="center"/>
      <protection/>
    </xf>
    <xf numFmtId="172" fontId="5" fillId="0" borderId="0" xfId="66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vertical="center"/>
    </xf>
    <xf numFmtId="3" fontId="5" fillId="0" borderId="0" xfId="66" applyNumberFormat="1" applyFont="1" applyFill="1" applyProtection="1">
      <alignment/>
      <protection locked="0"/>
    </xf>
    <xf numFmtId="0" fontId="5" fillId="0" borderId="0" xfId="66" applyFont="1" applyFill="1" applyBorder="1" applyProtection="1">
      <alignment/>
      <protection locked="0"/>
    </xf>
    <xf numFmtId="173" fontId="17" fillId="0" borderId="10" xfId="66" applyNumberFormat="1" applyFont="1" applyFill="1" applyBorder="1" applyProtection="1">
      <alignment/>
      <protection locked="0"/>
    </xf>
    <xf numFmtId="0" fontId="17" fillId="0" borderId="10" xfId="66" applyFont="1" applyFill="1" applyBorder="1" applyProtection="1">
      <alignment/>
      <protection locked="0"/>
    </xf>
    <xf numFmtId="172" fontId="17" fillId="0" borderId="10" xfId="66" applyNumberFormat="1" applyFont="1" applyFill="1" applyBorder="1" applyAlignment="1" applyProtection="1">
      <alignment/>
      <protection locked="0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1" fillId="0" borderId="0" xfId="53" applyAlignment="1" applyProtection="1">
      <alignment/>
      <protection/>
    </xf>
    <xf numFmtId="0" fontId="5" fillId="0" borderId="11" xfId="71" applyFont="1" applyFill="1" applyBorder="1" applyAlignment="1">
      <alignment horizontal="left" vertical="top" wrapText="1" indent="2" shrinkToFit="1"/>
      <protection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6" fillId="0" borderId="0" xfId="66" applyFont="1" applyFill="1" applyBorder="1" applyProtection="1">
      <alignment/>
      <protection locked="0"/>
    </xf>
    <xf numFmtId="3" fontId="5" fillId="0" borderId="0" xfId="66" applyNumberFormat="1" applyFont="1" applyFill="1" applyBorder="1" applyAlignment="1" applyProtection="1">
      <alignment horizontal="center"/>
      <protection locked="0"/>
    </xf>
    <xf numFmtId="0" fontId="16" fillId="0" borderId="0" xfId="67" applyFont="1" applyBorder="1" applyAlignment="1">
      <alignment horizontal="left" vertical="center"/>
      <protection/>
    </xf>
    <xf numFmtId="3" fontId="5" fillId="0" borderId="0" xfId="67" applyNumberFormat="1" applyFont="1" applyFill="1">
      <alignment/>
      <protection/>
    </xf>
    <xf numFmtId="0" fontId="5" fillId="0" borderId="0" xfId="67" applyFont="1" applyFill="1">
      <alignment/>
      <protection/>
    </xf>
    <xf numFmtId="9" fontId="5" fillId="35" borderId="10" xfId="0" applyNumberFormat="1" applyFont="1" applyFill="1" applyBorder="1" applyAlignment="1">
      <alignment/>
    </xf>
    <xf numFmtId="187" fontId="25" fillId="0" borderId="0" xfId="0" applyNumberFormat="1" applyFont="1" applyAlignment="1">
      <alignment/>
    </xf>
    <xf numFmtId="3" fontId="5" fillId="0" borderId="0" xfId="72" applyNumberFormat="1" applyFont="1" applyFill="1" applyBorder="1" applyAlignment="1">
      <alignment/>
      <protection/>
    </xf>
    <xf numFmtId="0" fontId="5" fillId="0" borderId="0" xfId="0" applyFont="1" applyBorder="1" applyAlignment="1">
      <alignment/>
    </xf>
    <xf numFmtId="3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 vertical="center" wrapText="1"/>
      <protection/>
    </xf>
    <xf numFmtId="3" fontId="16" fillId="0" borderId="10" xfId="72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173" fontId="17" fillId="35" borderId="10" xfId="0" applyNumberFormat="1" applyFont="1" applyFill="1" applyBorder="1" applyAlignment="1">
      <alignment horizontal="center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5" fillId="35" borderId="10" xfId="0" applyFont="1" applyFill="1" applyBorder="1" applyAlignment="1">
      <alignment/>
    </xf>
    <xf numFmtId="172" fontId="5" fillId="0" borderId="0" xfId="71" applyNumberFormat="1" applyFont="1" applyFill="1" applyBorder="1" applyAlignment="1">
      <alignment wrapText="1" shrinkToFit="1"/>
      <protection/>
    </xf>
    <xf numFmtId="0" fontId="5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13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center" vertical="center" wrapText="1"/>
      <protection/>
    </xf>
    <xf numFmtId="0" fontId="16" fillId="0" borderId="16" xfId="71" applyFont="1" applyFill="1" applyBorder="1" applyAlignment="1">
      <alignment horizontal="center" vertical="center" wrapText="1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172" fontId="16" fillId="34" borderId="11" xfId="71" applyNumberFormat="1" applyFont="1" applyFill="1" applyBorder="1" applyAlignment="1">
      <alignment horizontal="center" vertical="center" wrapText="1" shrinkToFit="1"/>
      <protection/>
    </xf>
    <xf numFmtId="172" fontId="16" fillId="34" borderId="16" xfId="71" applyNumberFormat="1" applyFont="1" applyFill="1" applyBorder="1" applyAlignment="1">
      <alignment horizontal="center" vertical="center" wrapText="1" shrinkToFit="1"/>
      <protection/>
    </xf>
    <xf numFmtId="172" fontId="16" fillId="34" borderId="12" xfId="71" applyNumberFormat="1" applyFont="1" applyFill="1" applyBorder="1" applyAlignment="1">
      <alignment horizontal="center" vertical="center" wrapText="1" shrinkToFit="1"/>
      <protection/>
    </xf>
    <xf numFmtId="172" fontId="16" fillId="34" borderId="11" xfId="71" applyNumberFormat="1" applyFont="1" applyFill="1" applyBorder="1" applyAlignment="1">
      <alignment horizontal="center" vertical="center"/>
      <protection/>
    </xf>
    <xf numFmtId="172" fontId="16" fillId="34" borderId="16" xfId="71" applyNumberFormat="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16" fillId="34" borderId="16" xfId="71" applyFont="1" applyFill="1" applyBorder="1" applyAlignment="1">
      <alignment horizontal="center" vertical="center"/>
      <protection/>
    </xf>
    <xf numFmtId="0" fontId="16" fillId="34" borderId="12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0" fontId="16" fillId="34" borderId="18" xfId="72" applyFont="1" applyFill="1" applyBorder="1" applyAlignment="1">
      <alignment horizontal="center" vertical="center" wrapText="1" shrinkToFit="1"/>
      <protection/>
    </xf>
    <xf numFmtId="0" fontId="16" fillId="34" borderId="19" xfId="72" applyFont="1" applyFill="1" applyBorder="1" applyAlignment="1">
      <alignment horizontal="center" vertical="center"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172" fontId="16" fillId="34" borderId="11" xfId="72" applyNumberFormat="1" applyFont="1" applyFill="1" applyBorder="1" applyAlignment="1">
      <alignment horizontal="center" vertical="center"/>
      <protection/>
    </xf>
    <xf numFmtId="172" fontId="16" fillId="34" borderId="16" xfId="72" applyNumberFormat="1" applyFont="1" applyFill="1" applyBorder="1" applyAlignment="1">
      <alignment horizontal="center" vertical="center"/>
      <protection/>
    </xf>
    <xf numFmtId="172" fontId="16" fillId="34" borderId="12" xfId="7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6" fillId="34" borderId="18" xfId="72" applyFont="1" applyFill="1" applyBorder="1" applyAlignment="1">
      <alignment horizontal="center" vertical="center"/>
      <protection/>
    </xf>
    <xf numFmtId="0" fontId="16" fillId="34" borderId="19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 wrapText="1"/>
      <protection/>
    </xf>
    <xf numFmtId="0" fontId="16" fillId="34" borderId="14" xfId="72" applyFont="1" applyFill="1" applyBorder="1" applyAlignment="1">
      <alignment horizontal="center" vertical="center" wrapText="1"/>
      <protection/>
    </xf>
    <xf numFmtId="3" fontId="16" fillId="2" borderId="11" xfId="0" applyNumberFormat="1" applyFont="1" applyFill="1" applyBorder="1" applyAlignment="1">
      <alignment horizontal="center" wrapText="1"/>
    </xf>
    <xf numFmtId="3" fontId="16" fillId="2" borderId="12" xfId="0" applyNumberFormat="1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6" fillId="0" borderId="10" xfId="7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8" applyFont="1" applyFill="1" applyBorder="1" applyAlignment="1">
      <alignment horizontal="left" vertical="center"/>
      <protection/>
    </xf>
    <xf numFmtId="0" fontId="16" fillId="2" borderId="14" xfId="68" applyFont="1" applyFill="1" applyBorder="1" applyAlignment="1">
      <alignment horizontal="left"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</cellXfs>
  <cellStyles count="77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Алтын-ОрдаНовыйБП" xfId="65"/>
    <cellStyle name="Обычный_Алтын-ОрдаНовыйБП 2" xfId="66"/>
    <cellStyle name="Обычный_БП кир завод 3.3  (40 млн. +20 забут реал на 18.07.06 для АФ увел курс)" xfId="67"/>
    <cellStyle name="Обычный_Копия cityrus4-18 лет СМР 52 млн $" xfId="68"/>
    <cellStyle name="Обычный_НовыйМир" xfId="69"/>
    <cellStyle name="Обычный_ПереченьКЗ" xfId="70"/>
    <cellStyle name="Обычный_Формы отчетов" xfId="71"/>
    <cellStyle name="Обычный_Формы отчетов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Тысячи [0]" xfId="82"/>
    <cellStyle name="Comma" xfId="83"/>
    <cellStyle name="Comma [0]" xfId="84"/>
    <cellStyle name="Хороший" xfId="85"/>
    <cellStyle name="桁区切り [0.00]_PERSONAL" xfId="86"/>
    <cellStyle name="桁区切り_PERSONAL" xfId="87"/>
    <cellStyle name="標準_PERSONAL" xfId="88"/>
    <cellStyle name="通貨 [0.00]_PERSONAL" xfId="89"/>
    <cellStyle name="通貨_PERSON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business.ru/html/dop10/proizvodstvo-kovrov.htm" TargetMode="External" /><Relationship Id="rId2" Type="http://schemas.openxmlformats.org/officeDocument/2006/relationships/hyperlink" Target="http://www.avtogaz.ru/evroplatforma/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141"/>
  <sheetViews>
    <sheetView showGridLines="0" showZeros="0" zoomScalePageLayoutView="0" workbookViewId="0" topLeftCell="A1">
      <pane xSplit="3" ySplit="6" topLeftCell="O13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A34" sqref="BA34"/>
    </sheetView>
  </sheetViews>
  <sheetFormatPr defaultColWidth="8.625" defaultRowHeight="12.75" outlineLevelRow="1" outlineLevelCol="1"/>
  <cols>
    <col min="1" max="1" width="38.625" style="60" customWidth="1"/>
    <col min="2" max="2" width="10.125" style="61" customWidth="1"/>
    <col min="3" max="3" width="1.875" style="61" customWidth="1"/>
    <col min="4" max="6" width="7.75390625" style="6" hidden="1" customWidth="1" outlineLevel="1"/>
    <col min="7" max="7" width="7.75390625" style="57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00390625" style="6" hidden="1" customWidth="1" outlineLevel="1"/>
    <col min="29" max="29" width="10.00390625" style="7" customWidth="1" collapsed="1"/>
    <col min="30" max="30" width="7.875" style="6" hidden="1" customWidth="1" outlineLevel="1"/>
    <col min="31" max="34" width="7.625" style="6" hidden="1" customWidth="1" outlineLevel="1"/>
    <col min="35" max="39" width="8.125" style="6" hidden="1" customWidth="1" outlineLevel="1"/>
    <col min="40" max="40" width="8.375" style="6" hidden="1" customWidth="1" outlineLevel="1"/>
    <col min="41" max="41" width="8.125" style="6" hidden="1" customWidth="1" outlineLevel="1"/>
    <col min="42" max="42" width="9.125" style="7" bestFit="1" customWidth="1" collapsed="1"/>
    <col min="43" max="44" width="9.375" style="7" customWidth="1"/>
    <col min="45" max="47" width="9.375" style="8" customWidth="1"/>
    <col min="48" max="48" width="8.75390625" style="8" bestFit="1" customWidth="1"/>
    <col min="49" max="52" width="9.75390625" style="8" bestFit="1" customWidth="1"/>
    <col min="53" max="55" width="9.125" style="8" bestFit="1" customWidth="1"/>
    <col min="56" max="16384" width="8.625" style="8" customWidth="1"/>
  </cols>
  <sheetData>
    <row r="1" spans="1:40" ht="12.75">
      <c r="A1" s="62" t="s">
        <v>161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  <c r="AD1" s="2"/>
      <c r="AE1" s="2"/>
      <c r="AF1" s="2"/>
      <c r="AG1" s="2"/>
      <c r="AH1" s="2"/>
      <c r="AI1" s="4"/>
      <c r="AJ1" s="4"/>
      <c r="AK1" s="4"/>
      <c r="AL1" s="4"/>
      <c r="AM1" s="4"/>
      <c r="AN1" s="5"/>
    </row>
    <row r="2" spans="1:40" ht="12.75" hidden="1" outlineLevel="1">
      <c r="A2" s="9">
        <f>MAX(K34:AR34)</f>
        <v>91663.15114270765</v>
      </c>
      <c r="B2" s="10">
        <f>MIN(L34:AU34)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  <c r="AD2" s="2"/>
      <c r="AE2" s="2"/>
      <c r="AF2" s="2"/>
      <c r="AG2" s="2"/>
      <c r="AH2" s="2"/>
      <c r="AI2" s="4"/>
      <c r="AJ2" s="4"/>
      <c r="AK2" s="4"/>
      <c r="AL2" s="4"/>
      <c r="AM2" s="4"/>
      <c r="AN2" s="5"/>
    </row>
    <row r="3" spans="1:40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  <c r="AD3" s="2"/>
      <c r="AE3" s="2"/>
      <c r="AF3" s="2"/>
      <c r="AG3" s="2"/>
      <c r="AH3" s="2"/>
      <c r="AI3" s="4"/>
      <c r="AJ3" s="4"/>
      <c r="AK3" s="4"/>
      <c r="AL3" s="4"/>
      <c r="AM3" s="4"/>
      <c r="AN3" s="5"/>
    </row>
    <row r="4" spans="1:40" ht="12.75">
      <c r="A4" s="11"/>
      <c r="B4" s="12" t="str">
        <f>Исх!$C$10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  <c r="AD4" s="2"/>
      <c r="AE4" s="2"/>
      <c r="AF4" s="3"/>
      <c r="AG4" s="2"/>
      <c r="AI4" s="13"/>
      <c r="AJ4" s="2"/>
      <c r="AK4" s="2"/>
      <c r="AL4" s="14"/>
      <c r="AM4" s="2"/>
      <c r="AN4" s="2"/>
    </row>
    <row r="5" spans="1:47" ht="15.75" customHeight="1">
      <c r="A5" s="315" t="s">
        <v>3</v>
      </c>
      <c r="B5" s="317" t="s">
        <v>89</v>
      </c>
      <c r="C5" s="15"/>
      <c r="D5" s="317">
        <v>2013</v>
      </c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>
        <v>2014</v>
      </c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8">
        <v>2015</v>
      </c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20"/>
      <c r="AQ5" s="15">
        <f>AD5+1</f>
        <v>2016</v>
      </c>
      <c r="AR5" s="15">
        <f>AQ5+1</f>
        <v>2017</v>
      </c>
      <c r="AS5" s="15">
        <f>AR5+1</f>
        <v>2018</v>
      </c>
      <c r="AT5" s="15">
        <f>AS5+1</f>
        <v>2019</v>
      </c>
      <c r="AU5" s="15">
        <f>AT5+1</f>
        <v>2020</v>
      </c>
    </row>
    <row r="6" spans="1:47" ht="12.75">
      <c r="A6" s="316"/>
      <c r="B6" s="317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6">
        <v>1</v>
      </c>
      <c r="AE6" s="16">
        <f aca="true" t="shared" si="2" ref="AE6:AO6">AD6+1</f>
        <v>2</v>
      </c>
      <c r="AF6" s="16">
        <f t="shared" si="2"/>
        <v>3</v>
      </c>
      <c r="AG6" s="16">
        <f t="shared" si="2"/>
        <v>4</v>
      </c>
      <c r="AH6" s="16">
        <f t="shared" si="2"/>
        <v>5</v>
      </c>
      <c r="AI6" s="16">
        <f t="shared" si="2"/>
        <v>6</v>
      </c>
      <c r="AJ6" s="16">
        <f t="shared" si="2"/>
        <v>7</v>
      </c>
      <c r="AK6" s="16">
        <f t="shared" si="2"/>
        <v>8</v>
      </c>
      <c r="AL6" s="16">
        <f t="shared" si="2"/>
        <v>9</v>
      </c>
      <c r="AM6" s="16">
        <f t="shared" si="2"/>
        <v>10</v>
      </c>
      <c r="AN6" s="16">
        <f t="shared" si="2"/>
        <v>11</v>
      </c>
      <c r="AO6" s="16">
        <f t="shared" si="2"/>
        <v>12</v>
      </c>
      <c r="AP6" s="15" t="s">
        <v>0</v>
      </c>
      <c r="AQ6" s="15" t="s">
        <v>111</v>
      </c>
      <c r="AR6" s="15" t="s">
        <v>111</v>
      </c>
      <c r="AS6" s="15" t="s">
        <v>111</v>
      </c>
      <c r="AT6" s="15" t="s">
        <v>111</v>
      </c>
      <c r="AU6" s="15" t="s">
        <v>111</v>
      </c>
    </row>
    <row r="7" spans="1:47" s="21" customFormat="1" ht="12.75">
      <c r="A7" s="17" t="s">
        <v>308</v>
      </c>
      <c r="B7" s="18">
        <f>P7</f>
        <v>0</v>
      </c>
      <c r="C7" s="19"/>
      <c r="D7" s="20">
        <f>C34</f>
        <v>0</v>
      </c>
      <c r="E7" s="20">
        <f aca="true" t="shared" si="3" ref="E7:K7">D34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K34</f>
        <v>0</v>
      </c>
      <c r="M7" s="20">
        <f>L34</f>
        <v>0</v>
      </c>
      <c r="N7" s="20">
        <f>M34</f>
        <v>0</v>
      </c>
      <c r="O7" s="20">
        <f>N34</f>
        <v>31763.120000000003</v>
      </c>
      <c r="P7" s="20">
        <f>D7</f>
        <v>0</v>
      </c>
      <c r="Q7" s="20">
        <f>P34</f>
        <v>0</v>
      </c>
      <c r="R7" s="20">
        <f aca="true" t="shared" si="4" ref="R7:AA7">Q34</f>
        <v>4970.498520000001</v>
      </c>
      <c r="S7" s="20">
        <f t="shared" si="4"/>
        <v>10468.319150000001</v>
      </c>
      <c r="T7" s="20">
        <f t="shared" si="4"/>
        <v>6519.358108166671</v>
      </c>
      <c r="U7" s="20">
        <f t="shared" si="4"/>
        <v>8510.083126333338</v>
      </c>
      <c r="V7" s="20">
        <f t="shared" si="4"/>
        <v>10500.808144500006</v>
      </c>
      <c r="W7" s="20">
        <f t="shared" si="4"/>
        <v>12491.533162666674</v>
      </c>
      <c r="X7" s="20">
        <f t="shared" si="4"/>
        <v>11629.506740833342</v>
      </c>
      <c r="Y7" s="20">
        <f t="shared" si="4"/>
        <v>10451.719436003532</v>
      </c>
      <c r="Z7" s="20">
        <f t="shared" si="4"/>
        <v>8929.188730128684</v>
      </c>
      <c r="AA7" s="20">
        <f t="shared" si="4"/>
        <v>5980.282304253835</v>
      </c>
      <c r="AB7" s="20">
        <f>AA34</f>
        <v>3031.375878378987</v>
      </c>
      <c r="AC7" s="20">
        <f>Q7</f>
        <v>0</v>
      </c>
      <c r="AD7" s="20">
        <f aca="true" t="shared" si="5" ref="AD7:AO7">AC34</f>
        <v>82.46945250413773</v>
      </c>
      <c r="AE7" s="20">
        <f t="shared" si="5"/>
        <v>5062.165357629293</v>
      </c>
      <c r="AF7" s="20">
        <f t="shared" si="5"/>
        <v>10041.861262754448</v>
      </c>
      <c r="AG7" s="20">
        <f t="shared" si="5"/>
        <v>14877.82753752583</v>
      </c>
      <c r="AH7" s="20">
        <f t="shared" si="5"/>
        <v>17952.472552055227</v>
      </c>
      <c r="AI7" s="20">
        <f t="shared" si="5"/>
        <v>21026.312718301848</v>
      </c>
      <c r="AJ7" s="20">
        <f t="shared" si="5"/>
        <v>24099.34334131738</v>
      </c>
      <c r="AK7" s="20">
        <f t="shared" si="5"/>
        <v>25745.18397876631</v>
      </c>
      <c r="AL7" s="20">
        <f t="shared" si="5"/>
        <v>27142.408144337576</v>
      </c>
      <c r="AM7" s="20">
        <f t="shared" si="5"/>
        <v>28179.18955329823</v>
      </c>
      <c r="AN7" s="20">
        <f t="shared" si="5"/>
        <v>27941.5926137603</v>
      </c>
      <c r="AO7" s="20">
        <f t="shared" si="5"/>
        <v>27703.162242232534</v>
      </c>
      <c r="AP7" s="20">
        <f>AD7</f>
        <v>82.46945250413773</v>
      </c>
      <c r="AQ7" s="20">
        <f>AP34</f>
        <v>27463.893577028324</v>
      </c>
      <c r="AR7" s="20">
        <f>AQ34</f>
        <v>58099.67367513098</v>
      </c>
      <c r="AS7" s="20">
        <f>AR34</f>
        <v>91663.15114270765</v>
      </c>
      <c r="AT7" s="20">
        <f>AS34</f>
        <v>128047.81148304223</v>
      </c>
      <c r="AU7" s="20">
        <f>AT34</f>
        <v>167141.60459875318</v>
      </c>
    </row>
    <row r="8" spans="1:47" s="21" customFormat="1" ht="12.75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s="21" customFormat="1" ht="12.75">
      <c r="A9" s="26" t="s">
        <v>18</v>
      </c>
      <c r="B9" s="27">
        <f>SUM(B10:B10)</f>
        <v>2680688.5875000004</v>
      </c>
      <c r="C9" s="27"/>
      <c r="D9" s="27">
        <f aca="true" t="shared" si="6" ref="D9:AU9">SUM(D10:D10)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8792.4375</v>
      </c>
      <c r="R9" s="27">
        <f t="shared" si="6"/>
        <v>8792.4375</v>
      </c>
      <c r="S9" s="27">
        <f t="shared" si="6"/>
        <v>8792.4375</v>
      </c>
      <c r="T9" s="27">
        <f t="shared" si="6"/>
        <v>17584.875</v>
      </c>
      <c r="U9" s="27">
        <f t="shared" si="6"/>
        <v>17584.875</v>
      </c>
      <c r="V9" s="27">
        <f t="shared" si="6"/>
        <v>17584.875</v>
      </c>
      <c r="W9" s="27">
        <f t="shared" si="6"/>
        <v>17584.875</v>
      </c>
      <c r="X9" s="27">
        <f t="shared" si="6"/>
        <v>17584.875</v>
      </c>
      <c r="Y9" s="27">
        <f t="shared" si="6"/>
        <v>17584.875</v>
      </c>
      <c r="Z9" s="27">
        <f t="shared" si="6"/>
        <v>17584.875</v>
      </c>
      <c r="AA9" s="27">
        <f t="shared" si="6"/>
        <v>17584.875</v>
      </c>
      <c r="AB9" s="27">
        <f t="shared" si="6"/>
        <v>17584.875</v>
      </c>
      <c r="AC9" s="27">
        <f t="shared" si="6"/>
        <v>184641.1875</v>
      </c>
      <c r="AD9" s="27">
        <f t="shared" si="6"/>
        <v>27130.950000000004</v>
      </c>
      <c r="AE9" s="27">
        <f t="shared" si="6"/>
        <v>27130.950000000004</v>
      </c>
      <c r="AF9" s="27">
        <f t="shared" si="6"/>
        <v>27130.950000000004</v>
      </c>
      <c r="AG9" s="27">
        <f t="shared" si="6"/>
        <v>27130.950000000004</v>
      </c>
      <c r="AH9" s="27">
        <f t="shared" si="6"/>
        <v>27130.950000000004</v>
      </c>
      <c r="AI9" s="27">
        <f t="shared" si="6"/>
        <v>27130.950000000004</v>
      </c>
      <c r="AJ9" s="27">
        <f t="shared" si="6"/>
        <v>27130.950000000004</v>
      </c>
      <c r="AK9" s="27">
        <f t="shared" si="6"/>
        <v>27130.950000000004</v>
      </c>
      <c r="AL9" s="27">
        <f t="shared" si="6"/>
        <v>27130.950000000004</v>
      </c>
      <c r="AM9" s="27">
        <f t="shared" si="6"/>
        <v>27130.950000000004</v>
      </c>
      <c r="AN9" s="27">
        <f t="shared" si="6"/>
        <v>27130.950000000004</v>
      </c>
      <c r="AO9" s="27">
        <f t="shared" si="6"/>
        <v>27130.950000000004</v>
      </c>
      <c r="AP9" s="27">
        <f t="shared" si="6"/>
        <v>325571.4000000001</v>
      </c>
      <c r="AQ9" s="27">
        <f t="shared" si="6"/>
        <v>385862.4</v>
      </c>
      <c r="AR9" s="27">
        <f t="shared" si="6"/>
        <v>409978.80000000005</v>
      </c>
      <c r="AS9" s="27">
        <f t="shared" si="6"/>
        <v>434095.20000000007</v>
      </c>
      <c r="AT9" s="27">
        <f t="shared" si="6"/>
        <v>458211.60000000003</v>
      </c>
      <c r="AU9" s="27">
        <f t="shared" si="6"/>
        <v>482328.00000000006</v>
      </c>
    </row>
    <row r="10" spans="1:47" ht="12.75">
      <c r="A10" s="28" t="str">
        <f>'2-ф2'!A6</f>
        <v>Ковер</v>
      </c>
      <c r="B10" s="27">
        <f>P10+AC10+AP10+AQ10+AR10+AS10+AT10+AU10</f>
        <v>2680688.5875000004</v>
      </c>
      <c r="C10" s="27"/>
      <c r="D10" s="29">
        <f>'2-ф2'!D6*Исх!$C$19</f>
        <v>0</v>
      </c>
      <c r="E10" s="29">
        <f>'2-ф2'!E6*Исх!$C$19</f>
        <v>0</v>
      </c>
      <c r="F10" s="29">
        <f>'2-ф2'!F6*Исх!$C$19</f>
        <v>0</v>
      </c>
      <c r="G10" s="29">
        <f>'2-ф2'!G6*Исх!$C$19</f>
        <v>0</v>
      </c>
      <c r="H10" s="29">
        <f>'2-ф2'!H6*Исх!$C$19</f>
        <v>0</v>
      </c>
      <c r="I10" s="29">
        <f>'2-ф2'!I6*Исх!$C$19</f>
        <v>0</v>
      </c>
      <c r="J10" s="29">
        <f>'2-ф2'!J6*Исх!$C$19</f>
        <v>0</v>
      </c>
      <c r="K10" s="29">
        <f>'2-ф2'!K6*Исх!$C$19</f>
        <v>0</v>
      </c>
      <c r="L10" s="29">
        <f>'2-ф2'!L6*Исх!$C$19</f>
        <v>0</v>
      </c>
      <c r="M10" s="29">
        <f>'2-ф2'!M6*Исх!$C$19</f>
        <v>0</v>
      </c>
      <c r="N10" s="29">
        <f>'2-ф2'!N6*Исх!$C$19</f>
        <v>0</v>
      </c>
      <c r="O10" s="29">
        <f>'2-ф2'!O6*Исх!$C$19</f>
        <v>0</v>
      </c>
      <c r="P10" s="27">
        <f>SUM(D10:O10)</f>
        <v>0</v>
      </c>
      <c r="Q10" s="29">
        <f>'2-ф2'!Q6*Исх!$C$19</f>
        <v>8792.4375</v>
      </c>
      <c r="R10" s="29">
        <f>'2-ф2'!R6*Исх!$C$19</f>
        <v>8792.4375</v>
      </c>
      <c r="S10" s="29">
        <f>'2-ф2'!S6*Исх!$C$19</f>
        <v>8792.4375</v>
      </c>
      <c r="T10" s="29">
        <f>'2-ф2'!T6*Исх!$C$19</f>
        <v>17584.875</v>
      </c>
      <c r="U10" s="29">
        <f>'2-ф2'!U6*Исх!$C$19</f>
        <v>17584.875</v>
      </c>
      <c r="V10" s="29">
        <f>'2-ф2'!V6*Исх!$C$19</f>
        <v>17584.875</v>
      </c>
      <c r="W10" s="29">
        <f>'2-ф2'!W6*Исх!$C$19</f>
        <v>17584.875</v>
      </c>
      <c r="X10" s="29">
        <f>'2-ф2'!X6*Исх!$C$19</f>
        <v>17584.875</v>
      </c>
      <c r="Y10" s="29">
        <f>'2-ф2'!Y6*Исх!$C$19</f>
        <v>17584.875</v>
      </c>
      <c r="Z10" s="29">
        <f>'2-ф2'!Z6*Исх!$C$19</f>
        <v>17584.875</v>
      </c>
      <c r="AA10" s="29">
        <f>'2-ф2'!AA6*Исх!$C$19</f>
        <v>17584.875</v>
      </c>
      <c r="AB10" s="29">
        <f>'2-ф2'!AB6*Исх!$C$19</f>
        <v>17584.875</v>
      </c>
      <c r="AC10" s="27">
        <f>SUM(Q10:AB10)</f>
        <v>184641.1875</v>
      </c>
      <c r="AD10" s="29">
        <f>'2-ф2'!AD6*Исх!$C$19</f>
        <v>27130.950000000004</v>
      </c>
      <c r="AE10" s="29">
        <f>'2-ф2'!AE6*Исх!$C$19</f>
        <v>27130.950000000004</v>
      </c>
      <c r="AF10" s="29">
        <f>'2-ф2'!AF6*Исх!$C$19</f>
        <v>27130.950000000004</v>
      </c>
      <c r="AG10" s="29">
        <f>'2-ф2'!AG6*Исх!$C$19</f>
        <v>27130.950000000004</v>
      </c>
      <c r="AH10" s="29">
        <f>'2-ф2'!AH6*Исх!$C$19</f>
        <v>27130.950000000004</v>
      </c>
      <c r="AI10" s="29">
        <f>'2-ф2'!AI6*Исх!$C$19</f>
        <v>27130.950000000004</v>
      </c>
      <c r="AJ10" s="29">
        <f>'2-ф2'!AJ6*Исх!$C$19</f>
        <v>27130.950000000004</v>
      </c>
      <c r="AK10" s="29">
        <f>'2-ф2'!AK6*Исх!$C$19</f>
        <v>27130.950000000004</v>
      </c>
      <c r="AL10" s="29">
        <f>'2-ф2'!AL6*Исх!$C$19</f>
        <v>27130.950000000004</v>
      </c>
      <c r="AM10" s="29">
        <f>'2-ф2'!AM6*Исх!$C$19</f>
        <v>27130.950000000004</v>
      </c>
      <c r="AN10" s="29">
        <f>'2-ф2'!AN6*Исх!$C$19</f>
        <v>27130.950000000004</v>
      </c>
      <c r="AO10" s="29">
        <f>'2-ф2'!AO6*Исх!$C$19</f>
        <v>27130.950000000004</v>
      </c>
      <c r="AP10" s="27">
        <f>SUM(AD10:AO10)</f>
        <v>325571.4000000001</v>
      </c>
      <c r="AQ10" s="29">
        <f>'2-ф2'!AQ6*Исх!$C$19</f>
        <v>385862.4</v>
      </c>
      <c r="AR10" s="29">
        <f>'2-ф2'!AR6*Исх!$C$19</f>
        <v>409978.80000000005</v>
      </c>
      <c r="AS10" s="29">
        <f>'2-ф2'!AS6*Исх!$C$19</f>
        <v>434095.20000000007</v>
      </c>
      <c r="AT10" s="29">
        <f>'2-ф2'!AT6*Исх!$C$19</f>
        <v>458211.60000000003</v>
      </c>
      <c r="AU10" s="29">
        <f>'2-ф2'!AU6*Исх!$C$19</f>
        <v>482328.00000000006</v>
      </c>
    </row>
    <row r="11" spans="1:47" s="21" customFormat="1" ht="12.75">
      <c r="A11" s="30" t="s">
        <v>5</v>
      </c>
      <c r="B11" s="27">
        <f>SUM(B12:B16)</f>
        <v>2439084.2080360744</v>
      </c>
      <c r="C11" s="27"/>
      <c r="D11" s="31">
        <f aca="true" t="shared" si="7" ref="D11:AU11">SUM(D12:D16)</f>
        <v>0</v>
      </c>
      <c r="E11" s="31">
        <f t="shared" si="7"/>
        <v>0</v>
      </c>
      <c r="F11" s="31">
        <f t="shared" si="7"/>
        <v>0</v>
      </c>
      <c r="G11" s="31">
        <f t="shared" si="7"/>
        <v>0</v>
      </c>
      <c r="H11" s="31">
        <f t="shared" si="7"/>
        <v>0</v>
      </c>
      <c r="I11" s="31">
        <f t="shared" si="7"/>
        <v>0</v>
      </c>
      <c r="J11" s="31">
        <f t="shared" si="7"/>
        <v>0</v>
      </c>
      <c r="K11" s="31">
        <f t="shared" si="7"/>
        <v>0</v>
      </c>
      <c r="L11" s="31">
        <f t="shared" si="7"/>
        <v>0</v>
      </c>
      <c r="M11" s="31">
        <f t="shared" si="7"/>
        <v>0</v>
      </c>
      <c r="N11" s="31">
        <f t="shared" si="7"/>
        <v>0</v>
      </c>
      <c r="O11" s="31">
        <f t="shared" si="7"/>
        <v>12837.381479999996</v>
      </c>
      <c r="P11" s="31">
        <f t="shared" si="7"/>
        <v>12837.381479999996</v>
      </c>
      <c r="Q11" s="31">
        <f t="shared" si="7"/>
        <v>12380.193299999997</v>
      </c>
      <c r="R11" s="31">
        <f t="shared" si="7"/>
        <v>12552.871189999998</v>
      </c>
      <c r="S11" s="31">
        <f t="shared" si="7"/>
        <v>12741.39854183333</v>
      </c>
      <c r="T11" s="31">
        <f t="shared" si="7"/>
        <v>15594.149981833332</v>
      </c>
      <c r="U11" s="31">
        <f t="shared" si="7"/>
        <v>15594.149981833332</v>
      </c>
      <c r="V11" s="31">
        <f t="shared" si="7"/>
        <v>15594.149981833332</v>
      </c>
      <c r="W11" s="31">
        <f t="shared" si="7"/>
        <v>18446.901421833332</v>
      </c>
      <c r="X11" s="31">
        <f t="shared" si="7"/>
        <v>18446.901421833332</v>
      </c>
      <c r="Y11" s="31">
        <f t="shared" si="7"/>
        <v>18445.059483349185</v>
      </c>
      <c r="Z11" s="31">
        <f t="shared" si="7"/>
        <v>19867.57151705112</v>
      </c>
      <c r="AA11" s="31">
        <f t="shared" si="7"/>
        <v>19863.68529258298</v>
      </c>
      <c r="AB11" s="31">
        <f t="shared" si="7"/>
        <v>19859.776398472113</v>
      </c>
      <c r="AC11" s="31">
        <f t="shared" si="7"/>
        <v>199386.80851245538</v>
      </c>
      <c r="AD11" s="31">
        <f t="shared" si="7"/>
        <v>21473.31737147893</v>
      </c>
      <c r="AE11" s="31">
        <f t="shared" si="7"/>
        <v>21469.362740592453</v>
      </c>
      <c r="AF11" s="31">
        <f t="shared" si="7"/>
        <v>21609.11467137958</v>
      </c>
      <c r="AG11" s="31">
        <f t="shared" si="7"/>
        <v>23366.435028807446</v>
      </c>
      <c r="AH11" s="31">
        <f t="shared" si="7"/>
        <v>23363.215635676355</v>
      </c>
      <c r="AI11" s="31">
        <f t="shared" si="7"/>
        <v>23359.97746275199</v>
      </c>
      <c r="AJ11" s="31">
        <f t="shared" si="7"/>
        <v>24783.096120485574</v>
      </c>
      <c r="AK11" s="31">
        <f t="shared" si="7"/>
        <v>25027.61751511785</v>
      </c>
      <c r="AL11" s="31">
        <f t="shared" si="7"/>
        <v>25383.941306532484</v>
      </c>
      <c r="AM11" s="31">
        <f t="shared" si="7"/>
        <v>26654.176662538117</v>
      </c>
      <c r="AN11" s="31">
        <f t="shared" si="7"/>
        <v>26650.84293457878</v>
      </c>
      <c r="AO11" s="31">
        <f t="shared" si="7"/>
        <v>26647.489759873024</v>
      </c>
      <c r="AP11" s="31">
        <f t="shared" si="7"/>
        <v>289788.5872098126</v>
      </c>
      <c r="AQ11" s="31">
        <f t="shared" si="7"/>
        <v>346217.89417028864</v>
      </c>
      <c r="AR11" s="31">
        <f t="shared" si="7"/>
        <v>366755.355289265</v>
      </c>
      <c r="AS11" s="31">
        <f t="shared" si="7"/>
        <v>387352.2526034306</v>
      </c>
      <c r="AT11" s="31">
        <f t="shared" si="7"/>
        <v>408010.7184192269</v>
      </c>
      <c r="AU11" s="31">
        <f t="shared" si="7"/>
        <v>428735.2103515952</v>
      </c>
    </row>
    <row r="12" spans="1:47" ht="12.75">
      <c r="A12" s="28" t="str">
        <f>'2-ф2'!A8</f>
        <v>Сырье и материалы</v>
      </c>
      <c r="B12" s="27">
        <f>P12+AC12+AP12+AQ12+AR12+AS12+AT12+AU12</f>
        <v>1934165.47632</v>
      </c>
      <c r="C12" s="32"/>
      <c r="D12" s="29">
        <f>'2-ф2'!D8/2*Исх!$C$19+'2-ф2'!D8/2</f>
        <v>0</v>
      </c>
      <c r="E12" s="29">
        <f>'2-ф2'!E8/2*Исх!$C$19+'2-ф2'!E8/2</f>
        <v>0</v>
      </c>
      <c r="F12" s="29"/>
      <c r="G12" s="29">
        <f>'2-ф2'!G8/2*Исх!$C$19+'2-ф2'!G8/2</f>
        <v>0</v>
      </c>
      <c r="H12" s="29">
        <f>'2-ф2'!H8/2*Исх!$C$19+'2-ф2'!H8/2</f>
        <v>0</v>
      </c>
      <c r="I12" s="29">
        <f>'2-ф2'!I8/2*Исх!$C$19+'2-ф2'!I8/2</f>
        <v>0</v>
      </c>
      <c r="J12" s="29">
        <f>'2-ф2'!J8*Исх!$C$19</f>
        <v>0</v>
      </c>
      <c r="K12" s="29">
        <f>'2-ф2'!K8*Исх!$C$19</f>
        <v>0</v>
      </c>
      <c r="L12" s="29">
        <f>'2-ф2'!L8*Исх!$C$19</f>
        <v>0</v>
      </c>
      <c r="M12" s="29">
        <f>'2-ф2'!M8*Исх!$C$19</f>
        <v>0</v>
      </c>
      <c r="N12" s="29">
        <f>'2-ф2'!N8*Исх!$C$19</f>
        <v>0</v>
      </c>
      <c r="O12" s="29">
        <f>Q12*1.5</f>
        <v>12837.381479999996</v>
      </c>
      <c r="P12" s="27">
        <f>SUM(D12:O12)</f>
        <v>12837.381479999996</v>
      </c>
      <c r="Q12" s="29">
        <f>Производство!Q7*'Расх перем'!$E$10*Исх!$C$19/1000</f>
        <v>8558.254319999998</v>
      </c>
      <c r="R12" s="29">
        <f>Производство!R7*'Расх перем'!$E$10*Исх!$C$19/1000</f>
        <v>8558.254319999998</v>
      </c>
      <c r="S12" s="29">
        <f>Производство!S7*'Расх перем'!$E$10*Исх!$C$19/1000</f>
        <v>8558.254319999998</v>
      </c>
      <c r="T12" s="29">
        <f>Производство!T7*'Расх перем'!$E$10*Исх!$C$19/1000</f>
        <v>11411.00576</v>
      </c>
      <c r="U12" s="29">
        <f>Производство!U7*'Расх перем'!$E$10*Исх!$C$19/1000</f>
        <v>11411.00576</v>
      </c>
      <c r="V12" s="29">
        <f>Производство!V7*'Расх перем'!$E$10*Исх!$C$19/1000</f>
        <v>11411.00576</v>
      </c>
      <c r="W12" s="29">
        <f>Производство!W7*'Расх перем'!$E$10*Исх!$C$19/1000</f>
        <v>14263.757199999998</v>
      </c>
      <c r="X12" s="29">
        <f>Производство!X7*'Расх перем'!$E$10*Исх!$C$19/1000</f>
        <v>14263.757199999998</v>
      </c>
      <c r="Y12" s="29">
        <f>Производство!Y7*'Расх перем'!$E$10*Исх!$C$19/1000</f>
        <v>14263.757199999998</v>
      </c>
      <c r="Z12" s="29">
        <f>Производство!Z7*'Расх перем'!$E$10*Исх!$C$19/1000</f>
        <v>15690.132919999998</v>
      </c>
      <c r="AA12" s="29">
        <f>Производство!AA7*'Расх перем'!$E$10*Исх!$C$19/1000</f>
        <v>15690.132919999998</v>
      </c>
      <c r="AB12" s="29">
        <f>Производство!AB7*'Расх перем'!$E$10*Исх!$C$19/1000</f>
        <v>15690.132919999998</v>
      </c>
      <c r="AC12" s="27">
        <f>SUM(Q12:AB12)</f>
        <v>149769.45059999998</v>
      </c>
      <c r="AD12" s="29">
        <f>Производство!AD7*'Расх перем'!$E$10*Исх!$C$19/1000</f>
        <v>17116.508639999996</v>
      </c>
      <c r="AE12" s="29">
        <f>Производство!AE7*'Расх перем'!$E$10*Исх!$C$19/1000</f>
        <v>17116.508639999996</v>
      </c>
      <c r="AF12" s="29">
        <f>Производство!AF7*'Расх перем'!$E$10*Исх!$C$19/1000</f>
        <v>17116.508639999996</v>
      </c>
      <c r="AG12" s="29">
        <f>Производство!AG7*'Расх перем'!$E$10*Исх!$C$19/1000</f>
        <v>18542.88436</v>
      </c>
      <c r="AH12" s="29">
        <f>Производство!AH7*'Расх перем'!$E$10*Исх!$C$19/1000</f>
        <v>18542.88436</v>
      </c>
      <c r="AI12" s="29">
        <f>Производство!AI7*'Расх перем'!$E$10*Исх!$C$19/1000</f>
        <v>18542.88436</v>
      </c>
      <c r="AJ12" s="29">
        <f>Производство!AJ7*'Расх перем'!$E$10*Исх!$C$19/1000</f>
        <v>19969.26008</v>
      </c>
      <c r="AK12" s="29">
        <f>Производство!AK7*'Расх перем'!$E$10*Исх!$C$19/1000</f>
        <v>19969.26008</v>
      </c>
      <c r="AL12" s="29">
        <f>Производство!AL7*'Расх перем'!$E$10*Исх!$C$19/1000</f>
        <v>19969.26008</v>
      </c>
      <c r="AM12" s="29">
        <f>Производство!AM7*'Расх перем'!$E$10*Исх!$C$19/1000</f>
        <v>21395.635799999996</v>
      </c>
      <c r="AN12" s="29">
        <f>Производство!AN7*'Расх перем'!$E$10*Исх!$C$19/1000</f>
        <v>21395.635799999996</v>
      </c>
      <c r="AO12" s="29">
        <f>Производство!AO7*'Расх перем'!$E$10*Исх!$C$19/1000</f>
        <v>21395.635799999996</v>
      </c>
      <c r="AP12" s="27">
        <f>SUM(AD12:AO12)</f>
        <v>231072.86663999996</v>
      </c>
      <c r="AQ12" s="29">
        <f>Производство!AQ7*'Расх перем'!$E$10*Исх!$C$19/1000</f>
        <v>273864.13823999994</v>
      </c>
      <c r="AR12" s="29">
        <f>Производство!AR7*'Расх перем'!$E$10*Исх!$C$19/1000</f>
        <v>290980.64687999996</v>
      </c>
      <c r="AS12" s="29">
        <f>Производство!AS7*'Расх перем'!$E$10*Исх!$C$19/1000</f>
        <v>308097.15552</v>
      </c>
      <c r="AT12" s="29">
        <f>Производство!AT7*'Расх перем'!$E$10*Исх!$C$19/1000</f>
        <v>325213.66416</v>
      </c>
      <c r="AU12" s="29">
        <f>Производство!AU7*'Расх перем'!$E$10*Исх!$C$19/1000</f>
        <v>342330.17279999994</v>
      </c>
    </row>
    <row r="13" spans="1:47" ht="12.75">
      <c r="A13" s="28" t="s">
        <v>145</v>
      </c>
      <c r="B13" s="27">
        <f>P13+AC13+AP13+AQ13+AR13+AS13+AT13+AU13</f>
        <v>373419.11378985527</v>
      </c>
      <c r="C13" s="2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7">
        <f>SUM(D13:O13)</f>
        <v>0</v>
      </c>
      <c r="Q13" s="29">
        <f>(Пост!$D$16-Пост!$D$5)*Исх!$C$19+Пост!$D$5+Пост!$D$18+Пост!$D$21</f>
        <v>3821.9389799999994</v>
      </c>
      <c r="R13" s="29">
        <f>(Пост!$D$16-Пост!$D$5)*Исх!$C$19+Пост!$D$5+Пост!$D$18+Пост!$D$21</f>
        <v>3821.9389799999994</v>
      </c>
      <c r="S13" s="29">
        <f>(Пост!$D$16-Пост!$D$5)*Исх!$C$19+Пост!$D$5+Пост!$D$18+Пост!$D$21</f>
        <v>3821.9389799999994</v>
      </c>
      <c r="T13" s="29">
        <f>(Пост!$D$16-Пост!$D$5)*Исх!$C$19+Пост!$D$5+Пост!$D$18+Пост!$D$21</f>
        <v>3821.9389799999994</v>
      </c>
      <c r="U13" s="29">
        <f>(Пост!$D$16-Пост!$D$5)*Исх!$C$19+Пост!$D$5+Пост!$D$18+Пост!$D$21</f>
        <v>3821.9389799999994</v>
      </c>
      <c r="V13" s="29">
        <f>(Пост!$D$16-Пост!$D$5)*Исх!$C$19+Пост!$D$5+Пост!$D$18+Пост!$D$21</f>
        <v>3821.9389799999994</v>
      </c>
      <c r="W13" s="29">
        <f>(Пост!$D$16-Пост!$D$5)*Исх!$C$19+Пост!$D$5+Пост!$D$18+Пост!$D$21</f>
        <v>3821.9389799999994</v>
      </c>
      <c r="X13" s="29">
        <f>(Пост!$D$16-Пост!$D$5)*Исх!$C$19+Пост!$D$5+Пост!$D$18+Пост!$D$21</f>
        <v>3821.9389799999994</v>
      </c>
      <c r="Y13" s="29">
        <f>(Пост!$D$16-Пост!$D$5)*Исх!$C$19+Пост!$D$5+Пост!$D$18+Пост!$D$21</f>
        <v>3821.9389799999994</v>
      </c>
      <c r="Z13" s="29">
        <f>(Пост!$D$16-Пост!$D$5)*Исх!$C$19+Пост!$D$5+Пост!$D$18+Пост!$D$21</f>
        <v>3821.9389799999994</v>
      </c>
      <c r="AA13" s="29">
        <f>(Пост!$D$16-Пост!$D$5)*Исх!$C$19+Пост!$D$5+Пост!$D$18+Пост!$D$21</f>
        <v>3821.9389799999994</v>
      </c>
      <c r="AB13" s="29">
        <f>(Пост!$D$16-Пост!$D$5)*Исх!$C$19+Пост!$D$5+Пост!$D$18+Пост!$D$21</f>
        <v>3821.9389799999994</v>
      </c>
      <c r="AC13" s="27">
        <f>SUM(Q13:AB13)</f>
        <v>45863.267759999995</v>
      </c>
      <c r="AD13" s="29">
        <f>(Пост!$E$16-Пост!$E$5)*Исх!$C$19+Пост!$E$5+Пост!$E$18+Пост!$E$21</f>
        <v>4013.035929</v>
      </c>
      <c r="AE13" s="29">
        <f>(Пост!$E$16-Пост!$E$5)*Исх!$C$19+Пост!$E$5+Пост!$E$18+Пост!$E$21</f>
        <v>4013.035929</v>
      </c>
      <c r="AF13" s="29">
        <f>(Пост!$E$16-Пост!$E$5)*Исх!$C$19+Пост!$E$5+Пост!$E$18+Пост!$E$21</f>
        <v>4013.035929</v>
      </c>
      <c r="AG13" s="29">
        <f>(Пост!$E$16-Пост!$E$5)*Исх!$C$19+Пост!$E$5+Пост!$E$18+Пост!$E$21</f>
        <v>4013.035929</v>
      </c>
      <c r="AH13" s="29">
        <f>(Пост!$E$16-Пост!$E$5)*Исх!$C$19+Пост!$E$5+Пост!$E$18+Пост!$E$21</f>
        <v>4013.035929</v>
      </c>
      <c r="AI13" s="29">
        <f>(Пост!$E$16-Пост!$E$5)*Исх!$C$19+Пост!$E$5+Пост!$E$18+Пост!$E$21</f>
        <v>4013.035929</v>
      </c>
      <c r="AJ13" s="29">
        <f>(Пост!$E$16-Пост!$E$5)*Исх!$C$19+Пост!$E$5+Пост!$E$18+Пост!$E$21</f>
        <v>4013.035929</v>
      </c>
      <c r="AK13" s="29">
        <f>(Пост!$E$16-Пост!$E$5)*Исх!$C$19+Пост!$E$5+Пост!$E$18+Пост!$E$21</f>
        <v>4013.035929</v>
      </c>
      <c r="AL13" s="29">
        <f>(Пост!$E$16-Пост!$E$5)*Исх!$C$19+Пост!$E$5+Пост!$E$18+Пост!$E$21</f>
        <v>4013.035929</v>
      </c>
      <c r="AM13" s="29">
        <f>(Пост!$E$16-Пост!$E$5)*Исх!$C$19+Пост!$E$5+Пост!$E$18+Пост!$E$21</f>
        <v>4013.035929</v>
      </c>
      <c r="AN13" s="29">
        <f>(Пост!$E$16-Пост!$E$5)*Исх!$C$19+Пост!$E$5+Пост!$E$18+Пост!$E$21</f>
        <v>4013.035929</v>
      </c>
      <c r="AO13" s="29">
        <f>(Пост!$E$16-Пост!$E$5)*Исх!$C$19+Пост!$E$5+Пост!$E$18+Пост!$E$21</f>
        <v>4013.035929</v>
      </c>
      <c r="AP13" s="27">
        <f>SUM(AD13:AO13)</f>
        <v>48156.431147999996</v>
      </c>
      <c r="AQ13" s="29">
        <f>((Пост!F16-Пост!F5)*Исх!$C$19+Пост!F5+Пост!F18+Пост!F21)*12</f>
        <v>50564.25270540001</v>
      </c>
      <c r="AR13" s="29">
        <f>((Пост!G16-Пост!G5)*Исх!$C$19+Пост!G5+Пост!G18+Пост!G21)*12</f>
        <v>53092.465340669994</v>
      </c>
      <c r="AS13" s="29">
        <f>((Пост!H16-Пост!H5)*Исх!$C$19+Пост!H5+Пост!H18+Пост!H21)*12</f>
        <v>55747.08860770348</v>
      </c>
      <c r="AT13" s="29">
        <f>((Пост!I16-Пост!I5)*Исх!$C$19+Пост!I5+Пост!I18+Пост!I21)*12</f>
        <v>58534.44303808869</v>
      </c>
      <c r="AU13" s="29">
        <f>((Пост!J16-Пост!J5)*Исх!$C$19+Пост!J5+Пост!J18+Пост!J21)*12</f>
        <v>61461.1651899931</v>
      </c>
    </row>
    <row r="14" spans="1:47" ht="12.75">
      <c r="A14" s="28" t="s">
        <v>54</v>
      </c>
      <c r="B14" s="27">
        <f>P14+AC14+AP14+AQ14+AR14+AS14+AT14+AU14</f>
        <v>16874.547291613962</v>
      </c>
      <c r="C14" s="27"/>
      <c r="D14" s="29">
        <f>кр!C26</f>
        <v>0</v>
      </c>
      <c r="E14" s="29">
        <f>кр!D26</f>
        <v>0</v>
      </c>
      <c r="F14" s="29">
        <f>кр!E26</f>
        <v>0</v>
      </c>
      <c r="G14" s="29">
        <f>кр!F26</f>
        <v>0</v>
      </c>
      <c r="H14" s="29">
        <f>кр!G26</f>
        <v>0</v>
      </c>
      <c r="I14" s="29">
        <f>кр!H26</f>
        <v>0</v>
      </c>
      <c r="J14" s="29">
        <f>кр!I26</f>
        <v>0</v>
      </c>
      <c r="K14" s="29">
        <f>кр!J26</f>
        <v>0</v>
      </c>
      <c r="L14" s="29">
        <f>кр!K26</f>
        <v>0</v>
      </c>
      <c r="M14" s="29">
        <f>кр!L26</f>
        <v>0</v>
      </c>
      <c r="N14" s="29">
        <f>кр!M26</f>
        <v>0</v>
      </c>
      <c r="O14" s="29">
        <f>кр!N26</f>
        <v>0</v>
      </c>
      <c r="P14" s="27">
        <f>SUM(D14:O14)</f>
        <v>0</v>
      </c>
      <c r="Q14" s="29">
        <f>кр!P26</f>
        <v>0</v>
      </c>
      <c r="R14" s="29">
        <f>кр!Q26</f>
        <v>172.67789000000005</v>
      </c>
      <c r="S14" s="29">
        <f>кр!R26</f>
        <v>361.2052418333334</v>
      </c>
      <c r="T14" s="29">
        <f>кр!S26</f>
        <v>361.2052418333334</v>
      </c>
      <c r="U14" s="29">
        <f>кр!T26</f>
        <v>361.2052418333334</v>
      </c>
      <c r="V14" s="29">
        <f>кр!U26</f>
        <v>361.2052418333334</v>
      </c>
      <c r="W14" s="29">
        <f>кр!V26</f>
        <v>361.2052418333334</v>
      </c>
      <c r="X14" s="29">
        <f>кр!W26</f>
        <v>361.2052418333334</v>
      </c>
      <c r="Y14" s="29">
        <f>кр!X26</f>
        <v>359.3633033491873</v>
      </c>
      <c r="Z14" s="29">
        <f>кр!Y26</f>
        <v>355.49961705112094</v>
      </c>
      <c r="AA14" s="29">
        <f>кр!Z26</f>
        <v>351.61339258298244</v>
      </c>
      <c r="AB14" s="29">
        <f>кр!AA26</f>
        <v>347.70449847211324</v>
      </c>
      <c r="AC14" s="27">
        <f>SUM(Q14:AB14)</f>
        <v>3754.0901524554038</v>
      </c>
      <c r="AD14" s="29">
        <f>кр!AC26</f>
        <v>343.77280247893066</v>
      </c>
      <c r="AE14" s="29">
        <f>кр!AD26</f>
        <v>339.8181715924544</v>
      </c>
      <c r="AF14" s="29">
        <f>кр!AE26</f>
        <v>335.8404720258071</v>
      </c>
      <c r="AG14" s="29">
        <f>кр!AF26</f>
        <v>331.8395692116877</v>
      </c>
      <c r="AH14" s="29">
        <f>кр!AG26</f>
        <v>327.8153277978193</v>
      </c>
      <c r="AI14" s="29">
        <f>кр!AH26</f>
        <v>323.76761164236996</v>
      </c>
      <c r="AJ14" s="29">
        <f>кр!AI26</f>
        <v>319.6962838093471</v>
      </c>
      <c r="AK14" s="29">
        <f>кр!AJ26</f>
        <v>315.601206563965</v>
      </c>
      <c r="AL14" s="29">
        <f>кр!AK26</f>
        <v>311.48224136798484</v>
      </c>
      <c r="AM14" s="29">
        <f>кр!AL26</f>
        <v>307.3392488750281</v>
      </c>
      <c r="AN14" s="29">
        <f>кр!AM26</f>
        <v>303.1720889258625</v>
      </c>
      <c r="AO14" s="29">
        <f>кр!AN26</f>
        <v>298.98062054366005</v>
      </c>
      <c r="AP14" s="27">
        <f>SUM(AD14:AO14)</f>
        <v>3859.125644834917</v>
      </c>
      <c r="AQ14" s="34">
        <f>кр!BB26</f>
        <v>3251.7885788894564</v>
      </c>
      <c r="AR14" s="34">
        <f>кр!BO26</f>
        <v>2600.54706733981</v>
      </c>
      <c r="AS14" s="34">
        <f>кр!CB26</f>
        <v>1902.2272542633027</v>
      </c>
      <c r="AT14" s="34">
        <f>кр!CO26</f>
        <v>1153.425845435983</v>
      </c>
      <c r="AU14" s="34">
        <f>кр!DB26</f>
        <v>353.3427483950859</v>
      </c>
    </row>
    <row r="15" spans="1:47" ht="14.25" customHeight="1">
      <c r="A15" s="28" t="s">
        <v>209</v>
      </c>
      <c r="B15" s="27">
        <f>P15+AC15+AP15+AQ15+AR15+AS15+AT15+AU15</f>
        <v>56040.36548495472</v>
      </c>
      <c r="C15" s="27"/>
      <c r="D15" s="29">
        <f>'2-ф2'!D14</f>
        <v>0</v>
      </c>
      <c r="E15" s="29">
        <f>'2-ф2'!E14</f>
        <v>0</v>
      </c>
      <c r="F15" s="29">
        <f>'2-ф2'!F14</f>
        <v>0</v>
      </c>
      <c r="G15" s="29">
        <f>'2-ф2'!G14</f>
        <v>0</v>
      </c>
      <c r="H15" s="29">
        <f>'2-ф2'!H14</f>
        <v>0</v>
      </c>
      <c r="I15" s="29">
        <f>'2-ф2'!I14</f>
        <v>0</v>
      </c>
      <c r="J15" s="29">
        <f>'2-ф2'!J14</f>
        <v>0</v>
      </c>
      <c r="K15" s="29">
        <f>'2-ф2'!K14</f>
        <v>0</v>
      </c>
      <c r="L15" s="29">
        <f>'2-ф2'!L14</f>
        <v>0</v>
      </c>
      <c r="M15" s="29">
        <f>'2-ф2'!M14</f>
        <v>0</v>
      </c>
      <c r="N15" s="29">
        <f>'2-ф2'!N14</f>
        <v>0</v>
      </c>
      <c r="O15" s="29">
        <f>'2-ф2'!O14</f>
        <v>0</v>
      </c>
      <c r="P15" s="27">
        <f>SUM(D15:O15)</f>
        <v>0</v>
      </c>
      <c r="Q15" s="29">
        <f>'2-ф2'!Q14</f>
        <v>0</v>
      </c>
      <c r="R15" s="29">
        <f>'2-ф2'!R14</f>
        <v>0</v>
      </c>
      <c r="S15" s="29">
        <f>'2-ф2'!S14</f>
        <v>0</v>
      </c>
      <c r="T15" s="29">
        <f>'2-ф2'!T14</f>
        <v>0</v>
      </c>
      <c r="U15" s="29">
        <f>'2-ф2'!U14</f>
        <v>0</v>
      </c>
      <c r="V15" s="29">
        <f>'2-ф2'!V14</f>
        <v>0</v>
      </c>
      <c r="W15" s="29">
        <f>'2-ф2'!W14</f>
        <v>0</v>
      </c>
      <c r="X15" s="29">
        <f>'2-ф2'!X14</f>
        <v>0</v>
      </c>
      <c r="Y15" s="29">
        <f>'2-ф2'!Y14</f>
        <v>0</v>
      </c>
      <c r="Z15" s="29">
        <f>'2-ф2'!Z14</f>
        <v>0</v>
      </c>
      <c r="AA15" s="29">
        <f>'2-ф2'!AA14</f>
        <v>0</v>
      </c>
      <c r="AB15" s="29">
        <f>'2-ф2'!AB14</f>
        <v>0</v>
      </c>
      <c r="AC15" s="27">
        <f>SUM(Q15:AB15)</f>
        <v>0</v>
      </c>
      <c r="AD15" s="29">
        <f>'2-ф2'!AD14</f>
        <v>0</v>
      </c>
      <c r="AE15" s="29">
        <f>'2-ф2'!AE14</f>
        <v>0</v>
      </c>
      <c r="AF15" s="29">
        <f>'2-ф2'!AF14</f>
        <v>143.72963035377398</v>
      </c>
      <c r="AG15" s="29">
        <f>'2-ф2'!AG14</f>
        <v>478.6751705957586</v>
      </c>
      <c r="AH15" s="29">
        <f>'2-ф2'!AH14</f>
        <v>479.4800188785323</v>
      </c>
      <c r="AI15" s="29">
        <f>'2-ф2'!AI14</f>
        <v>480.2895621096222</v>
      </c>
      <c r="AJ15" s="29">
        <f>'2-ф2'!AJ14</f>
        <v>481.10382767622673</v>
      </c>
      <c r="AK15" s="29">
        <f>'2-ф2'!AK14</f>
        <v>481.9228431253032</v>
      </c>
      <c r="AL15" s="29">
        <f>'2-ф2'!AL14</f>
        <v>482.7466361644992</v>
      </c>
      <c r="AM15" s="29">
        <f>'2-ф2'!AM14</f>
        <v>483.5752346630905</v>
      </c>
      <c r="AN15" s="29">
        <f>'2-ф2'!AN14</f>
        <v>484.4086666529236</v>
      </c>
      <c r="AO15" s="29">
        <f>'2-ф2'!AO14</f>
        <v>485.24696032936413</v>
      </c>
      <c r="AP15" s="27">
        <f>SUM(AD15:AO15)</f>
        <v>4481.178550549094</v>
      </c>
      <c r="AQ15" s="29">
        <f>'2-ф2'!AQ14</f>
        <v>8552.735385999264</v>
      </c>
      <c r="AR15" s="29">
        <f>'2-ф2'!AR14</f>
        <v>9447.470106255192</v>
      </c>
      <c r="AS15" s="29">
        <f>'2-ф2'!AS14</f>
        <v>10327.345777713801</v>
      </c>
      <c r="AT15" s="29">
        <f>'2-ф2'!AT14</f>
        <v>11191.829323764723</v>
      </c>
      <c r="AU15" s="29">
        <f>'2-ф2'!AU14</f>
        <v>12039.806340672643</v>
      </c>
    </row>
    <row r="16" spans="1:47" ht="12.75">
      <c r="A16" s="28" t="s">
        <v>34</v>
      </c>
      <c r="B16" s="27">
        <f>P16+AC16+AP16+AQ16+AR16+AS16+AT16+AU16</f>
        <v>58584.70514965048</v>
      </c>
      <c r="C16" s="27"/>
      <c r="D16" s="29">
        <f>'2-ф2'!D27</f>
        <v>0</v>
      </c>
      <c r="E16" s="29">
        <f>'2-ф2'!E27</f>
        <v>0</v>
      </c>
      <c r="F16" s="29">
        <f>'2-ф2'!F27</f>
        <v>0</v>
      </c>
      <c r="G16" s="29">
        <f>'2-ф2'!G27</f>
        <v>0</v>
      </c>
      <c r="H16" s="29">
        <f>'2-ф2'!H27</f>
        <v>0</v>
      </c>
      <c r="I16" s="29">
        <f>'2-ф2'!I27</f>
        <v>0</v>
      </c>
      <c r="J16" s="29">
        <f>'2-ф2'!J27</f>
        <v>0</v>
      </c>
      <c r="K16" s="29">
        <f>'2-ф2'!K27</f>
        <v>0</v>
      </c>
      <c r="L16" s="29">
        <f>'2-ф2'!L27</f>
        <v>0</v>
      </c>
      <c r="M16" s="29">
        <f>'2-ф2'!M27</f>
        <v>0</v>
      </c>
      <c r="N16" s="29">
        <f>'2-ф2'!N27</f>
        <v>0</v>
      </c>
      <c r="O16" s="29">
        <f>'2-ф2'!O27</f>
        <v>0</v>
      </c>
      <c r="P16" s="27">
        <f>SUM(D16:O16)</f>
        <v>0</v>
      </c>
      <c r="Q16" s="29">
        <f>'2-ф2'!Q27</f>
        <v>0</v>
      </c>
      <c r="R16" s="29">
        <f>'2-ф2'!R27</f>
        <v>0</v>
      </c>
      <c r="S16" s="29">
        <f>'2-ф2'!S27</f>
        <v>0</v>
      </c>
      <c r="T16" s="29">
        <f>'2-ф2'!T27</f>
        <v>0</v>
      </c>
      <c r="U16" s="29">
        <f>'2-ф2'!U27</f>
        <v>0</v>
      </c>
      <c r="V16" s="29">
        <f>'2-ф2'!V27</f>
        <v>0</v>
      </c>
      <c r="W16" s="29">
        <f>'2-ф2'!W27</f>
        <v>0</v>
      </c>
      <c r="X16" s="29">
        <f>'2-ф2'!X27</f>
        <v>0</v>
      </c>
      <c r="Y16" s="29">
        <f>'2-ф2'!Y27</f>
        <v>0</v>
      </c>
      <c r="Z16" s="29">
        <f>'2-ф2'!Z27</f>
        <v>0</v>
      </c>
      <c r="AA16" s="29">
        <f>'2-ф2'!AA27</f>
        <v>0</v>
      </c>
      <c r="AB16" s="29">
        <f>'2-ф2'!AB27</f>
        <v>0</v>
      </c>
      <c r="AC16" s="27">
        <f>SUM(Q16:AB16)</f>
        <v>0</v>
      </c>
      <c r="AD16" s="29">
        <f>'2-ф2'!AD27</f>
        <v>0</v>
      </c>
      <c r="AE16" s="29">
        <f>'2-ф2'!AE27</f>
        <v>0</v>
      </c>
      <c r="AF16" s="29">
        <f>'2-ф2'!AF27</f>
        <v>0</v>
      </c>
      <c r="AG16" s="29">
        <f>'2-ф2'!AG27</f>
        <v>0</v>
      </c>
      <c r="AH16" s="29">
        <f>'2-ф2'!AH27</f>
        <v>0</v>
      </c>
      <c r="AI16" s="29">
        <f>'2-ф2'!AI27</f>
        <v>0</v>
      </c>
      <c r="AJ16" s="29">
        <f>'2-ф2'!AJ27</f>
        <v>0</v>
      </c>
      <c r="AK16" s="29">
        <f>'2-ф2'!AK27</f>
        <v>247.7974564285787</v>
      </c>
      <c r="AL16" s="29">
        <f>'2-ф2'!AL27</f>
        <v>607.4164200000005</v>
      </c>
      <c r="AM16" s="29">
        <f>'2-ф2'!AM27</f>
        <v>454.5904500000006</v>
      </c>
      <c r="AN16" s="29">
        <f>'2-ф2'!AN27</f>
        <v>454.5904500000006</v>
      </c>
      <c r="AO16" s="29">
        <f>'2-ф2'!AO27</f>
        <v>454.5904500000006</v>
      </c>
      <c r="AP16" s="27">
        <f>SUM(AD16:AO16)</f>
        <v>2218.985226428581</v>
      </c>
      <c r="AQ16" s="29">
        <f>'2-ф2'!AQ27</f>
        <v>9984.979260000007</v>
      </c>
      <c r="AR16" s="29">
        <f>'2-ф2'!AR27</f>
        <v>10634.225894999996</v>
      </c>
      <c r="AS16" s="29">
        <f>'2-ф2'!AS27</f>
        <v>11278.435443750008</v>
      </c>
      <c r="AT16" s="29">
        <f>'2-ф2'!AT27</f>
        <v>11917.356051937502</v>
      </c>
      <c r="AU16" s="29">
        <f>'2-ф2'!AU27</f>
        <v>12550.723272534386</v>
      </c>
    </row>
    <row r="17" spans="1:47" s="21" customFormat="1" ht="25.5">
      <c r="A17" s="35" t="s">
        <v>19</v>
      </c>
      <c r="B17" s="18">
        <f>B9-B11</f>
        <v>241604.37946392596</v>
      </c>
      <c r="C17" s="18"/>
      <c r="D17" s="18">
        <f aca="true" t="shared" si="8" ref="D17:AU17">D9-D11</f>
        <v>0</v>
      </c>
      <c r="E17" s="18">
        <f t="shared" si="8"/>
        <v>0</v>
      </c>
      <c r="F17" s="18">
        <f t="shared" si="8"/>
        <v>0</v>
      </c>
      <c r="G17" s="18">
        <f t="shared" si="8"/>
        <v>0</v>
      </c>
      <c r="H17" s="18">
        <f t="shared" si="8"/>
        <v>0</v>
      </c>
      <c r="I17" s="18">
        <f t="shared" si="8"/>
        <v>0</v>
      </c>
      <c r="J17" s="18">
        <f t="shared" si="8"/>
        <v>0</v>
      </c>
      <c r="K17" s="18">
        <f t="shared" si="8"/>
        <v>0</v>
      </c>
      <c r="L17" s="18">
        <f t="shared" si="8"/>
        <v>0</v>
      </c>
      <c r="M17" s="18">
        <f t="shared" si="8"/>
        <v>0</v>
      </c>
      <c r="N17" s="18">
        <f t="shared" si="8"/>
        <v>0</v>
      </c>
      <c r="O17" s="18">
        <f t="shared" si="8"/>
        <v>-12837.381479999996</v>
      </c>
      <c r="P17" s="18">
        <f t="shared" si="8"/>
        <v>-12837.381479999996</v>
      </c>
      <c r="Q17" s="18">
        <f t="shared" si="8"/>
        <v>-3587.755799999997</v>
      </c>
      <c r="R17" s="18">
        <f t="shared" si="8"/>
        <v>-3760.433689999998</v>
      </c>
      <c r="S17" s="18">
        <f t="shared" si="8"/>
        <v>-3948.9610418333305</v>
      </c>
      <c r="T17" s="18">
        <f t="shared" si="8"/>
        <v>1990.7250181666677</v>
      </c>
      <c r="U17" s="18">
        <f t="shared" si="8"/>
        <v>1990.7250181666677</v>
      </c>
      <c r="V17" s="18">
        <f t="shared" si="8"/>
        <v>1990.7250181666677</v>
      </c>
      <c r="W17" s="18">
        <f t="shared" si="8"/>
        <v>-862.0264218333323</v>
      </c>
      <c r="X17" s="18">
        <f t="shared" si="8"/>
        <v>-862.0264218333323</v>
      </c>
      <c r="Y17" s="18">
        <f t="shared" si="8"/>
        <v>-860.184483349185</v>
      </c>
      <c r="Z17" s="18">
        <f t="shared" si="8"/>
        <v>-2282.696517051121</v>
      </c>
      <c r="AA17" s="18">
        <f t="shared" si="8"/>
        <v>-2278.8102925829808</v>
      </c>
      <c r="AB17" s="18">
        <f t="shared" si="8"/>
        <v>-2274.901398472113</v>
      </c>
      <c r="AC17" s="18">
        <f t="shared" si="8"/>
        <v>-14745.621012455376</v>
      </c>
      <c r="AD17" s="18">
        <f t="shared" si="8"/>
        <v>5657.632628521074</v>
      </c>
      <c r="AE17" s="18">
        <f t="shared" si="8"/>
        <v>5661.587259407552</v>
      </c>
      <c r="AF17" s="18">
        <f t="shared" si="8"/>
        <v>5521.835328620426</v>
      </c>
      <c r="AG17" s="18">
        <f t="shared" si="8"/>
        <v>3764.5149711925587</v>
      </c>
      <c r="AH17" s="18">
        <f t="shared" si="8"/>
        <v>3767.734364323649</v>
      </c>
      <c r="AI17" s="18">
        <f t="shared" si="8"/>
        <v>3770.9725372480134</v>
      </c>
      <c r="AJ17" s="18">
        <f t="shared" si="8"/>
        <v>2347.8538795144304</v>
      </c>
      <c r="AK17" s="18">
        <f t="shared" si="8"/>
        <v>2103.332484882154</v>
      </c>
      <c r="AL17" s="18">
        <f t="shared" si="8"/>
        <v>1747.00869346752</v>
      </c>
      <c r="AM17" s="18">
        <f t="shared" si="8"/>
        <v>476.7733374618874</v>
      </c>
      <c r="AN17" s="18">
        <f t="shared" si="8"/>
        <v>480.1070654212235</v>
      </c>
      <c r="AO17" s="18">
        <f t="shared" si="8"/>
        <v>483.46024012698035</v>
      </c>
      <c r="AP17" s="18">
        <f t="shared" si="8"/>
        <v>35782.81279018748</v>
      </c>
      <c r="AQ17" s="18">
        <f t="shared" si="8"/>
        <v>39644.50582971139</v>
      </c>
      <c r="AR17" s="18">
        <f t="shared" si="8"/>
        <v>43223.44471073506</v>
      </c>
      <c r="AS17" s="18">
        <f t="shared" si="8"/>
        <v>46742.94739656948</v>
      </c>
      <c r="AT17" s="18">
        <f t="shared" si="8"/>
        <v>50200.88158077316</v>
      </c>
      <c r="AU17" s="18">
        <f t="shared" si="8"/>
        <v>53592.78964840487</v>
      </c>
    </row>
    <row r="18" spans="1:47" s="21" customFormat="1" ht="12.75">
      <c r="A18" s="22" t="s">
        <v>20</v>
      </c>
      <c r="B18" s="23"/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6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3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36"/>
      <c r="AQ18" s="36"/>
      <c r="AR18" s="36"/>
      <c r="AS18" s="36"/>
      <c r="AT18" s="36"/>
      <c r="AU18" s="36"/>
    </row>
    <row r="19" spans="1:47" s="21" customFormat="1" ht="12.75">
      <c r="A19" s="26" t="s">
        <v>6</v>
      </c>
      <c r="B19" s="27"/>
      <c r="C19" s="2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2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27"/>
      <c r="AQ19" s="27"/>
      <c r="AR19" s="27"/>
      <c r="AS19" s="27"/>
      <c r="AT19" s="27"/>
      <c r="AU19" s="27"/>
    </row>
    <row r="20" spans="1:47" s="21" customFormat="1" ht="12.75">
      <c r="A20" s="26" t="s">
        <v>7</v>
      </c>
      <c r="B20" s="27">
        <f>SUM(B21:B22)</f>
        <v>60855.920000000006</v>
      </c>
      <c r="C20" s="27"/>
      <c r="D20" s="27">
        <f aca="true" t="shared" si="9" ref="D20:AB20">SUM(D21:D22)</f>
        <v>0</v>
      </c>
      <c r="E20" s="27">
        <f t="shared" si="9"/>
        <v>0</v>
      </c>
      <c r="F20" s="27">
        <f t="shared" si="9"/>
        <v>0</v>
      </c>
      <c r="G20" s="27">
        <f t="shared" si="9"/>
        <v>0</v>
      </c>
      <c r="H20" s="27">
        <f>SUM(H21:H22)</f>
        <v>0</v>
      </c>
      <c r="I20" s="27">
        <f t="shared" si="9"/>
        <v>0</v>
      </c>
      <c r="J20" s="27">
        <f t="shared" si="9"/>
        <v>0</v>
      </c>
      <c r="K20" s="27">
        <f t="shared" si="9"/>
        <v>0</v>
      </c>
      <c r="L20" s="27">
        <f t="shared" si="9"/>
        <v>0</v>
      </c>
      <c r="M20" s="27">
        <f t="shared" si="9"/>
        <v>29092.800000000003</v>
      </c>
      <c r="N20" s="27">
        <f t="shared" si="9"/>
        <v>0</v>
      </c>
      <c r="O20" s="27">
        <f t="shared" si="9"/>
        <v>31763.120000000003</v>
      </c>
      <c r="P20" s="27">
        <f t="shared" si="9"/>
        <v>60855.920000000006</v>
      </c>
      <c r="Q20" s="27">
        <f t="shared" si="9"/>
        <v>0</v>
      </c>
      <c r="R20" s="27">
        <f t="shared" si="9"/>
        <v>0</v>
      </c>
      <c r="S20" s="27">
        <f t="shared" si="9"/>
        <v>0</v>
      </c>
      <c r="T20" s="27">
        <f t="shared" si="9"/>
        <v>0</v>
      </c>
      <c r="U20" s="27">
        <f t="shared" si="9"/>
        <v>0</v>
      </c>
      <c r="V20" s="27">
        <f t="shared" si="9"/>
        <v>0</v>
      </c>
      <c r="W20" s="27">
        <f t="shared" si="9"/>
        <v>0</v>
      </c>
      <c r="X20" s="27">
        <f t="shared" si="9"/>
        <v>0</v>
      </c>
      <c r="Y20" s="27">
        <f t="shared" si="9"/>
        <v>0</v>
      </c>
      <c r="Z20" s="27">
        <f t="shared" si="9"/>
        <v>0</v>
      </c>
      <c r="AA20" s="27">
        <f t="shared" si="9"/>
        <v>0</v>
      </c>
      <c r="AB20" s="27">
        <f t="shared" si="9"/>
        <v>0</v>
      </c>
      <c r="AC20" s="27">
        <f>SUM(AC21:AC22)</f>
        <v>0</v>
      </c>
      <c r="AD20" s="27">
        <f aca="true" t="shared" si="10" ref="AD20:AP20">SUM(AD21:AD22)</f>
        <v>0</v>
      </c>
      <c r="AE20" s="27">
        <f t="shared" si="10"/>
        <v>0</v>
      </c>
      <c r="AF20" s="27">
        <f t="shared" si="10"/>
        <v>0</v>
      </c>
      <c r="AG20" s="27">
        <f t="shared" si="10"/>
        <v>0</v>
      </c>
      <c r="AH20" s="27">
        <f t="shared" si="10"/>
        <v>0</v>
      </c>
      <c r="AI20" s="27">
        <f t="shared" si="10"/>
        <v>0</v>
      </c>
      <c r="AJ20" s="27">
        <f t="shared" si="10"/>
        <v>0</v>
      </c>
      <c r="AK20" s="27">
        <f t="shared" si="10"/>
        <v>0</v>
      </c>
      <c r="AL20" s="27">
        <f t="shared" si="10"/>
        <v>0</v>
      </c>
      <c r="AM20" s="27">
        <f t="shared" si="10"/>
        <v>0</v>
      </c>
      <c r="AN20" s="27">
        <f t="shared" si="10"/>
        <v>0</v>
      </c>
      <c r="AO20" s="27">
        <f t="shared" si="10"/>
        <v>0</v>
      </c>
      <c r="AP20" s="27">
        <f t="shared" si="10"/>
        <v>0</v>
      </c>
      <c r="AQ20" s="27">
        <f>SUM(AQ21:AQ22)</f>
        <v>0</v>
      </c>
      <c r="AR20" s="27">
        <f>SUM(AR21:AR22)</f>
        <v>0</v>
      </c>
      <c r="AS20" s="27">
        <f>SUM(AS21:AS22)</f>
        <v>0</v>
      </c>
      <c r="AT20" s="27">
        <f>SUM(AT21:AT22)</f>
        <v>0</v>
      </c>
      <c r="AU20" s="27">
        <f>SUM(AU21:AU22)</f>
        <v>0</v>
      </c>
    </row>
    <row r="21" spans="1:47" ht="12.75">
      <c r="A21" s="38" t="s">
        <v>21</v>
      </c>
      <c r="B21" s="27">
        <f>P21+AC21+AP21+AQ21+AR21+AS21+AT21+AU21</f>
        <v>60855.920000000006</v>
      </c>
      <c r="C21" s="27"/>
      <c r="D21" s="29">
        <f>Инв!E16</f>
        <v>0</v>
      </c>
      <c r="E21" s="29">
        <f>Инв!F16</f>
        <v>0</v>
      </c>
      <c r="F21" s="29">
        <f>Инв!G16</f>
        <v>0</v>
      </c>
      <c r="G21" s="29">
        <f>Инв!H16</f>
        <v>0</v>
      </c>
      <c r="H21" s="29">
        <f>Инв!I16</f>
        <v>0</v>
      </c>
      <c r="I21" s="29">
        <f>Инв!J16</f>
        <v>0</v>
      </c>
      <c r="J21" s="29">
        <f>Инв!K16</f>
        <v>0</v>
      </c>
      <c r="K21" s="29">
        <f>Инв!L16</f>
        <v>0</v>
      </c>
      <c r="L21" s="29">
        <f>Инв!M16</f>
        <v>0</v>
      </c>
      <c r="M21" s="29">
        <f>Инв!N16</f>
        <v>29092.800000000003</v>
      </c>
      <c r="N21" s="29">
        <f>Инв!O16</f>
        <v>0</v>
      </c>
      <c r="O21" s="29">
        <f>Инв!P16</f>
        <v>31763.120000000003</v>
      </c>
      <c r="P21" s="27">
        <f>SUM(D21:O21)</f>
        <v>60855.920000000006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7">
        <f>SUM(Q21:AB21)</f>
        <v>0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>
        <f>SUM(AD21:AO21)</f>
        <v>0</v>
      </c>
      <c r="AQ21" s="27"/>
      <c r="AR21" s="27"/>
      <c r="AS21" s="27"/>
      <c r="AT21" s="27"/>
      <c r="AU21" s="27"/>
    </row>
    <row r="22" spans="1:47" ht="12.75" outlineLevel="1">
      <c r="A22" s="38"/>
      <c r="B22" s="27">
        <f>P22+AC22+AP22+AQ22+AR22+AS22+AT22+AU22</f>
        <v>0</v>
      </c>
      <c r="C22" s="2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7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/>
      <c r="AQ22" s="27"/>
      <c r="AR22" s="27"/>
      <c r="AS22" s="27"/>
      <c r="AT22" s="27"/>
      <c r="AU22" s="27"/>
    </row>
    <row r="23" spans="1:47" s="21" customFormat="1" ht="25.5">
      <c r="A23" s="39" t="s">
        <v>22</v>
      </c>
      <c r="B23" s="18">
        <f>B19-B20</f>
        <v>-60855.920000000006</v>
      </c>
      <c r="C23" s="18"/>
      <c r="D23" s="18">
        <f>D19-D20</f>
        <v>0</v>
      </c>
      <c r="E23" s="18">
        <f aca="true" t="shared" si="11" ref="E23:AB23">E19-E20</f>
        <v>0</v>
      </c>
      <c r="F23" s="18">
        <f t="shared" si="11"/>
        <v>0</v>
      </c>
      <c r="G23" s="18">
        <f t="shared" si="11"/>
        <v>0</v>
      </c>
      <c r="H23" s="18">
        <f t="shared" si="11"/>
        <v>0</v>
      </c>
      <c r="I23" s="18">
        <f t="shared" si="11"/>
        <v>0</v>
      </c>
      <c r="J23" s="18">
        <f>J19-J20</f>
        <v>0</v>
      </c>
      <c r="K23" s="18">
        <f t="shared" si="11"/>
        <v>0</v>
      </c>
      <c r="L23" s="18">
        <f t="shared" si="11"/>
        <v>0</v>
      </c>
      <c r="M23" s="18">
        <f t="shared" si="11"/>
        <v>-29092.800000000003</v>
      </c>
      <c r="N23" s="18">
        <f t="shared" si="11"/>
        <v>0</v>
      </c>
      <c r="O23" s="18">
        <f t="shared" si="11"/>
        <v>-31763.120000000003</v>
      </c>
      <c r="P23" s="18">
        <f>SUM(D23:O23)</f>
        <v>-60855.920000000006</v>
      </c>
      <c r="Q23" s="18">
        <f t="shared" si="11"/>
        <v>0</v>
      </c>
      <c r="R23" s="18">
        <f t="shared" si="11"/>
        <v>0</v>
      </c>
      <c r="S23" s="18">
        <f t="shared" si="11"/>
        <v>0</v>
      </c>
      <c r="T23" s="18">
        <f t="shared" si="11"/>
        <v>0</v>
      </c>
      <c r="U23" s="18">
        <f t="shared" si="11"/>
        <v>0</v>
      </c>
      <c r="V23" s="18">
        <f t="shared" si="11"/>
        <v>0</v>
      </c>
      <c r="W23" s="18">
        <f t="shared" si="11"/>
        <v>0</v>
      </c>
      <c r="X23" s="18">
        <f t="shared" si="11"/>
        <v>0</v>
      </c>
      <c r="Y23" s="18">
        <f t="shared" si="11"/>
        <v>0</v>
      </c>
      <c r="Z23" s="18">
        <f t="shared" si="11"/>
        <v>0</v>
      </c>
      <c r="AA23" s="18">
        <f t="shared" si="11"/>
        <v>0</v>
      </c>
      <c r="AB23" s="18">
        <f t="shared" si="11"/>
        <v>0</v>
      </c>
      <c r="AC23" s="18">
        <f>SUM(Q23:AB23)</f>
        <v>0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>
        <f>SUM(AD23:AO23)</f>
        <v>0</v>
      </c>
      <c r="AQ23" s="18"/>
      <c r="AR23" s="18"/>
      <c r="AS23" s="18"/>
      <c r="AT23" s="18"/>
      <c r="AU23" s="18"/>
    </row>
    <row r="24" spans="1:47" s="43" customFormat="1" ht="12.75">
      <c r="A24" s="40" t="s">
        <v>23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2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2"/>
      <c r="AR24" s="42"/>
      <c r="AS24" s="42"/>
      <c r="AT24" s="42"/>
      <c r="AU24" s="42"/>
    </row>
    <row r="25" spans="1:47" s="21" customFormat="1" ht="12.75">
      <c r="A25" s="22" t="s">
        <v>24</v>
      </c>
      <c r="B25" s="23"/>
      <c r="C25" s="2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6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36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36"/>
      <c r="AQ25" s="36"/>
      <c r="AR25" s="36"/>
      <c r="AS25" s="36"/>
      <c r="AT25" s="36"/>
      <c r="AU25" s="36"/>
    </row>
    <row r="26" spans="1:47" s="21" customFormat="1" ht="12.75">
      <c r="A26" s="26" t="s">
        <v>6</v>
      </c>
      <c r="B26" s="27">
        <f>SUM(B27:B28)</f>
        <v>91509.81012</v>
      </c>
      <c r="C26" s="27"/>
      <c r="D26" s="27">
        <f>SUM(D27:D28)</f>
        <v>0</v>
      </c>
      <c r="E26" s="27">
        <f aca="true" t="shared" si="12" ref="E26:O26">SUM(E27:E28)</f>
        <v>0</v>
      </c>
      <c r="F26" s="27">
        <f t="shared" si="12"/>
        <v>0</v>
      </c>
      <c r="G26" s="27">
        <f t="shared" si="12"/>
        <v>0</v>
      </c>
      <c r="H26" s="27">
        <f t="shared" si="12"/>
        <v>0</v>
      </c>
      <c r="I26" s="27">
        <f t="shared" si="12"/>
        <v>0</v>
      </c>
      <c r="J26" s="27">
        <f t="shared" si="12"/>
        <v>0</v>
      </c>
      <c r="K26" s="27">
        <f t="shared" si="12"/>
        <v>0</v>
      </c>
      <c r="L26" s="27">
        <f t="shared" si="12"/>
        <v>0</v>
      </c>
      <c r="M26" s="27">
        <f t="shared" si="12"/>
        <v>29092.800000000003</v>
      </c>
      <c r="N26" s="27">
        <f t="shared" si="12"/>
        <v>31763.120000000003</v>
      </c>
      <c r="O26" s="27">
        <f t="shared" si="12"/>
        <v>12837.381479999996</v>
      </c>
      <c r="P26" s="27">
        <f aca="true" t="shared" si="13" ref="P26:AB26">SUM(P27:P28)</f>
        <v>73693.30148</v>
      </c>
      <c r="Q26" s="27">
        <f t="shared" si="13"/>
        <v>8558.254319999998</v>
      </c>
      <c r="R26" s="27">
        <f t="shared" si="13"/>
        <v>9258.254319999998</v>
      </c>
      <c r="S26" s="27">
        <f t="shared" si="13"/>
        <v>0</v>
      </c>
      <c r="T26" s="27">
        <f t="shared" si="13"/>
        <v>0</v>
      </c>
      <c r="U26" s="27">
        <f t="shared" si="13"/>
        <v>0</v>
      </c>
      <c r="V26" s="27">
        <f t="shared" si="13"/>
        <v>0</v>
      </c>
      <c r="W26" s="27">
        <f t="shared" si="13"/>
        <v>0</v>
      </c>
      <c r="X26" s="27">
        <f t="shared" si="13"/>
        <v>0</v>
      </c>
      <c r="Y26" s="27">
        <f t="shared" si="13"/>
        <v>0</v>
      </c>
      <c r="Z26" s="27">
        <f t="shared" si="13"/>
        <v>0</v>
      </c>
      <c r="AA26" s="27">
        <f t="shared" si="13"/>
        <v>0</v>
      </c>
      <c r="AB26" s="27">
        <f t="shared" si="13"/>
        <v>0</v>
      </c>
      <c r="AC26" s="27">
        <f>SUM(AC27:AC28)</f>
        <v>17816.508639999996</v>
      </c>
      <c r="AD26" s="27">
        <f aca="true" t="shared" si="14" ref="AD26:AP26">SUM(AD27:AD28)</f>
        <v>0</v>
      </c>
      <c r="AE26" s="27">
        <f t="shared" si="14"/>
        <v>0</v>
      </c>
      <c r="AF26" s="27">
        <f t="shared" si="14"/>
        <v>0</v>
      </c>
      <c r="AG26" s="27">
        <f t="shared" si="14"/>
        <v>0</v>
      </c>
      <c r="AH26" s="27">
        <f t="shared" si="14"/>
        <v>0</v>
      </c>
      <c r="AI26" s="27">
        <f t="shared" si="14"/>
        <v>0</v>
      </c>
      <c r="AJ26" s="27">
        <f t="shared" si="14"/>
        <v>0</v>
      </c>
      <c r="AK26" s="27">
        <f t="shared" si="14"/>
        <v>0</v>
      </c>
      <c r="AL26" s="27">
        <f t="shared" si="14"/>
        <v>0</v>
      </c>
      <c r="AM26" s="27">
        <f t="shared" si="14"/>
        <v>0</v>
      </c>
      <c r="AN26" s="27">
        <f t="shared" si="14"/>
        <v>0</v>
      </c>
      <c r="AO26" s="27">
        <f t="shared" si="14"/>
        <v>0</v>
      </c>
      <c r="AP26" s="27">
        <f t="shared" si="14"/>
        <v>0</v>
      </c>
      <c r="AQ26" s="27">
        <f>SUM(AQ27:AQ28)</f>
        <v>0</v>
      </c>
      <c r="AR26" s="27">
        <f>SUM(AR27:AR28)</f>
        <v>0</v>
      </c>
      <c r="AS26" s="27">
        <f>SUM(AS27:AS28)</f>
        <v>0</v>
      </c>
      <c r="AT26" s="27">
        <f>SUM(AT27:AT28)</f>
        <v>0</v>
      </c>
      <c r="AU26" s="27">
        <f>SUM(AU27:AU28)</f>
        <v>0</v>
      </c>
    </row>
    <row r="27" spans="1:47" ht="12.75" customHeight="1">
      <c r="A27" s="38" t="s">
        <v>56</v>
      </c>
      <c r="B27" s="27">
        <f>P27+AC27+AP27+AQ27+AR27+AS27+AT27+AU27</f>
        <v>30653.890119999993</v>
      </c>
      <c r="C27" s="2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>
        <f>N12+N13</f>
        <v>0</v>
      </c>
      <c r="O27" s="29">
        <f>O12+O13</f>
        <v>12837.381479999996</v>
      </c>
      <c r="P27" s="27">
        <f>SUM(D27:O27)</f>
        <v>12837.381479999996</v>
      </c>
      <c r="Q27" s="29">
        <f>Q12</f>
        <v>8558.254319999998</v>
      </c>
      <c r="R27" s="33">
        <f>R12+700</f>
        <v>9258.254319999998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7">
        <f>SUM(Q27:AB27)</f>
        <v>17816.508639999996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>
        <f>SUM(AD27:AO27)</f>
        <v>0</v>
      </c>
      <c r="AQ27" s="27"/>
      <c r="AR27" s="27"/>
      <c r="AS27" s="27"/>
      <c r="AT27" s="27"/>
      <c r="AU27" s="27"/>
    </row>
    <row r="28" spans="1:47" ht="12.75">
      <c r="A28" s="44" t="s">
        <v>160</v>
      </c>
      <c r="B28" s="27">
        <f>P28+AC28+AP28+AQ28+AR28+AS28+AT28+AU28</f>
        <v>60855.920000000006</v>
      </c>
      <c r="C28" s="27"/>
      <c r="D28" s="29"/>
      <c r="E28" s="29"/>
      <c r="F28" s="29"/>
      <c r="G28" s="29"/>
      <c r="H28" s="29"/>
      <c r="I28" s="29"/>
      <c r="J28" s="29"/>
      <c r="K28" s="29">
        <f>K20</f>
        <v>0</v>
      </c>
      <c r="L28" s="29">
        <f>L20</f>
        <v>0</v>
      </c>
      <c r="M28" s="29">
        <f>M20</f>
        <v>29092.800000000003</v>
      </c>
      <c r="N28" s="29">
        <f>N20+O20</f>
        <v>31763.120000000003</v>
      </c>
      <c r="O28" s="29"/>
      <c r="P28" s="27">
        <f>SUM(D28:O28)</f>
        <v>60855.920000000006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0</v>
      </c>
      <c r="AD28" s="29"/>
      <c r="AE28" s="29"/>
      <c r="AF28" s="29"/>
      <c r="AG28" s="29"/>
      <c r="AH28" s="29"/>
      <c r="AI28" s="29"/>
      <c r="AJ28" s="45"/>
      <c r="AK28" s="45"/>
      <c r="AL28" s="45"/>
      <c r="AM28" s="45"/>
      <c r="AN28" s="45"/>
      <c r="AO28" s="45"/>
      <c r="AP28" s="27">
        <f>SUM(AD28:AO28)</f>
        <v>0</v>
      </c>
      <c r="AQ28" s="27"/>
      <c r="AR28" s="27"/>
      <c r="AS28" s="27"/>
      <c r="AT28" s="27"/>
      <c r="AU28" s="27"/>
    </row>
    <row r="29" spans="1:47" s="21" customFormat="1" ht="12.75">
      <c r="A29" s="26" t="s">
        <v>7</v>
      </c>
      <c r="B29" s="27">
        <f>SUM(B30:B31)</f>
        <v>61920.89859999975</v>
      </c>
      <c r="C29" s="27"/>
      <c r="D29" s="27">
        <f>SUM(D30:D31)</f>
        <v>0</v>
      </c>
      <c r="E29" s="27">
        <f aca="true" t="shared" si="15" ref="E29:AR29">SUM(E30:E31)</f>
        <v>0</v>
      </c>
      <c r="F29" s="27">
        <f t="shared" si="15"/>
        <v>0</v>
      </c>
      <c r="G29" s="27">
        <f t="shared" si="15"/>
        <v>0</v>
      </c>
      <c r="H29" s="27">
        <f t="shared" si="15"/>
        <v>0</v>
      </c>
      <c r="I29" s="27">
        <f>SUM(I30:I31)</f>
        <v>0</v>
      </c>
      <c r="J29" s="27">
        <f t="shared" si="15"/>
        <v>0</v>
      </c>
      <c r="K29" s="27">
        <f t="shared" si="15"/>
        <v>0</v>
      </c>
      <c r="L29" s="27">
        <f t="shared" si="15"/>
        <v>0</v>
      </c>
      <c r="M29" s="27">
        <f t="shared" si="15"/>
        <v>0</v>
      </c>
      <c r="N29" s="27">
        <f t="shared" si="15"/>
        <v>0</v>
      </c>
      <c r="O29" s="27">
        <f t="shared" si="15"/>
        <v>0</v>
      </c>
      <c r="P29" s="27">
        <f t="shared" si="15"/>
        <v>0</v>
      </c>
      <c r="Q29" s="27">
        <f t="shared" si="15"/>
        <v>0</v>
      </c>
      <c r="R29" s="27">
        <f t="shared" si="15"/>
        <v>0</v>
      </c>
      <c r="S29" s="27">
        <f t="shared" si="15"/>
        <v>0</v>
      </c>
      <c r="T29" s="27">
        <f t="shared" si="15"/>
        <v>0</v>
      </c>
      <c r="U29" s="27">
        <f t="shared" si="15"/>
        <v>0</v>
      </c>
      <c r="V29" s="27">
        <f t="shared" si="15"/>
        <v>0</v>
      </c>
      <c r="W29" s="27">
        <f t="shared" si="15"/>
        <v>0</v>
      </c>
      <c r="X29" s="27">
        <f t="shared" si="15"/>
        <v>315.76088299647796</v>
      </c>
      <c r="Y29" s="27">
        <f t="shared" si="15"/>
        <v>662.3462225256623</v>
      </c>
      <c r="Z29" s="27">
        <f t="shared" si="15"/>
        <v>666.2099088237286</v>
      </c>
      <c r="AA29" s="27">
        <f t="shared" si="15"/>
        <v>670.0961332918671</v>
      </c>
      <c r="AB29" s="27">
        <f t="shared" si="15"/>
        <v>674.0050274027362</v>
      </c>
      <c r="AC29" s="27">
        <f>SUM(AC30:AC31)</f>
        <v>2988.4181750404723</v>
      </c>
      <c r="AD29" s="27">
        <f aca="true" t="shared" si="16" ref="AD29:AP29">SUM(AD30:AD31)</f>
        <v>677.9367233959189</v>
      </c>
      <c r="AE29" s="27">
        <f t="shared" si="16"/>
        <v>681.891354282395</v>
      </c>
      <c r="AF29" s="27">
        <f t="shared" si="16"/>
        <v>685.8690538490424</v>
      </c>
      <c r="AG29" s="27">
        <f t="shared" si="16"/>
        <v>689.8699566631617</v>
      </c>
      <c r="AH29" s="27">
        <f t="shared" si="16"/>
        <v>693.8941980770302</v>
      </c>
      <c r="AI29" s="27">
        <f t="shared" si="16"/>
        <v>697.9419142324796</v>
      </c>
      <c r="AJ29" s="27">
        <f t="shared" si="16"/>
        <v>702.0132420655024</v>
      </c>
      <c r="AK29" s="27">
        <f t="shared" si="16"/>
        <v>706.1083193108844</v>
      </c>
      <c r="AL29" s="27">
        <f t="shared" si="16"/>
        <v>710.2272845068646</v>
      </c>
      <c r="AM29" s="27">
        <f t="shared" si="16"/>
        <v>714.3702769998214</v>
      </c>
      <c r="AN29" s="27">
        <f t="shared" si="16"/>
        <v>718.537436948987</v>
      </c>
      <c r="AO29" s="27">
        <f t="shared" si="16"/>
        <v>722.7289053311894</v>
      </c>
      <c r="AP29" s="27">
        <f t="shared" si="16"/>
        <v>8401.388665663279</v>
      </c>
      <c r="AQ29" s="27">
        <f t="shared" si="15"/>
        <v>9008.725731608736</v>
      </c>
      <c r="AR29" s="27">
        <f t="shared" si="15"/>
        <v>9659.967243158382</v>
      </c>
      <c r="AS29" s="27">
        <f>SUM(AS30:AS31)</f>
        <v>10358.287056234893</v>
      </c>
      <c r="AT29" s="27">
        <f>SUM(AT30:AT31)</f>
        <v>11107.088465062212</v>
      </c>
      <c r="AU29" s="27">
        <f>SUM(AU30:AU31)</f>
        <v>10397.023263231784</v>
      </c>
    </row>
    <row r="30" spans="1:47" ht="12.75">
      <c r="A30" s="28" t="s">
        <v>33</v>
      </c>
      <c r="B30" s="27">
        <f>P30+AC30+AP30+AQ30+AR30+AS30+AT30+AU30</f>
        <v>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27">
        <f>SUM(D30:O30)</f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27">
        <f>SUM(Q30:AB30)</f>
        <v>0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7">
        <f>SUM(AD30:AO30)</f>
        <v>0</v>
      </c>
      <c r="AQ30" s="27"/>
      <c r="AR30" s="27"/>
      <c r="AS30" s="27"/>
      <c r="AT30" s="27"/>
      <c r="AU30" s="27"/>
    </row>
    <row r="31" spans="1:47" ht="13.5" customHeight="1">
      <c r="A31" s="38" t="s">
        <v>159</v>
      </c>
      <c r="B31" s="27">
        <f>P31+AC31+AP31+AQ31+AR31+AS31+AT31+AU31</f>
        <v>61920.89859999975</v>
      </c>
      <c r="C31" s="27"/>
      <c r="D31" s="34">
        <f>кр!C25</f>
        <v>0</v>
      </c>
      <c r="E31" s="34">
        <f>кр!D25</f>
        <v>0</v>
      </c>
      <c r="F31" s="34">
        <f>кр!E25</f>
        <v>0</v>
      </c>
      <c r="G31" s="34">
        <f>кр!F25</f>
        <v>0</v>
      </c>
      <c r="H31" s="34">
        <f>кр!G25</f>
        <v>0</v>
      </c>
      <c r="I31" s="34">
        <f>кр!H25</f>
        <v>0</v>
      </c>
      <c r="J31" s="34">
        <f>кр!I25</f>
        <v>0</v>
      </c>
      <c r="K31" s="34">
        <f>кр!J25</f>
        <v>0</v>
      </c>
      <c r="L31" s="34">
        <f>кр!K25</f>
        <v>0</v>
      </c>
      <c r="M31" s="34">
        <f>кр!L25</f>
        <v>0</v>
      </c>
      <c r="N31" s="34">
        <f>кр!M25</f>
        <v>0</v>
      </c>
      <c r="O31" s="34">
        <f>кр!N25</f>
        <v>0</v>
      </c>
      <c r="P31" s="27">
        <f>SUM(D31:O31)</f>
        <v>0</v>
      </c>
      <c r="Q31" s="34">
        <f>кр!P25</f>
        <v>0</v>
      </c>
      <c r="R31" s="34">
        <f>кр!Q25</f>
        <v>0</v>
      </c>
      <c r="S31" s="34">
        <f>кр!R25</f>
        <v>0</v>
      </c>
      <c r="T31" s="34">
        <f>кр!S25</f>
        <v>0</v>
      </c>
      <c r="U31" s="34">
        <f>кр!T25</f>
        <v>0</v>
      </c>
      <c r="V31" s="34">
        <f>кр!U25</f>
        <v>0</v>
      </c>
      <c r="W31" s="34">
        <f>кр!V25</f>
        <v>0</v>
      </c>
      <c r="X31" s="34">
        <f>кр!W25</f>
        <v>315.76088299647796</v>
      </c>
      <c r="Y31" s="34">
        <f>кр!X25</f>
        <v>662.3462225256623</v>
      </c>
      <c r="Z31" s="34">
        <f>кр!Y25</f>
        <v>666.2099088237286</v>
      </c>
      <c r="AA31" s="34">
        <f>кр!Z25</f>
        <v>670.0961332918671</v>
      </c>
      <c r="AB31" s="34">
        <f>кр!AA25</f>
        <v>674.0050274027362</v>
      </c>
      <c r="AC31" s="27">
        <f>SUM(Q31:AB31)</f>
        <v>2988.4181750404723</v>
      </c>
      <c r="AD31" s="34">
        <f>кр!AC25</f>
        <v>677.9367233959189</v>
      </c>
      <c r="AE31" s="34">
        <f>кр!AD25</f>
        <v>681.891354282395</v>
      </c>
      <c r="AF31" s="34">
        <f>кр!AE25</f>
        <v>685.8690538490424</v>
      </c>
      <c r="AG31" s="34">
        <f>кр!AF25</f>
        <v>689.8699566631617</v>
      </c>
      <c r="AH31" s="34">
        <f>кр!AG25</f>
        <v>693.8941980770302</v>
      </c>
      <c r="AI31" s="34">
        <f>кр!AH25</f>
        <v>697.9419142324796</v>
      </c>
      <c r="AJ31" s="34">
        <f>кр!AI25</f>
        <v>702.0132420655024</v>
      </c>
      <c r="AK31" s="34">
        <f>кр!AJ25</f>
        <v>706.1083193108844</v>
      </c>
      <c r="AL31" s="34">
        <f>кр!AK25</f>
        <v>710.2272845068646</v>
      </c>
      <c r="AM31" s="34">
        <f>кр!AL25</f>
        <v>714.3702769998214</v>
      </c>
      <c r="AN31" s="34">
        <f>кр!AM25</f>
        <v>718.537436948987</v>
      </c>
      <c r="AO31" s="34">
        <f>кр!AN25</f>
        <v>722.7289053311894</v>
      </c>
      <c r="AP31" s="27">
        <f>SUM(AD31:AO31)</f>
        <v>8401.388665663279</v>
      </c>
      <c r="AQ31" s="34">
        <f>кр!BB25</f>
        <v>9008.725731608736</v>
      </c>
      <c r="AR31" s="34">
        <f>кр!BO25</f>
        <v>9659.967243158382</v>
      </c>
      <c r="AS31" s="34">
        <f>кр!CB25</f>
        <v>10358.287056234893</v>
      </c>
      <c r="AT31" s="34">
        <f>кр!CO25</f>
        <v>11107.088465062212</v>
      </c>
      <c r="AU31" s="34">
        <f>кр!DB25</f>
        <v>10397.023263231784</v>
      </c>
    </row>
    <row r="32" spans="1:47" s="21" customFormat="1" ht="12.75">
      <c r="A32" s="39" t="s">
        <v>25</v>
      </c>
      <c r="B32" s="18">
        <f>B26-B29</f>
        <v>29588.91152000024</v>
      </c>
      <c r="C32" s="18"/>
      <c r="D32" s="18">
        <f>D26-D29</f>
        <v>0</v>
      </c>
      <c r="E32" s="18">
        <f aca="true" t="shared" si="17" ref="E32:AR32">E26-E29</f>
        <v>0</v>
      </c>
      <c r="F32" s="18">
        <f t="shared" si="17"/>
        <v>0</v>
      </c>
      <c r="G32" s="18">
        <f t="shared" si="17"/>
        <v>0</v>
      </c>
      <c r="H32" s="18">
        <f t="shared" si="17"/>
        <v>0</v>
      </c>
      <c r="I32" s="18">
        <f t="shared" si="17"/>
        <v>0</v>
      </c>
      <c r="J32" s="18">
        <f t="shared" si="17"/>
        <v>0</v>
      </c>
      <c r="K32" s="18">
        <f t="shared" si="17"/>
        <v>0</v>
      </c>
      <c r="L32" s="18">
        <f t="shared" si="17"/>
        <v>0</v>
      </c>
      <c r="M32" s="18">
        <f t="shared" si="17"/>
        <v>29092.800000000003</v>
      </c>
      <c r="N32" s="18">
        <f t="shared" si="17"/>
        <v>31763.120000000003</v>
      </c>
      <c r="O32" s="18">
        <f t="shared" si="17"/>
        <v>12837.381479999996</v>
      </c>
      <c r="P32" s="18">
        <f t="shared" si="17"/>
        <v>73693.30148</v>
      </c>
      <c r="Q32" s="18">
        <f t="shared" si="17"/>
        <v>8558.254319999998</v>
      </c>
      <c r="R32" s="18">
        <f t="shared" si="17"/>
        <v>9258.254319999998</v>
      </c>
      <c r="S32" s="18">
        <f t="shared" si="17"/>
        <v>0</v>
      </c>
      <c r="T32" s="18">
        <f t="shared" si="17"/>
        <v>0</v>
      </c>
      <c r="U32" s="18">
        <f t="shared" si="17"/>
        <v>0</v>
      </c>
      <c r="V32" s="18">
        <f t="shared" si="17"/>
        <v>0</v>
      </c>
      <c r="W32" s="18">
        <f t="shared" si="17"/>
        <v>0</v>
      </c>
      <c r="X32" s="18">
        <f t="shared" si="17"/>
        <v>-315.76088299647796</v>
      </c>
      <c r="Y32" s="18">
        <f t="shared" si="17"/>
        <v>-662.3462225256623</v>
      </c>
      <c r="Z32" s="18">
        <f t="shared" si="17"/>
        <v>-666.2099088237286</v>
      </c>
      <c r="AA32" s="18">
        <f t="shared" si="17"/>
        <v>-670.0961332918671</v>
      </c>
      <c r="AB32" s="18">
        <f t="shared" si="17"/>
        <v>-674.0050274027362</v>
      </c>
      <c r="AC32" s="18">
        <f>AC26-AC29</f>
        <v>14828.090464959525</v>
      </c>
      <c r="AD32" s="18">
        <f aca="true" t="shared" si="18" ref="AD32:AP32">AD26-AD29</f>
        <v>-677.9367233959189</v>
      </c>
      <c r="AE32" s="18">
        <f t="shared" si="18"/>
        <v>-681.891354282395</v>
      </c>
      <c r="AF32" s="18">
        <f t="shared" si="18"/>
        <v>-685.8690538490424</v>
      </c>
      <c r="AG32" s="18">
        <f t="shared" si="18"/>
        <v>-689.8699566631617</v>
      </c>
      <c r="AH32" s="18">
        <f t="shared" si="18"/>
        <v>-693.8941980770302</v>
      </c>
      <c r="AI32" s="18">
        <f t="shared" si="18"/>
        <v>-697.9419142324796</v>
      </c>
      <c r="AJ32" s="18">
        <f t="shared" si="18"/>
        <v>-702.0132420655024</v>
      </c>
      <c r="AK32" s="18">
        <f t="shared" si="18"/>
        <v>-706.1083193108844</v>
      </c>
      <c r="AL32" s="18">
        <f t="shared" si="18"/>
        <v>-710.2272845068646</v>
      </c>
      <c r="AM32" s="18">
        <f t="shared" si="18"/>
        <v>-714.3702769998214</v>
      </c>
      <c r="AN32" s="18">
        <f t="shared" si="18"/>
        <v>-718.537436948987</v>
      </c>
      <c r="AO32" s="18">
        <f t="shared" si="18"/>
        <v>-722.7289053311894</v>
      </c>
      <c r="AP32" s="18">
        <f t="shared" si="18"/>
        <v>-8401.388665663279</v>
      </c>
      <c r="AQ32" s="18">
        <f t="shared" si="17"/>
        <v>-9008.725731608736</v>
      </c>
      <c r="AR32" s="18">
        <f t="shared" si="17"/>
        <v>-9659.967243158382</v>
      </c>
      <c r="AS32" s="18">
        <f>AS26-AS29</f>
        <v>-10358.287056234893</v>
      </c>
      <c r="AT32" s="18">
        <f>AT26-AT29</f>
        <v>-11107.088465062212</v>
      </c>
      <c r="AU32" s="18">
        <f>AU26-AU29</f>
        <v>-10397.023263231784</v>
      </c>
    </row>
    <row r="33" spans="1:47" s="48" customFormat="1" ht="12.75">
      <c r="A33" s="46" t="s">
        <v>26</v>
      </c>
      <c r="B33" s="47">
        <f>B17+B23+B32</f>
        <v>210337.37098392617</v>
      </c>
      <c r="C33" s="27"/>
      <c r="D33" s="47">
        <f>D17+D23+D32</f>
        <v>0</v>
      </c>
      <c r="E33" s="47">
        <f aca="true" t="shared" si="19" ref="E33:AR33">E17+E23+E32</f>
        <v>0</v>
      </c>
      <c r="F33" s="47">
        <f t="shared" si="19"/>
        <v>0</v>
      </c>
      <c r="G33" s="47">
        <f t="shared" si="19"/>
        <v>0</v>
      </c>
      <c r="H33" s="47">
        <f t="shared" si="19"/>
        <v>0</v>
      </c>
      <c r="I33" s="47">
        <f t="shared" si="19"/>
        <v>0</v>
      </c>
      <c r="J33" s="47">
        <f t="shared" si="19"/>
        <v>0</v>
      </c>
      <c r="K33" s="47">
        <f t="shared" si="19"/>
        <v>0</v>
      </c>
      <c r="L33" s="47">
        <f t="shared" si="19"/>
        <v>0</v>
      </c>
      <c r="M33" s="47">
        <f t="shared" si="19"/>
        <v>0</v>
      </c>
      <c r="N33" s="47">
        <f t="shared" si="19"/>
        <v>31763.120000000003</v>
      </c>
      <c r="O33" s="47">
        <f t="shared" si="19"/>
        <v>-31763.120000000003</v>
      </c>
      <c r="P33" s="47">
        <f t="shared" si="19"/>
        <v>0</v>
      </c>
      <c r="Q33" s="47">
        <f t="shared" si="19"/>
        <v>4970.498520000001</v>
      </c>
      <c r="R33" s="47">
        <f t="shared" si="19"/>
        <v>5497.82063</v>
      </c>
      <c r="S33" s="47">
        <f t="shared" si="19"/>
        <v>-3948.9610418333305</v>
      </c>
      <c r="T33" s="47">
        <f t="shared" si="19"/>
        <v>1990.7250181666677</v>
      </c>
      <c r="U33" s="47">
        <f t="shared" si="19"/>
        <v>1990.7250181666677</v>
      </c>
      <c r="V33" s="47">
        <f t="shared" si="19"/>
        <v>1990.7250181666677</v>
      </c>
      <c r="W33" s="47">
        <f t="shared" si="19"/>
        <v>-862.0264218333323</v>
      </c>
      <c r="X33" s="47">
        <f t="shared" si="19"/>
        <v>-1177.7873048298102</v>
      </c>
      <c r="Y33" s="47">
        <f t="shared" si="19"/>
        <v>-1522.5307058748472</v>
      </c>
      <c r="Z33" s="47">
        <f t="shared" si="19"/>
        <v>-2948.90642587485</v>
      </c>
      <c r="AA33" s="47">
        <f t="shared" si="19"/>
        <v>-2948.9064258748476</v>
      </c>
      <c r="AB33" s="47">
        <f t="shared" si="19"/>
        <v>-2948.9064258748494</v>
      </c>
      <c r="AC33" s="47">
        <f>AC17+AC23+AC32</f>
        <v>82.46945250414865</v>
      </c>
      <c r="AD33" s="47">
        <f aca="true" t="shared" si="20" ref="AD33:AP33">AD17+AD23+AD32</f>
        <v>4979.695905125155</v>
      </c>
      <c r="AE33" s="47">
        <f t="shared" si="20"/>
        <v>4979.695905125157</v>
      </c>
      <c r="AF33" s="47">
        <f t="shared" si="20"/>
        <v>4835.966274771383</v>
      </c>
      <c r="AG33" s="47">
        <f t="shared" si="20"/>
        <v>3074.645014529397</v>
      </c>
      <c r="AH33" s="47">
        <f t="shared" si="20"/>
        <v>3073.840166246619</v>
      </c>
      <c r="AI33" s="47">
        <f t="shared" si="20"/>
        <v>3073.030623015534</v>
      </c>
      <c r="AJ33" s="47">
        <f t="shared" si="20"/>
        <v>1645.8406374489282</v>
      </c>
      <c r="AK33" s="47">
        <f t="shared" si="20"/>
        <v>1397.2241655712696</v>
      </c>
      <c r="AL33" s="47">
        <f t="shared" si="20"/>
        <v>1036.7814089606554</v>
      </c>
      <c r="AM33" s="47">
        <f t="shared" si="20"/>
        <v>-237.59693953793396</v>
      </c>
      <c r="AN33" s="47">
        <f t="shared" si="20"/>
        <v>-238.43037152776344</v>
      </c>
      <c r="AO33" s="47">
        <f t="shared" si="20"/>
        <v>-239.26866520420901</v>
      </c>
      <c r="AP33" s="47">
        <f t="shared" si="20"/>
        <v>27381.424124524205</v>
      </c>
      <c r="AQ33" s="47">
        <f t="shared" si="19"/>
        <v>30635.780098102652</v>
      </c>
      <c r="AR33" s="47">
        <f t="shared" si="19"/>
        <v>33563.477467576675</v>
      </c>
      <c r="AS33" s="47">
        <f>AS17+AS23+AS32</f>
        <v>36384.66034033459</v>
      </c>
      <c r="AT33" s="47">
        <f>AT17+AT23+AT32</f>
        <v>39093.79311571095</v>
      </c>
      <c r="AU33" s="47">
        <f>AU17+AU23+AU32</f>
        <v>43195.76638517308</v>
      </c>
    </row>
    <row r="34" spans="1:55" s="21" customFormat="1" ht="12.75">
      <c r="A34" s="49" t="s">
        <v>55</v>
      </c>
      <c r="B34" s="27">
        <f>B7+B17+B23+B32</f>
        <v>210337.37098392617</v>
      </c>
      <c r="C34" s="50"/>
      <c r="D34" s="51">
        <f aca="true" t="shared" si="21" ref="D34:O34">D7+D17+D23+D32</f>
        <v>0</v>
      </c>
      <c r="E34" s="51">
        <f t="shared" si="21"/>
        <v>0</v>
      </c>
      <c r="F34" s="51">
        <f t="shared" si="21"/>
        <v>0</v>
      </c>
      <c r="G34" s="51">
        <f t="shared" si="21"/>
        <v>0</v>
      </c>
      <c r="H34" s="51">
        <f t="shared" si="21"/>
        <v>0</v>
      </c>
      <c r="I34" s="51">
        <f t="shared" si="21"/>
        <v>0</v>
      </c>
      <c r="J34" s="51">
        <f t="shared" si="21"/>
        <v>0</v>
      </c>
      <c r="K34" s="51">
        <f t="shared" si="21"/>
        <v>0</v>
      </c>
      <c r="L34" s="51">
        <f t="shared" si="21"/>
        <v>0</v>
      </c>
      <c r="M34" s="51">
        <f t="shared" si="21"/>
        <v>0</v>
      </c>
      <c r="N34" s="51">
        <f t="shared" si="21"/>
        <v>31763.120000000003</v>
      </c>
      <c r="O34" s="51">
        <f t="shared" si="21"/>
        <v>0</v>
      </c>
      <c r="P34" s="52">
        <f>O34</f>
        <v>0</v>
      </c>
      <c r="Q34" s="51">
        <f>P34+Q17+Q23+Q32</f>
        <v>4970.498520000001</v>
      </c>
      <c r="R34" s="51">
        <f aca="true" t="shared" si="22" ref="R34:AB34">Q34+R17+R23+R32</f>
        <v>10468.319150000001</v>
      </c>
      <c r="S34" s="51">
        <f t="shared" si="22"/>
        <v>6519.358108166671</v>
      </c>
      <c r="T34" s="51">
        <f t="shared" si="22"/>
        <v>8510.083126333338</v>
      </c>
      <c r="U34" s="51">
        <f t="shared" si="22"/>
        <v>10500.808144500006</v>
      </c>
      <c r="V34" s="51">
        <f t="shared" si="22"/>
        <v>12491.533162666674</v>
      </c>
      <c r="W34" s="51">
        <f t="shared" si="22"/>
        <v>11629.506740833342</v>
      </c>
      <c r="X34" s="51">
        <f t="shared" si="22"/>
        <v>10451.719436003532</v>
      </c>
      <c r="Y34" s="51">
        <f t="shared" si="22"/>
        <v>8929.188730128684</v>
      </c>
      <c r="Z34" s="51">
        <f t="shared" si="22"/>
        <v>5980.282304253835</v>
      </c>
      <c r="AA34" s="51">
        <f t="shared" si="22"/>
        <v>3031.375878378987</v>
      </c>
      <c r="AB34" s="51">
        <f t="shared" si="22"/>
        <v>82.46945250413773</v>
      </c>
      <c r="AC34" s="52">
        <f>AB34</f>
        <v>82.46945250413773</v>
      </c>
      <c r="AD34" s="51">
        <f aca="true" t="shared" si="23" ref="AD34:AO34">AC34+AD17+AD23+AD32</f>
        <v>5062.165357629293</v>
      </c>
      <c r="AE34" s="51">
        <f t="shared" si="23"/>
        <v>10041.861262754448</v>
      </c>
      <c r="AF34" s="51">
        <f t="shared" si="23"/>
        <v>14877.82753752583</v>
      </c>
      <c r="AG34" s="51">
        <f t="shared" si="23"/>
        <v>17952.472552055227</v>
      </c>
      <c r="AH34" s="51">
        <f t="shared" si="23"/>
        <v>21026.312718301848</v>
      </c>
      <c r="AI34" s="51">
        <f t="shared" si="23"/>
        <v>24099.34334131738</v>
      </c>
      <c r="AJ34" s="51">
        <f t="shared" si="23"/>
        <v>25745.18397876631</v>
      </c>
      <c r="AK34" s="51">
        <f t="shared" si="23"/>
        <v>27142.408144337576</v>
      </c>
      <c r="AL34" s="51">
        <f t="shared" si="23"/>
        <v>28179.18955329823</v>
      </c>
      <c r="AM34" s="51">
        <f t="shared" si="23"/>
        <v>27941.5926137603</v>
      </c>
      <c r="AN34" s="51">
        <f t="shared" si="23"/>
        <v>27703.162242232534</v>
      </c>
      <c r="AO34" s="51">
        <f t="shared" si="23"/>
        <v>27463.893577028324</v>
      </c>
      <c r="AP34" s="52">
        <f>AO34</f>
        <v>27463.893577028324</v>
      </c>
      <c r="AQ34" s="51">
        <f>AP34+AQ17+AQ23+AQ32</f>
        <v>58099.67367513098</v>
      </c>
      <c r="AR34" s="51">
        <f>AQ34+AR17+AR23+AR32</f>
        <v>91663.15114270765</v>
      </c>
      <c r="AS34" s="51">
        <f>AR34+AS17+AS23+AS32</f>
        <v>128047.81148304223</v>
      </c>
      <c r="AT34" s="51">
        <f>AS34+AT17+AT23+AT32</f>
        <v>167141.60459875318</v>
      </c>
      <c r="AU34" s="51">
        <f>AT34+AU17+AU23+AU32</f>
        <v>210337.37098392626</v>
      </c>
      <c r="AV34" s="7">
        <v>2013</v>
      </c>
      <c r="AW34" s="7">
        <f aca="true" t="shared" si="24" ref="AW34:AZ35">AV34+1</f>
        <v>2014</v>
      </c>
      <c r="AX34" s="7">
        <f t="shared" si="24"/>
        <v>2015</v>
      </c>
      <c r="AY34" s="7">
        <f t="shared" si="24"/>
        <v>2016</v>
      </c>
      <c r="AZ34" s="7">
        <f t="shared" si="24"/>
        <v>2017</v>
      </c>
      <c r="BA34" s="7">
        <f aca="true" t="shared" si="25" ref="BA34:BC35">AZ34+1</f>
        <v>2018</v>
      </c>
      <c r="BB34" s="7">
        <f t="shared" si="25"/>
        <v>2019</v>
      </c>
      <c r="BC34" s="7">
        <f t="shared" si="25"/>
        <v>2020</v>
      </c>
    </row>
    <row r="35" spans="1:55" ht="12.75">
      <c r="A35" s="53"/>
      <c r="B35" s="54">
        <f>AU34</f>
        <v>210337.37098392626</v>
      </c>
      <c r="C35" s="55"/>
      <c r="D35" s="56">
        <f aca="true" t="shared" si="26" ref="D35:N35">D7+D33-D34</f>
        <v>0</v>
      </c>
      <c r="E35" s="56">
        <f t="shared" si="26"/>
        <v>0</v>
      </c>
      <c r="F35" s="56">
        <f t="shared" si="26"/>
        <v>0</v>
      </c>
      <c r="G35" s="56">
        <f t="shared" si="26"/>
        <v>0</v>
      </c>
      <c r="H35" s="56">
        <f t="shared" si="26"/>
        <v>0</v>
      </c>
      <c r="I35" s="56">
        <f t="shared" si="26"/>
        <v>0</v>
      </c>
      <c r="J35" s="56">
        <f t="shared" si="26"/>
        <v>0</v>
      </c>
      <c r="K35" s="56">
        <f t="shared" si="26"/>
        <v>0</v>
      </c>
      <c r="L35" s="56">
        <f t="shared" si="26"/>
        <v>0</v>
      </c>
      <c r="M35" s="56">
        <f t="shared" si="26"/>
        <v>0</v>
      </c>
      <c r="N35" s="56">
        <f t="shared" si="26"/>
        <v>0</v>
      </c>
      <c r="O35" s="56"/>
      <c r="P35" s="56"/>
      <c r="Q35" s="56">
        <f>Q7+Q33-Q34</f>
        <v>0</v>
      </c>
      <c r="R35" s="56">
        <f>R7+R33-R34</f>
        <v>0</v>
      </c>
      <c r="S35" s="56"/>
      <c r="T35" s="56">
        <f>T7+T33-T34</f>
        <v>0</v>
      </c>
      <c r="U35" s="56">
        <f>U7+U33-U34</f>
        <v>0</v>
      </c>
      <c r="V35" s="56">
        <f>V7+V33-V34</f>
        <v>0</v>
      </c>
      <c r="W35" s="56"/>
      <c r="X35" s="56">
        <f>X7+X33-X34</f>
        <v>0</v>
      </c>
      <c r="Y35" s="56">
        <f>Y7+Y33-Y34</f>
        <v>0</v>
      </c>
      <c r="Z35" s="56">
        <f>Z7+Z33-Z34</f>
        <v>0</v>
      </c>
      <c r="AA35" s="56">
        <f>AA7+AA33-AA34</f>
        <v>0</v>
      </c>
      <c r="AB35" s="56">
        <f>AB7+AB33-AB34</f>
        <v>0</v>
      </c>
      <c r="AC35" s="56"/>
      <c r="AD35" s="56">
        <f aca="true" t="shared" si="27" ref="AD35:AO35">AD7+AD33-AD34</f>
        <v>0</v>
      </c>
      <c r="AE35" s="56">
        <f t="shared" si="27"/>
        <v>0</v>
      </c>
      <c r="AF35" s="56">
        <f t="shared" si="27"/>
        <v>0</v>
      </c>
      <c r="AG35" s="56">
        <f t="shared" si="27"/>
        <v>0</v>
      </c>
      <c r="AH35" s="56">
        <f t="shared" si="27"/>
        <v>0</v>
      </c>
      <c r="AI35" s="56">
        <f t="shared" si="27"/>
        <v>0</v>
      </c>
      <c r="AJ35" s="56">
        <f t="shared" si="27"/>
        <v>0</v>
      </c>
      <c r="AK35" s="56">
        <f t="shared" si="27"/>
        <v>0</v>
      </c>
      <c r="AL35" s="56">
        <f t="shared" si="27"/>
        <v>0</v>
      </c>
      <c r="AM35" s="56">
        <f t="shared" si="27"/>
        <v>0</v>
      </c>
      <c r="AN35" s="56">
        <f t="shared" si="27"/>
        <v>0</v>
      </c>
      <c r="AO35" s="56">
        <f t="shared" si="27"/>
        <v>0</v>
      </c>
      <c r="AP35" s="56"/>
      <c r="AQ35" s="56">
        <f>AQ7+AQ33-AQ34</f>
        <v>0</v>
      </c>
      <c r="AR35" s="56">
        <f>AR7+AR33-AR34</f>
        <v>0</v>
      </c>
      <c r="AS35" s="56">
        <f>AS7+AS33-AS34</f>
        <v>0</v>
      </c>
      <c r="AT35" s="56">
        <f>AT7+AT33-AT34</f>
        <v>0</v>
      </c>
      <c r="AU35" s="56">
        <f>AU7+AU33-AU34</f>
        <v>0</v>
      </c>
      <c r="AV35" s="63">
        <v>0</v>
      </c>
      <c r="AW35" s="63">
        <f>AV35+1</f>
        <v>1</v>
      </c>
      <c r="AX35" s="63">
        <f t="shared" si="24"/>
        <v>2</v>
      </c>
      <c r="AY35" s="63">
        <f t="shared" si="24"/>
        <v>3</v>
      </c>
      <c r="AZ35" s="63">
        <f t="shared" si="24"/>
        <v>4</v>
      </c>
      <c r="BA35" s="63">
        <f t="shared" si="25"/>
        <v>5</v>
      </c>
      <c r="BB35" s="63">
        <f t="shared" si="25"/>
        <v>6</v>
      </c>
      <c r="BC35" s="63">
        <f t="shared" si="25"/>
        <v>7</v>
      </c>
    </row>
    <row r="36" spans="1:55" ht="12.75">
      <c r="A36" s="53" t="s">
        <v>61</v>
      </c>
      <c r="B36" s="64">
        <f>B34-B35</f>
        <v>0</v>
      </c>
      <c r="C36" s="55"/>
      <c r="Q36" s="58"/>
      <c r="AD36" s="58"/>
      <c r="AV36" s="58">
        <f>P33</f>
        <v>0</v>
      </c>
      <c r="AW36" s="58">
        <f>AC33</f>
        <v>82.46945250414865</v>
      </c>
      <c r="AX36" s="58">
        <f aca="true" t="shared" si="28" ref="AX36:BC36">AP33</f>
        <v>27381.424124524205</v>
      </c>
      <c r="AY36" s="58">
        <f t="shared" si="28"/>
        <v>30635.780098102652</v>
      </c>
      <c r="AZ36" s="58">
        <f t="shared" si="28"/>
        <v>33563.477467576675</v>
      </c>
      <c r="BA36" s="58">
        <f t="shared" si="28"/>
        <v>36384.66034033459</v>
      </c>
      <c r="BB36" s="58">
        <f t="shared" si="28"/>
        <v>39093.79311571095</v>
      </c>
      <c r="BC36" s="58">
        <f t="shared" si="28"/>
        <v>43195.76638517308</v>
      </c>
    </row>
    <row r="37" spans="1:55" ht="12.75">
      <c r="A37" s="53" t="s">
        <v>62</v>
      </c>
      <c r="B37" s="55"/>
      <c r="C37" s="55"/>
      <c r="AV37" s="58">
        <f>AV36+P31+P30+P14</f>
        <v>0</v>
      </c>
      <c r="AW37" s="58">
        <f>AW36+AC31+AC30+AC14</f>
        <v>6824.977780000025</v>
      </c>
      <c r="AX37" s="58">
        <f aca="true" t="shared" si="29" ref="AX37:BC37">AX36+AP31+AP30+AP14</f>
        <v>39641.9384350224</v>
      </c>
      <c r="AY37" s="58">
        <f t="shared" si="29"/>
        <v>42896.29440860084</v>
      </c>
      <c r="AZ37" s="58">
        <f t="shared" si="29"/>
        <v>45823.991778074866</v>
      </c>
      <c r="BA37" s="58">
        <f t="shared" si="29"/>
        <v>48645.17465083278</v>
      </c>
      <c r="BB37" s="58">
        <f t="shared" si="29"/>
        <v>51354.30742620914</v>
      </c>
      <c r="BC37" s="58">
        <f t="shared" si="29"/>
        <v>53946.132396799956</v>
      </c>
    </row>
    <row r="38" spans="1:55" ht="12.75">
      <c r="A38" s="53" t="s">
        <v>63</v>
      </c>
      <c r="B38" s="55"/>
      <c r="C38" s="55"/>
      <c r="V38" s="58"/>
      <c r="AI38" s="58"/>
      <c r="AV38" s="58">
        <f>P26</f>
        <v>73693.30148</v>
      </c>
      <c r="AW38" s="58">
        <f>AC26</f>
        <v>17816.508639999996</v>
      </c>
      <c r="AX38" s="58"/>
      <c r="AY38" s="58"/>
      <c r="AZ38" s="58"/>
      <c r="BA38" s="58"/>
      <c r="BB38" s="58"/>
      <c r="BC38" s="58"/>
    </row>
    <row r="39" spans="1:55" ht="12.75">
      <c r="A39" s="65" t="s">
        <v>64</v>
      </c>
      <c r="B39" s="55"/>
      <c r="C39" s="55"/>
      <c r="AV39" s="66">
        <f>AV37-AV38</f>
        <v>-73693.30148</v>
      </c>
      <c r="AW39" s="66">
        <f aca="true" t="shared" si="30" ref="AW39:BB39">AW37-AW38</f>
        <v>-10991.530859999972</v>
      </c>
      <c r="AX39" s="66">
        <f t="shared" si="30"/>
        <v>39641.9384350224</v>
      </c>
      <c r="AY39" s="66">
        <f t="shared" si="30"/>
        <v>42896.29440860084</v>
      </c>
      <c r="AZ39" s="66">
        <f t="shared" si="30"/>
        <v>45823.991778074866</v>
      </c>
      <c r="BA39" s="66">
        <f t="shared" si="30"/>
        <v>48645.17465083278</v>
      </c>
      <c r="BB39" s="66">
        <f t="shared" si="30"/>
        <v>51354.30742620914</v>
      </c>
      <c r="BC39" s="66">
        <f>BC37-BC38</f>
        <v>53946.132396799956</v>
      </c>
    </row>
    <row r="40" spans="1:55" ht="12.75">
      <c r="A40" s="67" t="s">
        <v>65</v>
      </c>
      <c r="B40" s="55"/>
      <c r="C40" s="55"/>
      <c r="AV40" s="68">
        <f>AV39/(1+Исх!$C$8)^'1-Ф3'!AV35</f>
        <v>-73693.30148</v>
      </c>
      <c r="AW40" s="68">
        <f>AW39/(1+Исх!$C$8)^'1-Ф3'!AW35</f>
        <v>-9953.959793485823</v>
      </c>
      <c r="AX40" s="68">
        <f>AX39/(1+Исх!$C$8)^'1-Ф3'!AX35</f>
        <v>32510.996396413928</v>
      </c>
      <c r="AY40" s="68">
        <f>AY39/(1+Исх!$C$8)^'1-Ф3'!AY35</f>
        <v>31859.053790335543</v>
      </c>
      <c r="AZ40" s="68">
        <f>AZ39/(1+Исх!$C$8)^'1-Ф3'!AZ35</f>
        <v>30820.7861990973</v>
      </c>
      <c r="BA40" s="68">
        <f>BA39/(1+Исх!$C$8)^'1-Ф3'!BA35</f>
        <v>29629.768618468213</v>
      </c>
      <c r="BB40" s="68">
        <f>BB39/(1+Исх!$C$8)^'1-Ф3'!BB35</f>
        <v>28327.162134203252</v>
      </c>
      <c r="BC40" s="68">
        <f>BC39/(1+Исх!$C$8)^'1-Ф3'!BC35</f>
        <v>26947.855146352205</v>
      </c>
    </row>
    <row r="41" spans="1:55" ht="12.75">
      <c r="A41" s="65" t="s">
        <v>66</v>
      </c>
      <c r="B41" s="55"/>
      <c r="C41" s="55"/>
      <c r="AV41" s="66">
        <f>AV39</f>
        <v>-73693.30148</v>
      </c>
      <c r="AW41" s="66">
        <f aca="true" t="shared" si="31" ref="AW41:AZ42">AV41+AW39</f>
        <v>-84684.83233999996</v>
      </c>
      <c r="AX41" s="66">
        <f t="shared" si="31"/>
        <v>-45042.893904977565</v>
      </c>
      <c r="AY41" s="66">
        <f t="shared" si="31"/>
        <v>-2146.5994963767225</v>
      </c>
      <c r="AZ41" s="66">
        <f t="shared" si="31"/>
        <v>43677.39228169814</v>
      </c>
      <c r="BA41" s="66">
        <f aca="true" t="shared" si="32" ref="BA41:BC42">AZ41+BA39</f>
        <v>92322.56693253093</v>
      </c>
      <c r="BB41" s="66">
        <f t="shared" si="32"/>
        <v>143676.87435874005</v>
      </c>
      <c r="BC41" s="66">
        <f t="shared" si="32"/>
        <v>197623.00675554</v>
      </c>
    </row>
    <row r="42" spans="1:55" ht="12.75">
      <c r="A42" s="67" t="s">
        <v>67</v>
      </c>
      <c r="B42" s="55"/>
      <c r="C42" s="55"/>
      <c r="AV42" s="68">
        <f>AV40</f>
        <v>-73693.30148</v>
      </c>
      <c r="AW42" s="68">
        <f t="shared" si="31"/>
        <v>-83647.26127348581</v>
      </c>
      <c r="AX42" s="68">
        <f t="shared" si="31"/>
        <v>-51136.26487707188</v>
      </c>
      <c r="AY42" s="68">
        <f t="shared" si="31"/>
        <v>-19277.211086736337</v>
      </c>
      <c r="AZ42" s="68">
        <f t="shared" si="31"/>
        <v>11543.575112360963</v>
      </c>
      <c r="BA42" s="68">
        <f t="shared" si="32"/>
        <v>41173.343730829176</v>
      </c>
      <c r="BB42" s="68">
        <f t="shared" si="32"/>
        <v>69500.50586503244</v>
      </c>
      <c r="BC42" s="68">
        <f t="shared" si="32"/>
        <v>96448.36101138464</v>
      </c>
    </row>
    <row r="43" spans="1:55" ht="12.75">
      <c r="A43" s="53" t="s">
        <v>68</v>
      </c>
      <c r="B43" s="55"/>
      <c r="C43" s="55"/>
      <c r="AV43" s="58">
        <f>NPV(Исх!$C$8,'1-Ф3'!$AV37:AV37)</f>
        <v>0</v>
      </c>
      <c r="AW43" s="58">
        <f>NPV(Исх!$C$8,'1-Ф3'!$AV37:AW37)</f>
        <v>5597.274925767906</v>
      </c>
      <c r="AX43" s="58">
        <f>NPV(Исх!$C$8,'1-Ф3'!$AV37:AX37)</f>
        <v>35039.3203603806</v>
      </c>
      <c r="AY43" s="58">
        <f>NPV(Исх!$C$8,'1-Ф3'!$AV37:AY37)</f>
        <v>63890.9648243532</v>
      </c>
      <c r="AZ43" s="58">
        <f>NPV(Исх!$C$8,'1-Ф3'!$AV37:AZ37)</f>
        <v>91802.3513761477</v>
      </c>
      <c r="BA43" s="58">
        <f>NPV(Исх!$C$8,'1-Ф3'!$AV37:BA37)</f>
        <v>118635.14921614951</v>
      </c>
      <c r="BB43" s="58">
        <f>NPV(Исх!$C$8,'1-Ф3'!$AV37:BB37)</f>
        <v>144288.30313427572</v>
      </c>
      <c r="BC43" s="58">
        <f>NPV(Исх!$C$8,'1-Ф3'!$AV37:BC37)</f>
        <v>168692.35294899557</v>
      </c>
    </row>
    <row r="44" spans="1:55" ht="12.75">
      <c r="A44" s="53" t="s">
        <v>69</v>
      </c>
      <c r="B44" s="55"/>
      <c r="C44" s="55"/>
      <c r="AV44" s="58">
        <f>NPV(Исх!$C$8,'1-Ф3'!$AV38:AV38)</f>
        <v>66736.85124704742</v>
      </c>
      <c r="AW44" s="58">
        <f>NPV(Исх!$C$8,'1-Ф3'!$AV38:AW38)</f>
        <v>81348.4588287792</v>
      </c>
      <c r="AX44" s="58">
        <f>NPV(Исх!$C$8,'1-Ф3'!$AV38:AX38)</f>
        <v>81348.4588287792</v>
      </c>
      <c r="AY44" s="58">
        <f>NPV(Исх!$C$8,'1-Ф3'!$AV38:AY38)</f>
        <v>81348.4588287792</v>
      </c>
      <c r="AZ44" s="58">
        <f>NPV(Исх!$C$8,'1-Ф3'!$AV38:AZ38)</f>
        <v>81348.4588287792</v>
      </c>
      <c r="BA44" s="58">
        <f>NPV(Исх!$C$8,'1-Ф3'!$AV38:BA38)</f>
        <v>81348.4588287792</v>
      </c>
      <c r="BB44" s="58">
        <f>NPV(Исх!$C$8,'1-Ф3'!$AV38:BB38)</f>
        <v>81348.4588287792</v>
      </c>
      <c r="BC44" s="58">
        <f>NPV(Исх!$C$8,'1-Ф3'!$AV38:BC38)</f>
        <v>81348.4588287792</v>
      </c>
    </row>
    <row r="45" spans="1:55" ht="12.75">
      <c r="A45" s="53" t="s">
        <v>70</v>
      </c>
      <c r="B45" s="55"/>
      <c r="C45" s="55"/>
      <c r="AV45" s="58">
        <f aca="true" t="shared" si="33" ref="AV45:BB45">AV43-AV44</f>
        <v>-66736.85124704742</v>
      </c>
      <c r="AW45" s="58">
        <f t="shared" si="33"/>
        <v>-75751.18390301129</v>
      </c>
      <c r="AX45" s="58">
        <f t="shared" si="33"/>
        <v>-46309.138468398596</v>
      </c>
      <c r="AY45" s="58">
        <f t="shared" si="33"/>
        <v>-17457.494004426</v>
      </c>
      <c r="AZ45" s="58">
        <f t="shared" si="33"/>
        <v>10453.892547368494</v>
      </c>
      <c r="BA45" s="58">
        <f t="shared" si="33"/>
        <v>37286.69038737031</v>
      </c>
      <c r="BB45" s="58">
        <f t="shared" si="33"/>
        <v>62939.84430549652</v>
      </c>
      <c r="BC45" s="58">
        <f>BC43-BC44</f>
        <v>87343.89412021637</v>
      </c>
    </row>
    <row r="46" spans="1:55" ht="12.75">
      <c r="A46" s="53" t="s">
        <v>71</v>
      </c>
      <c r="B46" s="55"/>
      <c r="C46" s="55"/>
      <c r="AV46" s="69">
        <f aca="true" t="shared" si="34" ref="AV46:BB46">AV43/AV44</f>
        <v>0</v>
      </c>
      <c r="AW46" s="69">
        <f t="shared" si="34"/>
        <v>0.06880615817871795</v>
      </c>
      <c r="AX46" s="69">
        <f t="shared" si="34"/>
        <v>0.4307312131644774</v>
      </c>
      <c r="AY46" s="69">
        <f t="shared" si="34"/>
        <v>0.7853985895274276</v>
      </c>
      <c r="AZ46" s="69">
        <f t="shared" si="34"/>
        <v>1.12850756729604</v>
      </c>
      <c r="BA46" s="69">
        <f t="shared" si="34"/>
        <v>1.4583576741859448</v>
      </c>
      <c r="BB46" s="69">
        <f t="shared" si="34"/>
        <v>1.7737066591264032</v>
      </c>
      <c r="BC46" s="69">
        <f>BC43/BC44</f>
        <v>2.0737006622836733</v>
      </c>
    </row>
    <row r="47" spans="1:55" ht="12.75">
      <c r="A47" s="53" t="s">
        <v>72</v>
      </c>
      <c r="B47" s="55"/>
      <c r="C47" s="55"/>
      <c r="AS47" s="70"/>
      <c r="AT47" s="70"/>
      <c r="AU47" s="70"/>
      <c r="AV47" s="70" t="str">
        <f>IF(ISERROR(IRR($AV39:AV$39))," ",IF(IRR($AV39:AV$39)&lt;0," ",IRR($AV39:AV$39)))</f>
        <v> </v>
      </c>
      <c r="AW47" s="70" t="str">
        <f>IF(ISERROR(IRR($AV39:AW$39))," ",IF(IRR($AV39:AW$39)&lt;0," ",IRR($AV39:AW$39)))</f>
        <v> </v>
      </c>
      <c r="AX47" s="70" t="str">
        <f>IF(ISERROR(IRR($AV39:AX$39))," ",IF(IRR($AV39:AX$39)&lt;0," ",IRR($AV39:AX$39)))</f>
        <v> </v>
      </c>
      <c r="AY47" s="70" t="str">
        <f>IF(ISERROR(IRR($AV39:AY$39))," ",IF(IRR($AV39:AY$39)&lt;0," ",IRR($AV39:AY$39)))</f>
        <v> </v>
      </c>
      <c r="AZ47" s="70">
        <f>IF(ISERROR(IRR($AV39:AZ$39))," ",IF(IRR($AV39:AZ$39)&lt;0," ",IRR($AV39:AZ$39)))</f>
        <v>0.1554685349859828</v>
      </c>
      <c r="BA47" s="70">
        <f>IF(ISERROR(IRR($AV39:BA$39))," ",IF(IRR($AV39:BA$39)&lt;0," ",IRR($AV39:BA$39)))</f>
        <v>0.2478987790541609</v>
      </c>
      <c r="BB47" s="70">
        <f>IF(ISERROR(IRR($AV39:BB$39))," ",IF(IRR($AV39:BB$39)&lt;0," ",IRR($AV39:BB$39)))</f>
        <v>0.30278318927506187</v>
      </c>
      <c r="BC47" s="70">
        <f>IF(ISERROR(IRR($AV39:BC$39))," ",IF(IRR($AV39:BC$39)&lt;0," ",IRR($AV39:BC$39)))</f>
        <v>0.33696451218073054</v>
      </c>
    </row>
    <row r="48" spans="1:3" ht="12.75">
      <c r="A48" s="71" t="s">
        <v>35</v>
      </c>
      <c r="B48" s="59">
        <f>AY35-AY41/AZ39</f>
        <v>3.0468444457386576</v>
      </c>
      <c r="C48" s="55"/>
    </row>
    <row r="49" spans="1:3" ht="12.75">
      <c r="A49" s="71" t="s">
        <v>29</v>
      </c>
      <c r="B49" s="59">
        <f>AY35-AY42/AZ40</f>
        <v>3.625461367604599</v>
      </c>
      <c r="C49" s="55"/>
    </row>
    <row r="50" spans="1:3" ht="12.75">
      <c r="A50" s="53"/>
      <c r="B50" s="59"/>
      <c r="C50" s="55"/>
    </row>
    <row r="51" spans="1:3" ht="12.75">
      <c r="A51" s="53"/>
      <c r="B51" s="55"/>
      <c r="C51" s="55"/>
    </row>
    <row r="52" spans="1:3" ht="12.75">
      <c r="A52" s="53"/>
      <c r="B52" s="55"/>
      <c r="C52" s="55"/>
    </row>
    <row r="53" spans="1:3" ht="12.75">
      <c r="A53" s="53"/>
      <c r="B53" s="55"/>
      <c r="C53" s="55"/>
    </row>
    <row r="54" spans="1:3" ht="12.75">
      <c r="A54" s="53"/>
      <c r="B54" s="55"/>
      <c r="C54" s="55"/>
    </row>
    <row r="55" spans="1:3" ht="12.75">
      <c r="A55" s="53"/>
      <c r="B55" s="55"/>
      <c r="C55" s="55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5"/>
    </row>
    <row r="60" spans="1:3" ht="12.75">
      <c r="A60" s="53"/>
      <c r="B60" s="55"/>
      <c r="C60" s="55"/>
    </row>
    <row r="61" spans="1:3" ht="12.75">
      <c r="A61" s="53"/>
      <c r="B61" s="55"/>
      <c r="C61" s="55"/>
    </row>
    <row r="62" spans="1:44" ht="12.75">
      <c r="A62" s="53"/>
      <c r="B62" s="55"/>
      <c r="C62" s="5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2.75">
      <c r="A63" s="53"/>
      <c r="B63" s="55"/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 s="53"/>
      <c r="B64" s="55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>
      <c r="A65" s="53"/>
      <c r="B65" s="55"/>
      <c r="C65" s="5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53"/>
      <c r="B66" s="55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53"/>
      <c r="B67" s="55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53"/>
      <c r="B68" s="55"/>
      <c r="C68" s="5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53"/>
      <c r="B69" s="55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53"/>
      <c r="B70" s="55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53"/>
      <c r="B71" s="55"/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53"/>
      <c r="B72" s="55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53"/>
      <c r="B73" s="55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53"/>
      <c r="B74" s="55"/>
      <c r="C74" s="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53"/>
      <c r="B75" s="55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53"/>
      <c r="B76" s="55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 s="53"/>
      <c r="B77" s="55"/>
      <c r="C77" s="5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 s="53"/>
      <c r="B78" s="55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 s="53"/>
      <c r="B79" s="55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 s="53"/>
      <c r="B80" s="55"/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 s="53"/>
      <c r="B81" s="55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 s="53"/>
      <c r="B82" s="55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 s="53"/>
      <c r="B83" s="55"/>
      <c r="C83" s="5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 s="53"/>
      <c r="B84" s="55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 s="53"/>
      <c r="B85" s="55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 s="53"/>
      <c r="B86" s="55"/>
      <c r="C86" s="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 s="53"/>
      <c r="B87" s="55"/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 s="53"/>
      <c r="B88" s="55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53"/>
      <c r="B89" s="55"/>
      <c r="C89" s="5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53"/>
      <c r="B90" s="55"/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53"/>
      <c r="B91" s="55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53"/>
      <c r="B92" s="55"/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53"/>
      <c r="B93" s="55"/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53"/>
      <c r="B94" s="55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2.75">
      <c r="A95" s="53"/>
      <c r="B95" s="55"/>
      <c r="C95" s="5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2.75">
      <c r="A96" s="53"/>
      <c r="B96" s="55"/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 s="53"/>
      <c r="B97" s="55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 s="53"/>
      <c r="B98" s="55"/>
      <c r="C98" s="5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 s="53"/>
      <c r="B99" s="55"/>
      <c r="C99" s="5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2.75">
      <c r="A100" s="53"/>
      <c r="B100" s="55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2.75">
      <c r="A101" s="53"/>
      <c r="B101" s="55"/>
      <c r="C101" s="5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2.75">
      <c r="A102" s="53"/>
      <c r="B102" s="55"/>
      <c r="C102" s="5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53"/>
      <c r="B103" s="55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53"/>
      <c r="B104" s="55"/>
      <c r="C104" s="5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53"/>
      <c r="B105" s="55"/>
      <c r="C105" s="5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53"/>
      <c r="B106" s="55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53"/>
      <c r="B107" s="55"/>
      <c r="C107" s="5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53"/>
      <c r="B108" s="55"/>
      <c r="C108" s="5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53"/>
      <c r="B109" s="55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53"/>
      <c r="B110" s="55"/>
      <c r="C110" s="5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53"/>
      <c r="B111" s="55"/>
      <c r="C111" s="5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53"/>
      <c r="B112" s="55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53"/>
      <c r="B113" s="55"/>
      <c r="C113" s="5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53"/>
      <c r="B114" s="55"/>
      <c r="C114" s="5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53"/>
      <c r="B115" s="55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53"/>
      <c r="B116" s="55"/>
      <c r="C116" s="5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53"/>
      <c r="B117" s="55"/>
      <c r="C117" s="5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53"/>
      <c r="B118" s="55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53"/>
      <c r="B119" s="55"/>
      <c r="C119" s="5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53"/>
      <c r="B120" s="55"/>
      <c r="C120" s="5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53"/>
      <c r="B121" s="55"/>
      <c r="C121" s="5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53"/>
      <c r="B122" s="55"/>
      <c r="C122" s="5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53"/>
      <c r="B123" s="55"/>
      <c r="C123" s="5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53"/>
      <c r="B124" s="55"/>
      <c r="C124" s="5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53"/>
      <c r="B125" s="55"/>
      <c r="C125" s="5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53"/>
      <c r="B126" s="55"/>
      <c r="C126" s="5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53"/>
      <c r="B127" s="55"/>
      <c r="C127" s="5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53"/>
      <c r="B128" s="55"/>
      <c r="C128" s="5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53"/>
      <c r="B129" s="55"/>
      <c r="C129" s="5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53"/>
      <c r="B130" s="55"/>
      <c r="C130" s="5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53"/>
      <c r="B131" s="55"/>
      <c r="C131" s="5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53"/>
      <c r="B132" s="55"/>
      <c r="C132" s="5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53"/>
      <c r="B133" s="55"/>
      <c r="C133" s="5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53"/>
      <c r="B134" s="55"/>
      <c r="C134" s="5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53"/>
      <c r="B135" s="55"/>
      <c r="C135" s="5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53"/>
      <c r="B136" s="55"/>
      <c r="C136" s="5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53"/>
      <c r="B137" s="55"/>
      <c r="C137" s="5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53"/>
      <c r="B138" s="55"/>
      <c r="C138" s="5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53"/>
      <c r="B139" s="55"/>
      <c r="C139" s="5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53"/>
      <c r="B140" s="55"/>
      <c r="C140" s="5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53"/>
      <c r="B141" s="55"/>
      <c r="C141" s="5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</sheetData>
  <sheetProtection/>
  <mergeCells count="5">
    <mergeCell ref="A5:A6"/>
    <mergeCell ref="B5:B6"/>
    <mergeCell ref="D5:P5"/>
    <mergeCell ref="Q5:AC5"/>
    <mergeCell ref="AD5:AP5"/>
  </mergeCells>
  <printOptions/>
  <pageMargins left="0.4330708661417323" right="0.2755905511811024" top="0.7086614173228347" bottom="0.35433070866141736" header="0.4330708661417323" footer="0.2362204724409449"/>
  <pageSetup horizontalDpi="600" verticalDpi="600" orientation="landscape" paperSize="9" r:id="rId3"/>
  <headerFooter alignWithMargins="0">
    <oddHeader>&amp;RПриложение 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DP97"/>
  <sheetViews>
    <sheetView showGridLines="0" zoomScalePageLayoutView="0" workbookViewId="0" topLeftCell="A1">
      <pane xSplit="2" ySplit="6" topLeftCell="I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W74" sqref="Q74:W74"/>
    </sheetView>
  </sheetViews>
  <sheetFormatPr defaultColWidth="9.00390625" defaultRowHeight="12.75" outlineLevelRow="1" outlineLevelCol="1"/>
  <cols>
    <col min="1" max="1" width="23.25390625" style="177" customWidth="1"/>
    <col min="2" max="2" width="12.125" style="177" customWidth="1"/>
    <col min="3" max="14" width="9.125" style="177" hidden="1" customWidth="1" outlineLevel="1"/>
    <col min="15" max="15" width="10.125" style="178" bestFit="1" customWidth="1" collapsed="1"/>
    <col min="16" max="19" width="9.125" style="177" hidden="1" customWidth="1" outlineLevel="1"/>
    <col min="20" max="21" width="9.75390625" style="177" hidden="1" customWidth="1" outlineLevel="1"/>
    <col min="22" max="22" width="9.625" style="177" hidden="1" customWidth="1" outlineLevel="1"/>
    <col min="23" max="27" width="9.75390625" style="177" hidden="1" customWidth="1" outlineLevel="1"/>
    <col min="28" max="28" width="10.125" style="178" bestFit="1" customWidth="1" collapsed="1"/>
    <col min="29" max="40" width="9.75390625" style="177" hidden="1" customWidth="1" outlineLevel="1"/>
    <col min="41" max="41" width="10.125" style="178" bestFit="1" customWidth="1" collapsed="1"/>
    <col min="42" max="53" width="9.75390625" style="177" hidden="1" customWidth="1" outlineLevel="1"/>
    <col min="54" max="54" width="9.75390625" style="178" bestFit="1" customWidth="1" collapsed="1"/>
    <col min="55" max="66" width="9.75390625" style="177" hidden="1" customWidth="1" outlineLevel="1"/>
    <col min="67" max="67" width="10.125" style="178" bestFit="1" customWidth="1" collapsed="1"/>
    <col min="68" max="79" width="9.75390625" style="177" hidden="1" customWidth="1" outlineLevel="1"/>
    <col min="80" max="80" width="10.125" style="178" bestFit="1" customWidth="1" collapsed="1"/>
    <col min="81" max="92" width="9.75390625" style="177" hidden="1" customWidth="1" outlineLevel="1"/>
    <col min="93" max="93" width="10.125" style="178" bestFit="1" customWidth="1" collapsed="1"/>
    <col min="94" max="98" width="9.75390625" style="177" hidden="1" customWidth="1" outlineLevel="1"/>
    <col min="99" max="105" width="8.75390625" style="177" hidden="1" customWidth="1" outlineLevel="1"/>
    <col min="106" max="106" width="10.125" style="178" bestFit="1" customWidth="1" collapsed="1"/>
    <col min="107" max="118" width="8.75390625" style="177" hidden="1" customWidth="1" outlineLevel="1"/>
    <col min="119" max="119" width="10.125" style="178" hidden="1" customWidth="1" collapsed="1"/>
    <col min="120" max="120" width="9.75390625" style="177" bestFit="1" customWidth="1"/>
    <col min="121" max="16384" width="9.125" style="177" customWidth="1"/>
  </cols>
  <sheetData>
    <row r="1" ht="9.75" customHeight="1"/>
    <row r="2" spans="1:15" ht="18.75" customHeight="1">
      <c r="A2" s="178" t="s">
        <v>99</v>
      </c>
      <c r="B2" s="179"/>
      <c r="D2" s="180"/>
      <c r="E2" s="180"/>
      <c r="F2" s="181"/>
      <c r="G2" s="180"/>
      <c r="O2" s="182"/>
    </row>
    <row r="3" spans="1:15" ht="13.5" customHeight="1">
      <c r="A3" s="183"/>
      <c r="B3" s="179"/>
      <c r="D3" s="180"/>
      <c r="E3" s="180"/>
      <c r="F3" s="181"/>
      <c r="G3" s="180"/>
      <c r="O3" s="182"/>
    </row>
    <row r="4" spans="1:2" ht="12.75" hidden="1">
      <c r="A4" s="184" t="s">
        <v>254</v>
      </c>
      <c r="B4" s="185"/>
    </row>
    <row r="5" spans="1:119" ht="15.75" customHeight="1" hidden="1">
      <c r="A5" s="186" t="s">
        <v>11</v>
      </c>
      <c r="B5" s="187">
        <f>Исх!C42</f>
        <v>0.07</v>
      </c>
      <c r="C5" s="366">
        <v>2012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>
        <v>2013</v>
      </c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>
        <v>2014</v>
      </c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>
        <v>2015</v>
      </c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>
        <v>2016</v>
      </c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>
        <v>2017</v>
      </c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>
        <v>2018</v>
      </c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>
        <v>2019</v>
      </c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>
        <v>2020</v>
      </c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</row>
    <row r="6" spans="1:119" s="192" customFormat="1" ht="15" customHeight="1" hidden="1">
      <c r="A6" s="188" t="s">
        <v>9</v>
      </c>
      <c r="B6" s="189" t="s">
        <v>12</v>
      </c>
      <c r="C6" s="190">
        <v>1</v>
      </c>
      <c r="D6" s="190">
        <v>2</v>
      </c>
      <c r="E6" s="190">
        <f>D6+1</f>
        <v>3</v>
      </c>
      <c r="F6" s="190">
        <f aca="true" t="shared" si="0" ref="F6:N6">E6+1</f>
        <v>4</v>
      </c>
      <c r="G6" s="190">
        <f t="shared" si="0"/>
        <v>5</v>
      </c>
      <c r="H6" s="190">
        <f t="shared" si="0"/>
        <v>6</v>
      </c>
      <c r="I6" s="190">
        <f t="shared" si="0"/>
        <v>7</v>
      </c>
      <c r="J6" s="190">
        <f t="shared" si="0"/>
        <v>8</v>
      </c>
      <c r="K6" s="190">
        <f t="shared" si="0"/>
        <v>9</v>
      </c>
      <c r="L6" s="190">
        <f t="shared" si="0"/>
        <v>10</v>
      </c>
      <c r="M6" s="190">
        <f t="shared" si="0"/>
        <v>11</v>
      </c>
      <c r="N6" s="190">
        <f t="shared" si="0"/>
        <v>12</v>
      </c>
      <c r="O6" s="191" t="s">
        <v>0</v>
      </c>
      <c r="P6" s="190">
        <v>1</v>
      </c>
      <c r="Q6" s="190">
        <v>2</v>
      </c>
      <c r="R6" s="190">
        <f>Q6+1</f>
        <v>3</v>
      </c>
      <c r="S6" s="190">
        <f aca="true" t="shared" si="1" ref="S6:AA6">R6+1</f>
        <v>4</v>
      </c>
      <c r="T6" s="190">
        <f t="shared" si="1"/>
        <v>5</v>
      </c>
      <c r="U6" s="190">
        <f t="shared" si="1"/>
        <v>6</v>
      </c>
      <c r="V6" s="190">
        <f t="shared" si="1"/>
        <v>7</v>
      </c>
      <c r="W6" s="190">
        <f t="shared" si="1"/>
        <v>8</v>
      </c>
      <c r="X6" s="190">
        <f t="shared" si="1"/>
        <v>9</v>
      </c>
      <c r="Y6" s="190">
        <f t="shared" si="1"/>
        <v>10</v>
      </c>
      <c r="Z6" s="190">
        <f t="shared" si="1"/>
        <v>11</v>
      </c>
      <c r="AA6" s="190">
        <f t="shared" si="1"/>
        <v>12</v>
      </c>
      <c r="AB6" s="191" t="s">
        <v>0</v>
      </c>
      <c r="AC6" s="190">
        <v>1</v>
      </c>
      <c r="AD6" s="190">
        <v>2</v>
      </c>
      <c r="AE6" s="190">
        <f aca="true" t="shared" si="2" ref="AE6:BN6">AD6+1</f>
        <v>3</v>
      </c>
      <c r="AF6" s="190">
        <f t="shared" si="2"/>
        <v>4</v>
      </c>
      <c r="AG6" s="190">
        <f t="shared" si="2"/>
        <v>5</v>
      </c>
      <c r="AH6" s="190">
        <f t="shared" si="2"/>
        <v>6</v>
      </c>
      <c r="AI6" s="190">
        <f t="shared" si="2"/>
        <v>7</v>
      </c>
      <c r="AJ6" s="190">
        <f t="shared" si="2"/>
        <v>8</v>
      </c>
      <c r="AK6" s="190">
        <f t="shared" si="2"/>
        <v>9</v>
      </c>
      <c r="AL6" s="190">
        <f t="shared" si="2"/>
        <v>10</v>
      </c>
      <c r="AM6" s="190">
        <f t="shared" si="2"/>
        <v>11</v>
      </c>
      <c r="AN6" s="190">
        <f t="shared" si="2"/>
        <v>12</v>
      </c>
      <c r="AO6" s="191" t="s">
        <v>0</v>
      </c>
      <c r="AP6" s="190">
        <v>1</v>
      </c>
      <c r="AQ6" s="190">
        <v>2</v>
      </c>
      <c r="AR6" s="190">
        <f>AQ6+1</f>
        <v>3</v>
      </c>
      <c r="AS6" s="190">
        <f t="shared" si="2"/>
        <v>4</v>
      </c>
      <c r="AT6" s="190">
        <f t="shared" si="2"/>
        <v>5</v>
      </c>
      <c r="AU6" s="190">
        <f t="shared" si="2"/>
        <v>6</v>
      </c>
      <c r="AV6" s="190">
        <f t="shared" si="2"/>
        <v>7</v>
      </c>
      <c r="AW6" s="190">
        <f t="shared" si="2"/>
        <v>8</v>
      </c>
      <c r="AX6" s="190">
        <f t="shared" si="2"/>
        <v>9</v>
      </c>
      <c r="AY6" s="190">
        <f t="shared" si="2"/>
        <v>10</v>
      </c>
      <c r="AZ6" s="190">
        <f t="shared" si="2"/>
        <v>11</v>
      </c>
      <c r="BA6" s="190">
        <f t="shared" si="2"/>
        <v>12</v>
      </c>
      <c r="BB6" s="191" t="s">
        <v>0</v>
      </c>
      <c r="BC6" s="190">
        <v>1</v>
      </c>
      <c r="BD6" s="190">
        <v>2</v>
      </c>
      <c r="BE6" s="190">
        <f>BD6+1</f>
        <v>3</v>
      </c>
      <c r="BF6" s="190">
        <f t="shared" si="2"/>
        <v>4</v>
      </c>
      <c r="BG6" s="190">
        <f t="shared" si="2"/>
        <v>5</v>
      </c>
      <c r="BH6" s="190">
        <f t="shared" si="2"/>
        <v>6</v>
      </c>
      <c r="BI6" s="190">
        <f t="shared" si="2"/>
        <v>7</v>
      </c>
      <c r="BJ6" s="190">
        <f t="shared" si="2"/>
        <v>8</v>
      </c>
      <c r="BK6" s="190">
        <f t="shared" si="2"/>
        <v>9</v>
      </c>
      <c r="BL6" s="190">
        <f t="shared" si="2"/>
        <v>10</v>
      </c>
      <c r="BM6" s="190">
        <f t="shared" si="2"/>
        <v>11</v>
      </c>
      <c r="BN6" s="190">
        <f t="shared" si="2"/>
        <v>12</v>
      </c>
      <c r="BO6" s="191" t="s">
        <v>0</v>
      </c>
      <c r="BP6" s="190">
        <v>1</v>
      </c>
      <c r="BQ6" s="190">
        <v>2</v>
      </c>
      <c r="BR6" s="190">
        <f aca="true" t="shared" si="3" ref="BR6:CA6">BQ6+1</f>
        <v>3</v>
      </c>
      <c r="BS6" s="190">
        <f t="shared" si="3"/>
        <v>4</v>
      </c>
      <c r="BT6" s="190">
        <f t="shared" si="3"/>
        <v>5</v>
      </c>
      <c r="BU6" s="190">
        <f t="shared" si="3"/>
        <v>6</v>
      </c>
      <c r="BV6" s="190">
        <f t="shared" si="3"/>
        <v>7</v>
      </c>
      <c r="BW6" s="190">
        <f t="shared" si="3"/>
        <v>8</v>
      </c>
      <c r="BX6" s="190">
        <f t="shared" si="3"/>
        <v>9</v>
      </c>
      <c r="BY6" s="190">
        <f t="shared" si="3"/>
        <v>10</v>
      </c>
      <c r="BZ6" s="190">
        <f t="shared" si="3"/>
        <v>11</v>
      </c>
      <c r="CA6" s="190">
        <f t="shared" si="3"/>
        <v>12</v>
      </c>
      <c r="CB6" s="191" t="s">
        <v>0</v>
      </c>
      <c r="CC6" s="190">
        <v>1</v>
      </c>
      <c r="CD6" s="190">
        <v>2</v>
      </c>
      <c r="CE6" s="190">
        <f aca="true" t="shared" si="4" ref="CE6:CN6">CD6+1</f>
        <v>3</v>
      </c>
      <c r="CF6" s="190">
        <f t="shared" si="4"/>
        <v>4</v>
      </c>
      <c r="CG6" s="190">
        <f t="shared" si="4"/>
        <v>5</v>
      </c>
      <c r="CH6" s="190">
        <f t="shared" si="4"/>
        <v>6</v>
      </c>
      <c r="CI6" s="190">
        <f t="shared" si="4"/>
        <v>7</v>
      </c>
      <c r="CJ6" s="190">
        <f t="shared" si="4"/>
        <v>8</v>
      </c>
      <c r="CK6" s="190">
        <f t="shared" si="4"/>
        <v>9</v>
      </c>
      <c r="CL6" s="190">
        <f t="shared" si="4"/>
        <v>10</v>
      </c>
      <c r="CM6" s="190">
        <f t="shared" si="4"/>
        <v>11</v>
      </c>
      <c r="CN6" s="190">
        <f t="shared" si="4"/>
        <v>12</v>
      </c>
      <c r="CO6" s="191" t="s">
        <v>0</v>
      </c>
      <c r="CP6" s="190">
        <v>1</v>
      </c>
      <c r="CQ6" s="190">
        <v>2</v>
      </c>
      <c r="CR6" s="190">
        <f aca="true" t="shared" si="5" ref="CR6:DA6">CQ6+1</f>
        <v>3</v>
      </c>
      <c r="CS6" s="190">
        <f t="shared" si="5"/>
        <v>4</v>
      </c>
      <c r="CT6" s="190">
        <f t="shared" si="5"/>
        <v>5</v>
      </c>
      <c r="CU6" s="190">
        <f t="shared" si="5"/>
        <v>6</v>
      </c>
      <c r="CV6" s="190">
        <f t="shared" si="5"/>
        <v>7</v>
      </c>
      <c r="CW6" s="190">
        <f t="shared" si="5"/>
        <v>8</v>
      </c>
      <c r="CX6" s="190">
        <f t="shared" si="5"/>
        <v>9</v>
      </c>
      <c r="CY6" s="190">
        <f t="shared" si="5"/>
        <v>10</v>
      </c>
      <c r="CZ6" s="190">
        <f t="shared" si="5"/>
        <v>11</v>
      </c>
      <c r="DA6" s="190">
        <f t="shared" si="5"/>
        <v>12</v>
      </c>
      <c r="DB6" s="191" t="s">
        <v>0</v>
      </c>
      <c r="DC6" s="190">
        <v>1</v>
      </c>
      <c r="DD6" s="190">
        <v>2</v>
      </c>
      <c r="DE6" s="190">
        <f aca="true" t="shared" si="6" ref="DE6:DN6">DD6+1</f>
        <v>3</v>
      </c>
      <c r="DF6" s="190">
        <f t="shared" si="6"/>
        <v>4</v>
      </c>
      <c r="DG6" s="190">
        <f t="shared" si="6"/>
        <v>5</v>
      </c>
      <c r="DH6" s="190">
        <f t="shared" si="6"/>
        <v>6</v>
      </c>
      <c r="DI6" s="190">
        <f t="shared" si="6"/>
        <v>7</v>
      </c>
      <c r="DJ6" s="190">
        <f t="shared" si="6"/>
        <v>8</v>
      </c>
      <c r="DK6" s="190">
        <f t="shared" si="6"/>
        <v>9</v>
      </c>
      <c r="DL6" s="190">
        <f t="shared" si="6"/>
        <v>10</v>
      </c>
      <c r="DM6" s="190">
        <f t="shared" si="6"/>
        <v>11</v>
      </c>
      <c r="DN6" s="190">
        <f t="shared" si="6"/>
        <v>12</v>
      </c>
      <c r="DO6" s="191" t="s">
        <v>1</v>
      </c>
    </row>
    <row r="7" spans="1:120" ht="12.75" hidden="1">
      <c r="A7" s="188" t="s">
        <v>106</v>
      </c>
      <c r="B7" s="193">
        <f>O7+AB7+AO7+BB7+BO7+CB7+CO7+DB7+DO7</f>
        <v>60855.920000000006</v>
      </c>
      <c r="C7" s="194">
        <f>'1-Ф3'!D28</f>
        <v>0</v>
      </c>
      <c r="D7" s="194">
        <f>'1-Ф3'!E28</f>
        <v>0</v>
      </c>
      <c r="E7" s="194">
        <f>'1-Ф3'!F28</f>
        <v>0</v>
      </c>
      <c r="F7" s="194">
        <f>'1-Ф3'!G28</f>
        <v>0</v>
      </c>
      <c r="G7" s="194">
        <f>'1-Ф3'!H28</f>
        <v>0</v>
      </c>
      <c r="H7" s="194">
        <f>'1-Ф3'!I28</f>
        <v>0</v>
      </c>
      <c r="I7" s="194">
        <f>'1-Ф3'!J28</f>
        <v>0</v>
      </c>
      <c r="J7" s="194">
        <f>'1-Ф3'!K28</f>
        <v>0</v>
      </c>
      <c r="K7" s="194">
        <f>'1-Ф3'!L28</f>
        <v>0</v>
      </c>
      <c r="L7" s="194">
        <f>'1-Ф3'!M28</f>
        <v>29092.800000000003</v>
      </c>
      <c r="M7" s="194">
        <f>'1-Ф3'!N28</f>
        <v>31763.120000000003</v>
      </c>
      <c r="N7" s="194">
        <f>'1-Ф3'!O28</f>
        <v>0</v>
      </c>
      <c r="O7" s="195">
        <f>SUM(C7:N7)</f>
        <v>60855.920000000006</v>
      </c>
      <c r="P7" s="194">
        <f>'1-Ф3'!Q28</f>
        <v>0</v>
      </c>
      <c r="Q7" s="194">
        <f>'1-Ф3'!R28</f>
        <v>0</v>
      </c>
      <c r="R7" s="194">
        <f>'1-Ф3'!S28</f>
        <v>0</v>
      </c>
      <c r="S7" s="194">
        <f>'1-Ф3'!T28</f>
        <v>0</v>
      </c>
      <c r="T7" s="194">
        <f>'1-Ф3'!U28</f>
        <v>0</v>
      </c>
      <c r="U7" s="194">
        <f>'1-Ф3'!V28</f>
        <v>0</v>
      </c>
      <c r="V7" s="194">
        <f>'1-Ф3'!W28</f>
        <v>0</v>
      </c>
      <c r="W7" s="194">
        <f>'1-Ф3'!X28</f>
        <v>0</v>
      </c>
      <c r="X7" s="194">
        <f>'1-Ф3'!Y28</f>
        <v>0</v>
      </c>
      <c r="Y7" s="194">
        <f>'1-Ф3'!Z28</f>
        <v>0</v>
      </c>
      <c r="Z7" s="194">
        <f>'1-Ф3'!AA28</f>
        <v>0</v>
      </c>
      <c r="AA7" s="194">
        <f>'1-Ф3'!AB28</f>
        <v>0</v>
      </c>
      <c r="AB7" s="194">
        <f>SUM(P7:AA7)</f>
        <v>0</v>
      </c>
      <c r="AC7" s="194">
        <f>'1-Ф3'!AD28</f>
        <v>0</v>
      </c>
      <c r="AD7" s="194">
        <f>'1-Ф3'!AE28</f>
        <v>0</v>
      </c>
      <c r="AE7" s="194">
        <f>'1-Ф3'!AF28</f>
        <v>0</v>
      </c>
      <c r="AF7" s="194">
        <f>'1-Ф3'!AG28</f>
        <v>0</v>
      </c>
      <c r="AG7" s="194">
        <f>'1-Ф3'!AH28</f>
        <v>0</v>
      </c>
      <c r="AH7" s="194">
        <f>'1-Ф3'!AI28</f>
        <v>0</v>
      </c>
      <c r="AI7" s="194">
        <f>'1-Ф3'!AJ28</f>
        <v>0</v>
      </c>
      <c r="AJ7" s="194">
        <f>'1-Ф3'!AK28</f>
        <v>0</v>
      </c>
      <c r="AK7" s="194">
        <f>'1-Ф3'!AL28</f>
        <v>0</v>
      </c>
      <c r="AL7" s="194">
        <f>'1-Ф3'!AM28</f>
        <v>0</v>
      </c>
      <c r="AM7" s="194">
        <f>'1-Ф3'!AN28</f>
        <v>0</v>
      </c>
      <c r="AN7" s="194">
        <f>'1-Ф3'!AO28</f>
        <v>0</v>
      </c>
      <c r="AO7" s="194">
        <f>SUM(AC7:AN7)</f>
        <v>0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6"/>
    </row>
    <row r="8" spans="1:119" s="197" customFormat="1" ht="20.25" customHeight="1" hidden="1">
      <c r="A8" s="188" t="s">
        <v>31</v>
      </c>
      <c r="B8" s="193">
        <f>O8+AB8+AO8+BB8+BO8+CB8+CO8+DB8+DO8</f>
        <v>7979.551066666665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>
        <f>SUM(C8:N8)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5">
        <f>SUM(P8:AA8)</f>
        <v>0</v>
      </c>
      <c r="AC8" s="194"/>
      <c r="AD8" s="194"/>
      <c r="AE8" s="194"/>
      <c r="AF8" s="194"/>
      <c r="AG8" s="194"/>
      <c r="AH8" s="194"/>
      <c r="AI8" s="194"/>
      <c r="AJ8" s="194"/>
      <c r="AK8" s="194">
        <f>SUM(O9,AB9,(AC9:AK9))</f>
        <v>7979.551066666665</v>
      </c>
      <c r="AL8" s="194"/>
      <c r="AM8" s="194"/>
      <c r="AN8" s="194"/>
      <c r="AO8" s="195">
        <f>SUM(AC8:AN8)</f>
        <v>7979.551066666665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5">
        <f>SUM(AP8:BA8)</f>
        <v>0</v>
      </c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5">
        <f>SUM(BC8:BN8)</f>
        <v>0</v>
      </c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5">
        <f>SUM(BP8:CA8)</f>
        <v>0</v>
      </c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5">
        <f>SUM(CC8:CN8)</f>
        <v>0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5">
        <f>SUM(CP8:DA8)</f>
        <v>0</v>
      </c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5">
        <f>SUM(DC8:DN8)</f>
        <v>0</v>
      </c>
    </row>
    <row r="9" spans="1:119" s="197" customFormat="1" ht="12.75" hidden="1">
      <c r="A9" s="198" t="s">
        <v>13</v>
      </c>
      <c r="B9" s="193">
        <f>O9+AB9+AO9+BB9+BO9+CB9+CO9+DB9+DO9</f>
        <v>23254.14209636002</v>
      </c>
      <c r="C9" s="194"/>
      <c r="D9" s="194">
        <f>C12*$B$5/12</f>
        <v>0</v>
      </c>
      <c r="E9" s="194">
        <f>D12*$B$5/12</f>
        <v>0</v>
      </c>
      <c r="F9" s="194">
        <f>E12*$B$5/12</f>
        <v>0</v>
      </c>
      <c r="G9" s="194">
        <f>F12*$B$5/12</f>
        <v>0</v>
      </c>
      <c r="H9" s="194">
        <f>G12*$B$5/12</f>
        <v>0</v>
      </c>
      <c r="I9" s="194">
        <f aca="true" t="shared" si="7" ref="I9:AA9">H12*$B$5/12</f>
        <v>0</v>
      </c>
      <c r="J9" s="194">
        <f t="shared" si="7"/>
        <v>0</v>
      </c>
      <c r="K9" s="194">
        <f t="shared" si="7"/>
        <v>0</v>
      </c>
      <c r="L9" s="194">
        <f>K12*$B$5/12</f>
        <v>0</v>
      </c>
      <c r="M9" s="194">
        <f t="shared" si="7"/>
        <v>169.70800000000003</v>
      </c>
      <c r="N9" s="194">
        <f t="shared" si="7"/>
        <v>354.9928666666667</v>
      </c>
      <c r="O9" s="195">
        <f>SUM(C9:N9)</f>
        <v>524.7008666666668</v>
      </c>
      <c r="P9" s="194">
        <f t="shared" si="7"/>
        <v>354.9928666666667</v>
      </c>
      <c r="Q9" s="194">
        <f t="shared" si="7"/>
        <v>354.9928666666667</v>
      </c>
      <c r="R9" s="194">
        <f t="shared" si="7"/>
        <v>354.9928666666667</v>
      </c>
      <c r="S9" s="194">
        <f t="shared" si="7"/>
        <v>354.9928666666667</v>
      </c>
      <c r="T9" s="194">
        <f t="shared" si="7"/>
        <v>354.9928666666667</v>
      </c>
      <c r="U9" s="194">
        <f t="shared" si="7"/>
        <v>354.9928666666667</v>
      </c>
      <c r="V9" s="194">
        <f t="shared" si="7"/>
        <v>354.9928666666667</v>
      </c>
      <c r="W9" s="194">
        <f t="shared" si="7"/>
        <v>354.9928666666667</v>
      </c>
      <c r="X9" s="194">
        <f t="shared" si="7"/>
        <v>354.9928666666667</v>
      </c>
      <c r="Y9" s="194">
        <f t="shared" si="7"/>
        <v>354.9928666666667</v>
      </c>
      <c r="Z9" s="194">
        <f t="shared" si="7"/>
        <v>354.9928666666667</v>
      </c>
      <c r="AA9" s="194">
        <f t="shared" si="7"/>
        <v>354.9928666666667</v>
      </c>
      <c r="AB9" s="195">
        <f>SUM(P9:AA9)</f>
        <v>4259.9144</v>
      </c>
      <c r="AC9" s="194">
        <f aca="true" t="shared" si="8" ref="AC9:AN9">AB12*$B$5/12</f>
        <v>354.9928666666667</v>
      </c>
      <c r="AD9" s="194">
        <f t="shared" si="8"/>
        <v>354.9928666666667</v>
      </c>
      <c r="AE9" s="194">
        <f t="shared" si="8"/>
        <v>354.9928666666667</v>
      </c>
      <c r="AF9" s="194">
        <f t="shared" si="8"/>
        <v>354.9928666666667</v>
      </c>
      <c r="AG9" s="194">
        <f t="shared" si="8"/>
        <v>354.9928666666667</v>
      </c>
      <c r="AH9" s="194">
        <f t="shared" si="8"/>
        <v>354.9928666666667</v>
      </c>
      <c r="AI9" s="194">
        <f t="shared" si="8"/>
        <v>354.9928666666667</v>
      </c>
      <c r="AJ9" s="194">
        <f t="shared" si="8"/>
        <v>354.9928666666667</v>
      </c>
      <c r="AK9" s="194">
        <f t="shared" si="8"/>
        <v>354.9928666666667</v>
      </c>
      <c r="AL9" s="194">
        <f t="shared" si="8"/>
        <v>401.5402478888889</v>
      </c>
      <c r="AM9" s="194">
        <f t="shared" si="8"/>
        <v>396.1863779170371</v>
      </c>
      <c r="AN9" s="194">
        <f t="shared" si="8"/>
        <v>390.83250794518517</v>
      </c>
      <c r="AO9" s="195">
        <f>SUM(AC9:AN9)</f>
        <v>4383.494933751112</v>
      </c>
      <c r="AP9" s="194">
        <f aca="true" t="shared" si="9" ref="AP9:BA9">AO12*$B$5/12</f>
        <v>385.47863797333326</v>
      </c>
      <c r="AQ9" s="194">
        <f t="shared" si="9"/>
        <v>380.12476800148147</v>
      </c>
      <c r="AR9" s="194">
        <f t="shared" si="9"/>
        <v>374.77089802962956</v>
      </c>
      <c r="AS9" s="194">
        <f t="shared" si="9"/>
        <v>369.41702805777777</v>
      </c>
      <c r="AT9" s="194">
        <f t="shared" si="9"/>
        <v>364.063158085926</v>
      </c>
      <c r="AU9" s="194">
        <f t="shared" si="9"/>
        <v>358.70928811407407</v>
      </c>
      <c r="AV9" s="194">
        <f t="shared" si="9"/>
        <v>353.3554181422223</v>
      </c>
      <c r="AW9" s="194">
        <f t="shared" si="9"/>
        <v>348.0015481703704</v>
      </c>
      <c r="AX9" s="194">
        <f t="shared" si="9"/>
        <v>342.6476781985186</v>
      </c>
      <c r="AY9" s="194">
        <f t="shared" si="9"/>
        <v>337.2938082266667</v>
      </c>
      <c r="AZ9" s="194">
        <f t="shared" si="9"/>
        <v>331.9399382548149</v>
      </c>
      <c r="BA9" s="194">
        <f t="shared" si="9"/>
        <v>326.5860682829631</v>
      </c>
      <c r="BB9" s="195">
        <f>SUM(AP9:BA9)</f>
        <v>4272.388237537778</v>
      </c>
      <c r="BC9" s="194">
        <f aca="true" t="shared" si="10" ref="BC9:BN9">BB12*$B$5/12</f>
        <v>321.23219831111123</v>
      </c>
      <c r="BD9" s="194">
        <f t="shared" si="10"/>
        <v>315.8783283392594</v>
      </c>
      <c r="BE9" s="194">
        <f t="shared" si="10"/>
        <v>310.5244583674076</v>
      </c>
      <c r="BF9" s="194">
        <f t="shared" si="10"/>
        <v>305.17058839555574</v>
      </c>
      <c r="BG9" s="194">
        <f t="shared" si="10"/>
        <v>299.8167184237039</v>
      </c>
      <c r="BH9" s="194">
        <f t="shared" si="10"/>
        <v>294.46284845185204</v>
      </c>
      <c r="BI9" s="194">
        <f t="shared" si="10"/>
        <v>289.1089784800002</v>
      </c>
      <c r="BJ9" s="194">
        <f t="shared" si="10"/>
        <v>283.7551085081484</v>
      </c>
      <c r="BK9" s="194">
        <f t="shared" si="10"/>
        <v>278.40123853629655</v>
      </c>
      <c r="BL9" s="194">
        <f t="shared" si="10"/>
        <v>273.0473685644447</v>
      </c>
      <c r="BM9" s="194">
        <f t="shared" si="10"/>
        <v>267.6934985925929</v>
      </c>
      <c r="BN9" s="194">
        <f t="shared" si="10"/>
        <v>262.33962862074105</v>
      </c>
      <c r="BO9" s="195">
        <f>SUM(BC9:BN9)</f>
        <v>3501.430961591114</v>
      </c>
      <c r="BP9" s="194">
        <f aca="true" t="shared" si="11" ref="BP9:CA9">BO12*$B$5/12</f>
        <v>256.9857586488892</v>
      </c>
      <c r="BQ9" s="194">
        <f t="shared" si="11"/>
        <v>251.63188867703738</v>
      </c>
      <c r="BR9" s="194">
        <f t="shared" si="11"/>
        <v>246.27801870518553</v>
      </c>
      <c r="BS9" s="194">
        <f t="shared" si="11"/>
        <v>240.92414873333368</v>
      </c>
      <c r="BT9" s="194">
        <f t="shared" si="11"/>
        <v>235.57027876148186</v>
      </c>
      <c r="BU9" s="194">
        <f t="shared" si="11"/>
        <v>230.21640878963</v>
      </c>
      <c r="BV9" s="194">
        <f t="shared" si="11"/>
        <v>224.86253881777816</v>
      </c>
      <c r="BW9" s="194">
        <f t="shared" si="11"/>
        <v>219.50866884592634</v>
      </c>
      <c r="BX9" s="194">
        <f t="shared" si="11"/>
        <v>214.1547988740745</v>
      </c>
      <c r="BY9" s="194">
        <f t="shared" si="11"/>
        <v>208.80092890222264</v>
      </c>
      <c r="BZ9" s="194">
        <f t="shared" si="11"/>
        <v>203.44705893037084</v>
      </c>
      <c r="CA9" s="194">
        <f t="shared" si="11"/>
        <v>198.093188958519</v>
      </c>
      <c r="CB9" s="195">
        <f>SUM(BP9:CA9)</f>
        <v>2730.4736856444492</v>
      </c>
      <c r="CC9" s="194">
        <f aca="true" t="shared" si="12" ref="CC9:CN9">CB12*$B$5/12</f>
        <v>192.73931898666714</v>
      </c>
      <c r="CD9" s="194">
        <f t="shared" si="12"/>
        <v>187.3854490148153</v>
      </c>
      <c r="CE9" s="194">
        <f t="shared" si="12"/>
        <v>182.03157904296344</v>
      </c>
      <c r="CF9" s="194">
        <f t="shared" si="12"/>
        <v>176.6777090711116</v>
      </c>
      <c r="CG9" s="194">
        <f t="shared" si="12"/>
        <v>171.32383909925974</v>
      </c>
      <c r="CH9" s="194">
        <f t="shared" si="12"/>
        <v>165.96996912740786</v>
      </c>
      <c r="CI9" s="194">
        <f t="shared" si="12"/>
        <v>160.616099155556</v>
      </c>
      <c r="CJ9" s="194">
        <f t="shared" si="12"/>
        <v>155.26222918370414</v>
      </c>
      <c r="CK9" s="194">
        <f t="shared" si="12"/>
        <v>149.9083592118523</v>
      </c>
      <c r="CL9" s="194">
        <f t="shared" si="12"/>
        <v>144.55448924000044</v>
      </c>
      <c r="CM9" s="194">
        <f t="shared" si="12"/>
        <v>139.20061926814859</v>
      </c>
      <c r="CN9" s="194">
        <f t="shared" si="12"/>
        <v>133.8467492962967</v>
      </c>
      <c r="CO9" s="195">
        <f>SUM(CC9:CN9)</f>
        <v>1959.5164096977833</v>
      </c>
      <c r="CP9" s="194">
        <f aca="true" t="shared" si="13" ref="CP9:DA9">CO12*$B$5/12</f>
        <v>128.49287932444486</v>
      </c>
      <c r="CQ9" s="194">
        <f t="shared" si="13"/>
        <v>123.13900935259299</v>
      </c>
      <c r="CR9" s="194">
        <f t="shared" si="13"/>
        <v>117.78513938074114</v>
      </c>
      <c r="CS9" s="194">
        <f t="shared" si="13"/>
        <v>112.43126940888926</v>
      </c>
      <c r="CT9" s="194">
        <f t="shared" si="13"/>
        <v>107.07739943703741</v>
      </c>
      <c r="CU9" s="194">
        <f t="shared" si="13"/>
        <v>101.72352946518556</v>
      </c>
      <c r="CV9" s="194">
        <f t="shared" si="13"/>
        <v>96.3696594933337</v>
      </c>
      <c r="CW9" s="194">
        <f t="shared" si="13"/>
        <v>91.01578952148185</v>
      </c>
      <c r="CX9" s="194">
        <f t="shared" si="13"/>
        <v>85.66191954963</v>
      </c>
      <c r="CY9" s="194">
        <f t="shared" si="13"/>
        <v>80.30804957777816</v>
      </c>
      <c r="CZ9" s="194">
        <f t="shared" si="13"/>
        <v>74.95417960592631</v>
      </c>
      <c r="DA9" s="194">
        <f t="shared" si="13"/>
        <v>69.60030963407446</v>
      </c>
      <c r="DB9" s="195">
        <f>SUM(CP9:DA9)</f>
        <v>1188.5591337511157</v>
      </c>
      <c r="DC9" s="194">
        <f aca="true" t="shared" si="14" ref="DC9:DN9">DB12*$B$5/12</f>
        <v>64.24643966222261</v>
      </c>
      <c r="DD9" s="194">
        <f t="shared" si="14"/>
        <v>58.89256969037077</v>
      </c>
      <c r="DE9" s="194">
        <f t="shared" si="14"/>
        <v>53.53869971851892</v>
      </c>
      <c r="DF9" s="194">
        <f t="shared" si="14"/>
        <v>48.18482974666708</v>
      </c>
      <c r="DG9" s="194">
        <f t="shared" si="14"/>
        <v>42.83095977481522</v>
      </c>
      <c r="DH9" s="194">
        <f t="shared" si="14"/>
        <v>37.47708980296337</v>
      </c>
      <c r="DI9" s="194">
        <f t="shared" si="14"/>
        <v>32.12321983111152</v>
      </c>
      <c r="DJ9" s="194">
        <f t="shared" si="14"/>
        <v>26.769349859259663</v>
      </c>
      <c r="DK9" s="194">
        <f t="shared" si="14"/>
        <v>21.41547988740781</v>
      </c>
      <c r="DL9" s="194">
        <f t="shared" si="14"/>
        <v>16.06160991555596</v>
      </c>
      <c r="DM9" s="194">
        <f t="shared" si="14"/>
        <v>16.06160991555596</v>
      </c>
      <c r="DN9" s="194">
        <f t="shared" si="14"/>
        <v>16.06160991555596</v>
      </c>
      <c r="DO9" s="195">
        <f>SUM(DC9:DN9)</f>
        <v>433.66346772000475</v>
      </c>
    </row>
    <row r="10" spans="1:120" ht="12.75" hidden="1">
      <c r="A10" s="188" t="s">
        <v>14</v>
      </c>
      <c r="B10" s="193">
        <f>O10+AB10+AO10+BB10+BO10+CB10+CO10+DB10+DO10</f>
        <v>66082.05222399998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9"/>
      <c r="M10" s="199"/>
      <c r="N10" s="199"/>
      <c r="O10" s="195">
        <f>SUM(C10:N10)</f>
        <v>0</v>
      </c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5">
        <f>SUM(P10:AA10)</f>
        <v>0</v>
      </c>
      <c r="AC10" s="199"/>
      <c r="AD10" s="199"/>
      <c r="AE10" s="199"/>
      <c r="AF10" s="199"/>
      <c r="AG10" s="199"/>
      <c r="AH10" s="199"/>
      <c r="AI10" s="199"/>
      <c r="AJ10" s="199"/>
      <c r="AK10" s="199"/>
      <c r="AL10" s="194">
        <f>$AK$12/$B$13</f>
        <v>917.8062808888889</v>
      </c>
      <c r="AM10" s="194">
        <f aca="true" t="shared" si="15" ref="AM10:CY10">$AK$12/$B$13</f>
        <v>917.8062808888889</v>
      </c>
      <c r="AN10" s="194">
        <f t="shared" si="15"/>
        <v>917.8062808888889</v>
      </c>
      <c r="AO10" s="195">
        <f>SUM(AC10:AN10)</f>
        <v>2753.4188426666665</v>
      </c>
      <c r="AP10" s="194">
        <f t="shared" si="15"/>
        <v>917.8062808888889</v>
      </c>
      <c r="AQ10" s="194">
        <f t="shared" si="15"/>
        <v>917.8062808888889</v>
      </c>
      <c r="AR10" s="194">
        <f t="shared" si="15"/>
        <v>917.8062808888889</v>
      </c>
      <c r="AS10" s="194">
        <f t="shared" si="15"/>
        <v>917.8062808888889</v>
      </c>
      <c r="AT10" s="194">
        <f t="shared" si="15"/>
        <v>917.8062808888889</v>
      </c>
      <c r="AU10" s="194">
        <f t="shared" si="15"/>
        <v>917.8062808888889</v>
      </c>
      <c r="AV10" s="194">
        <f t="shared" si="15"/>
        <v>917.8062808888889</v>
      </c>
      <c r="AW10" s="194">
        <f t="shared" si="15"/>
        <v>917.8062808888889</v>
      </c>
      <c r="AX10" s="194">
        <f t="shared" si="15"/>
        <v>917.8062808888889</v>
      </c>
      <c r="AY10" s="194">
        <f t="shared" si="15"/>
        <v>917.8062808888889</v>
      </c>
      <c r="AZ10" s="194">
        <f t="shared" si="15"/>
        <v>917.8062808888889</v>
      </c>
      <c r="BA10" s="194">
        <f t="shared" si="15"/>
        <v>917.8062808888889</v>
      </c>
      <c r="BB10" s="195">
        <f>SUM(AP10:BA10)</f>
        <v>11013.675370666664</v>
      </c>
      <c r="BC10" s="194">
        <f t="shared" si="15"/>
        <v>917.8062808888889</v>
      </c>
      <c r="BD10" s="194">
        <f t="shared" si="15"/>
        <v>917.8062808888889</v>
      </c>
      <c r="BE10" s="194">
        <f t="shared" si="15"/>
        <v>917.8062808888889</v>
      </c>
      <c r="BF10" s="194">
        <f t="shared" si="15"/>
        <v>917.8062808888889</v>
      </c>
      <c r="BG10" s="194">
        <f t="shared" si="15"/>
        <v>917.8062808888889</v>
      </c>
      <c r="BH10" s="194">
        <f t="shared" si="15"/>
        <v>917.8062808888889</v>
      </c>
      <c r="BI10" s="194">
        <f t="shared" si="15"/>
        <v>917.8062808888889</v>
      </c>
      <c r="BJ10" s="194">
        <f t="shared" si="15"/>
        <v>917.8062808888889</v>
      </c>
      <c r="BK10" s="194">
        <f t="shared" si="15"/>
        <v>917.8062808888889</v>
      </c>
      <c r="BL10" s="194">
        <f t="shared" si="15"/>
        <v>917.8062808888889</v>
      </c>
      <c r="BM10" s="194">
        <f t="shared" si="15"/>
        <v>917.8062808888889</v>
      </c>
      <c r="BN10" s="194">
        <f t="shared" si="15"/>
        <v>917.8062808888889</v>
      </c>
      <c r="BO10" s="195">
        <f>SUM(BC10:BN10)</f>
        <v>11013.675370666664</v>
      </c>
      <c r="BP10" s="194">
        <f t="shared" si="15"/>
        <v>917.8062808888889</v>
      </c>
      <c r="BQ10" s="194">
        <f t="shared" si="15"/>
        <v>917.8062808888889</v>
      </c>
      <c r="BR10" s="194">
        <f t="shared" si="15"/>
        <v>917.8062808888889</v>
      </c>
      <c r="BS10" s="194">
        <f t="shared" si="15"/>
        <v>917.8062808888889</v>
      </c>
      <c r="BT10" s="194">
        <f t="shared" si="15"/>
        <v>917.8062808888889</v>
      </c>
      <c r="BU10" s="194">
        <f t="shared" si="15"/>
        <v>917.8062808888889</v>
      </c>
      <c r="BV10" s="194">
        <f t="shared" si="15"/>
        <v>917.8062808888889</v>
      </c>
      <c r="BW10" s="194">
        <f t="shared" si="15"/>
        <v>917.8062808888889</v>
      </c>
      <c r="BX10" s="194">
        <f t="shared" si="15"/>
        <v>917.8062808888889</v>
      </c>
      <c r="BY10" s="194">
        <f t="shared" si="15"/>
        <v>917.8062808888889</v>
      </c>
      <c r="BZ10" s="194">
        <f t="shared" si="15"/>
        <v>917.8062808888889</v>
      </c>
      <c r="CA10" s="194">
        <f t="shared" si="15"/>
        <v>917.8062808888889</v>
      </c>
      <c r="CB10" s="195">
        <f>SUM(BP10:CA10)</f>
        <v>11013.675370666664</v>
      </c>
      <c r="CC10" s="194">
        <f t="shared" si="15"/>
        <v>917.8062808888889</v>
      </c>
      <c r="CD10" s="194">
        <f t="shared" si="15"/>
        <v>917.8062808888889</v>
      </c>
      <c r="CE10" s="194">
        <f t="shared" si="15"/>
        <v>917.8062808888889</v>
      </c>
      <c r="CF10" s="194">
        <f t="shared" si="15"/>
        <v>917.8062808888889</v>
      </c>
      <c r="CG10" s="194">
        <f t="shared" si="15"/>
        <v>917.8062808888889</v>
      </c>
      <c r="CH10" s="194">
        <f t="shared" si="15"/>
        <v>917.8062808888889</v>
      </c>
      <c r="CI10" s="194">
        <f t="shared" si="15"/>
        <v>917.8062808888889</v>
      </c>
      <c r="CJ10" s="194">
        <f t="shared" si="15"/>
        <v>917.8062808888889</v>
      </c>
      <c r="CK10" s="194">
        <f t="shared" si="15"/>
        <v>917.8062808888889</v>
      </c>
      <c r="CL10" s="194">
        <f t="shared" si="15"/>
        <v>917.8062808888889</v>
      </c>
      <c r="CM10" s="194">
        <f t="shared" si="15"/>
        <v>917.8062808888889</v>
      </c>
      <c r="CN10" s="194">
        <f t="shared" si="15"/>
        <v>917.8062808888889</v>
      </c>
      <c r="CO10" s="195">
        <f>SUM(CC10:CN10)</f>
        <v>11013.675370666664</v>
      </c>
      <c r="CP10" s="194">
        <f t="shared" si="15"/>
        <v>917.8062808888889</v>
      </c>
      <c r="CQ10" s="194">
        <f t="shared" si="15"/>
        <v>917.8062808888889</v>
      </c>
      <c r="CR10" s="194">
        <f t="shared" si="15"/>
        <v>917.8062808888889</v>
      </c>
      <c r="CS10" s="194">
        <f t="shared" si="15"/>
        <v>917.8062808888889</v>
      </c>
      <c r="CT10" s="194">
        <f t="shared" si="15"/>
        <v>917.8062808888889</v>
      </c>
      <c r="CU10" s="194">
        <f t="shared" si="15"/>
        <v>917.8062808888889</v>
      </c>
      <c r="CV10" s="194">
        <f t="shared" si="15"/>
        <v>917.8062808888889</v>
      </c>
      <c r="CW10" s="194">
        <f t="shared" si="15"/>
        <v>917.8062808888889</v>
      </c>
      <c r="CX10" s="194">
        <f t="shared" si="15"/>
        <v>917.8062808888889</v>
      </c>
      <c r="CY10" s="194">
        <f t="shared" si="15"/>
        <v>917.8062808888889</v>
      </c>
      <c r="CZ10" s="194">
        <f aca="true" t="shared" si="16" ref="CZ10:DK10">$AK$12/$B$13</f>
        <v>917.8062808888889</v>
      </c>
      <c r="DA10" s="194">
        <f t="shared" si="16"/>
        <v>917.8062808888889</v>
      </c>
      <c r="DB10" s="195">
        <f>SUM(CP10:DA10)</f>
        <v>11013.675370666664</v>
      </c>
      <c r="DC10" s="194">
        <f t="shared" si="16"/>
        <v>917.8062808888889</v>
      </c>
      <c r="DD10" s="194">
        <f t="shared" si="16"/>
        <v>917.8062808888889</v>
      </c>
      <c r="DE10" s="194">
        <f t="shared" si="16"/>
        <v>917.8062808888889</v>
      </c>
      <c r="DF10" s="194">
        <f t="shared" si="16"/>
        <v>917.8062808888889</v>
      </c>
      <c r="DG10" s="194">
        <f t="shared" si="16"/>
        <v>917.8062808888889</v>
      </c>
      <c r="DH10" s="194">
        <f t="shared" si="16"/>
        <v>917.8062808888889</v>
      </c>
      <c r="DI10" s="194">
        <f t="shared" si="16"/>
        <v>917.8062808888889</v>
      </c>
      <c r="DJ10" s="194">
        <f t="shared" si="16"/>
        <v>917.8062808888889</v>
      </c>
      <c r="DK10" s="194">
        <f t="shared" si="16"/>
        <v>917.8062808888889</v>
      </c>
      <c r="DL10" s="194"/>
      <c r="DM10" s="194"/>
      <c r="DN10" s="194"/>
      <c r="DO10" s="195">
        <f>SUM(DC10:DN10)</f>
        <v>8260.256528</v>
      </c>
      <c r="DP10" s="196"/>
    </row>
    <row r="11" spans="1:120" ht="12.75" hidden="1">
      <c r="A11" s="188" t="s">
        <v>15</v>
      </c>
      <c r="B11" s="193">
        <f>O11+AB11+AO11+BB11+BO11+CB11+CO11+DB11+DO11</f>
        <v>15274.591029693356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9"/>
      <c r="M11" s="199"/>
      <c r="N11" s="199"/>
      <c r="O11" s="195">
        <f>SUM(C11:N11)</f>
        <v>0</v>
      </c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5">
        <f>SUM(P11:AA11)</f>
        <v>0</v>
      </c>
      <c r="AC11" s="199"/>
      <c r="AD11" s="199"/>
      <c r="AE11" s="199"/>
      <c r="AF11" s="199"/>
      <c r="AG11" s="199"/>
      <c r="AH11" s="199"/>
      <c r="AI11" s="199"/>
      <c r="AJ11" s="199"/>
      <c r="AK11" s="199"/>
      <c r="AL11" s="194">
        <f aca="true" t="shared" si="17" ref="AL11:BN11">AL9</f>
        <v>401.5402478888889</v>
      </c>
      <c r="AM11" s="194">
        <f t="shared" si="17"/>
        <v>396.1863779170371</v>
      </c>
      <c r="AN11" s="194">
        <f t="shared" si="17"/>
        <v>390.83250794518517</v>
      </c>
      <c r="AO11" s="195">
        <f>SUM(AC11:AN11)</f>
        <v>1188.5591337511112</v>
      </c>
      <c r="AP11" s="194">
        <f t="shared" si="17"/>
        <v>385.47863797333326</v>
      </c>
      <c r="AQ11" s="194">
        <f t="shared" si="17"/>
        <v>380.12476800148147</v>
      </c>
      <c r="AR11" s="194">
        <f t="shared" si="17"/>
        <v>374.77089802962956</v>
      </c>
      <c r="AS11" s="194">
        <f t="shared" si="17"/>
        <v>369.41702805777777</v>
      </c>
      <c r="AT11" s="194">
        <f t="shared" si="17"/>
        <v>364.063158085926</v>
      </c>
      <c r="AU11" s="194">
        <f t="shared" si="17"/>
        <v>358.70928811407407</v>
      </c>
      <c r="AV11" s="194">
        <f t="shared" si="17"/>
        <v>353.3554181422223</v>
      </c>
      <c r="AW11" s="194">
        <f t="shared" si="17"/>
        <v>348.0015481703704</v>
      </c>
      <c r="AX11" s="194">
        <f t="shared" si="17"/>
        <v>342.6476781985186</v>
      </c>
      <c r="AY11" s="194">
        <f t="shared" si="17"/>
        <v>337.2938082266667</v>
      </c>
      <c r="AZ11" s="194">
        <f t="shared" si="17"/>
        <v>331.9399382548149</v>
      </c>
      <c r="BA11" s="194">
        <f t="shared" si="17"/>
        <v>326.5860682829631</v>
      </c>
      <c r="BB11" s="195">
        <f>SUM(AP11:BA11)</f>
        <v>4272.388237537778</v>
      </c>
      <c r="BC11" s="194">
        <f t="shared" si="17"/>
        <v>321.23219831111123</v>
      </c>
      <c r="BD11" s="194">
        <f t="shared" si="17"/>
        <v>315.8783283392594</v>
      </c>
      <c r="BE11" s="194">
        <f t="shared" si="17"/>
        <v>310.5244583674076</v>
      </c>
      <c r="BF11" s="194">
        <f t="shared" si="17"/>
        <v>305.17058839555574</v>
      </c>
      <c r="BG11" s="194">
        <f t="shared" si="17"/>
        <v>299.8167184237039</v>
      </c>
      <c r="BH11" s="194">
        <f t="shared" si="17"/>
        <v>294.46284845185204</v>
      </c>
      <c r="BI11" s="194">
        <f t="shared" si="17"/>
        <v>289.1089784800002</v>
      </c>
      <c r="BJ11" s="194">
        <f t="shared" si="17"/>
        <v>283.7551085081484</v>
      </c>
      <c r="BK11" s="194">
        <f t="shared" si="17"/>
        <v>278.40123853629655</v>
      </c>
      <c r="BL11" s="194">
        <f t="shared" si="17"/>
        <v>273.0473685644447</v>
      </c>
      <c r="BM11" s="194">
        <f t="shared" si="17"/>
        <v>267.6934985925929</v>
      </c>
      <c r="BN11" s="194">
        <f t="shared" si="17"/>
        <v>262.33962862074105</v>
      </c>
      <c r="BO11" s="195">
        <f>SUM(BC11:BN11)</f>
        <v>3501.430961591114</v>
      </c>
      <c r="BP11" s="194">
        <f aca="true" t="shared" si="18" ref="BP11:CA11">BP9</f>
        <v>256.9857586488892</v>
      </c>
      <c r="BQ11" s="194">
        <f t="shared" si="18"/>
        <v>251.63188867703738</v>
      </c>
      <c r="BR11" s="194">
        <f t="shared" si="18"/>
        <v>246.27801870518553</v>
      </c>
      <c r="BS11" s="194">
        <f t="shared" si="18"/>
        <v>240.92414873333368</v>
      </c>
      <c r="BT11" s="194">
        <f t="shared" si="18"/>
        <v>235.57027876148186</v>
      </c>
      <c r="BU11" s="194">
        <f t="shared" si="18"/>
        <v>230.21640878963</v>
      </c>
      <c r="BV11" s="194">
        <f t="shared" si="18"/>
        <v>224.86253881777816</v>
      </c>
      <c r="BW11" s="194">
        <f t="shared" si="18"/>
        <v>219.50866884592634</v>
      </c>
      <c r="BX11" s="194">
        <f t="shared" si="18"/>
        <v>214.1547988740745</v>
      </c>
      <c r="BY11" s="194">
        <f t="shared" si="18"/>
        <v>208.80092890222264</v>
      </c>
      <c r="BZ11" s="194">
        <f t="shared" si="18"/>
        <v>203.44705893037084</v>
      </c>
      <c r="CA11" s="194">
        <f t="shared" si="18"/>
        <v>198.093188958519</v>
      </c>
      <c r="CB11" s="195">
        <f>SUM(BP11:CA11)</f>
        <v>2730.4736856444492</v>
      </c>
      <c r="CC11" s="194">
        <f aca="true" t="shared" si="19" ref="CC11:CN11">CC9</f>
        <v>192.73931898666714</v>
      </c>
      <c r="CD11" s="194">
        <f t="shared" si="19"/>
        <v>187.3854490148153</v>
      </c>
      <c r="CE11" s="194">
        <f t="shared" si="19"/>
        <v>182.03157904296344</v>
      </c>
      <c r="CF11" s="194">
        <f t="shared" si="19"/>
        <v>176.6777090711116</v>
      </c>
      <c r="CG11" s="194">
        <f t="shared" si="19"/>
        <v>171.32383909925974</v>
      </c>
      <c r="CH11" s="194">
        <f t="shared" si="19"/>
        <v>165.96996912740786</v>
      </c>
      <c r="CI11" s="194">
        <f t="shared" si="19"/>
        <v>160.616099155556</v>
      </c>
      <c r="CJ11" s="194">
        <f t="shared" si="19"/>
        <v>155.26222918370414</v>
      </c>
      <c r="CK11" s="194">
        <f t="shared" si="19"/>
        <v>149.9083592118523</v>
      </c>
      <c r="CL11" s="194">
        <f t="shared" si="19"/>
        <v>144.55448924000044</v>
      </c>
      <c r="CM11" s="194">
        <f t="shared" si="19"/>
        <v>139.20061926814859</v>
      </c>
      <c r="CN11" s="194">
        <f t="shared" si="19"/>
        <v>133.8467492962967</v>
      </c>
      <c r="CO11" s="195">
        <f>SUM(CC11:CN11)</f>
        <v>1959.5164096977833</v>
      </c>
      <c r="CP11" s="194">
        <f aca="true" t="shared" si="20" ref="CP11:DA11">CP9</f>
        <v>128.49287932444486</v>
      </c>
      <c r="CQ11" s="194">
        <f t="shared" si="20"/>
        <v>123.13900935259299</v>
      </c>
      <c r="CR11" s="194">
        <f t="shared" si="20"/>
        <v>117.78513938074114</v>
      </c>
      <c r="CS11" s="194">
        <f t="shared" si="20"/>
        <v>112.43126940888926</v>
      </c>
      <c r="CT11" s="194">
        <f t="shared" si="20"/>
        <v>107.07739943703741</v>
      </c>
      <c r="CU11" s="194">
        <f t="shared" si="20"/>
        <v>101.72352946518556</v>
      </c>
      <c r="CV11" s="194">
        <f t="shared" si="20"/>
        <v>96.3696594933337</v>
      </c>
      <c r="CW11" s="194">
        <f t="shared" si="20"/>
        <v>91.01578952148185</v>
      </c>
      <c r="CX11" s="194">
        <f t="shared" si="20"/>
        <v>85.66191954963</v>
      </c>
      <c r="CY11" s="194">
        <f t="shared" si="20"/>
        <v>80.30804957777816</v>
      </c>
      <c r="CZ11" s="194">
        <f t="shared" si="20"/>
        <v>74.95417960592631</v>
      </c>
      <c r="DA11" s="194">
        <f t="shared" si="20"/>
        <v>69.60030963407446</v>
      </c>
      <c r="DB11" s="195">
        <f>SUM(CP11:DA11)</f>
        <v>1188.5591337511157</v>
      </c>
      <c r="DC11" s="194">
        <f aca="true" t="shared" si="21" ref="DC11:DN11">DC9</f>
        <v>64.24643966222261</v>
      </c>
      <c r="DD11" s="194">
        <f t="shared" si="21"/>
        <v>58.89256969037077</v>
      </c>
      <c r="DE11" s="194">
        <f t="shared" si="21"/>
        <v>53.53869971851892</v>
      </c>
      <c r="DF11" s="194">
        <f t="shared" si="21"/>
        <v>48.18482974666708</v>
      </c>
      <c r="DG11" s="194">
        <f t="shared" si="21"/>
        <v>42.83095977481522</v>
      </c>
      <c r="DH11" s="194">
        <f t="shared" si="21"/>
        <v>37.47708980296337</v>
      </c>
      <c r="DI11" s="194">
        <f t="shared" si="21"/>
        <v>32.12321983111152</v>
      </c>
      <c r="DJ11" s="194">
        <f t="shared" si="21"/>
        <v>26.769349859259663</v>
      </c>
      <c r="DK11" s="194">
        <f t="shared" si="21"/>
        <v>21.41547988740781</v>
      </c>
      <c r="DL11" s="194">
        <f t="shared" si="21"/>
        <v>16.06160991555596</v>
      </c>
      <c r="DM11" s="194">
        <f t="shared" si="21"/>
        <v>16.06160991555596</v>
      </c>
      <c r="DN11" s="194">
        <f t="shared" si="21"/>
        <v>16.06160991555596</v>
      </c>
      <c r="DO11" s="195">
        <f>SUM(DC11:DN11)</f>
        <v>433.66346772000475</v>
      </c>
      <c r="DP11" s="196" t="s">
        <v>58</v>
      </c>
    </row>
    <row r="12" spans="1:120" ht="12.75" hidden="1">
      <c r="A12" s="188" t="s">
        <v>16</v>
      </c>
      <c r="B12" s="193">
        <f>DO12</f>
        <v>2753.418842666735</v>
      </c>
      <c r="C12" s="194">
        <f>C7</f>
        <v>0</v>
      </c>
      <c r="D12" s="194">
        <f>C12+D7-D10+D8</f>
        <v>0</v>
      </c>
      <c r="E12" s="194">
        <f>D12+E7-E10+E8</f>
        <v>0</v>
      </c>
      <c r="F12" s="194">
        <f>E12+F7-F10+F8</f>
        <v>0</v>
      </c>
      <c r="G12" s="194">
        <f aca="true" t="shared" si="22" ref="G12:L12">F12+G7-G10+G8</f>
        <v>0</v>
      </c>
      <c r="H12" s="194">
        <f>G12+H7-H10+H8</f>
        <v>0</v>
      </c>
      <c r="I12" s="194">
        <f t="shared" si="22"/>
        <v>0</v>
      </c>
      <c r="J12" s="194">
        <f t="shared" si="22"/>
        <v>0</v>
      </c>
      <c r="K12" s="194">
        <f t="shared" si="22"/>
        <v>0</v>
      </c>
      <c r="L12" s="194">
        <f t="shared" si="22"/>
        <v>29092.800000000003</v>
      </c>
      <c r="M12" s="194">
        <f>L12+M7-M10+M8</f>
        <v>60855.920000000006</v>
      </c>
      <c r="N12" s="194">
        <f>M12+N7-N10+N8</f>
        <v>60855.920000000006</v>
      </c>
      <c r="O12" s="195">
        <f>N12</f>
        <v>60855.920000000006</v>
      </c>
      <c r="P12" s="194">
        <f>O12+P7-P10+P8</f>
        <v>60855.920000000006</v>
      </c>
      <c r="Q12" s="194">
        <f aca="true" t="shared" si="23" ref="Q12:Z12">P12+Q7-Q10+Q8</f>
        <v>60855.920000000006</v>
      </c>
      <c r="R12" s="194">
        <f t="shared" si="23"/>
        <v>60855.920000000006</v>
      </c>
      <c r="S12" s="194">
        <f t="shared" si="23"/>
        <v>60855.920000000006</v>
      </c>
      <c r="T12" s="194">
        <f t="shared" si="23"/>
        <v>60855.920000000006</v>
      </c>
      <c r="U12" s="194">
        <f t="shared" si="23"/>
        <v>60855.920000000006</v>
      </c>
      <c r="V12" s="194">
        <f t="shared" si="23"/>
        <v>60855.920000000006</v>
      </c>
      <c r="W12" s="194">
        <f t="shared" si="23"/>
        <v>60855.920000000006</v>
      </c>
      <c r="X12" s="194">
        <f t="shared" si="23"/>
        <v>60855.920000000006</v>
      </c>
      <c r="Y12" s="194">
        <f t="shared" si="23"/>
        <v>60855.920000000006</v>
      </c>
      <c r="Z12" s="194">
        <f t="shared" si="23"/>
        <v>60855.920000000006</v>
      </c>
      <c r="AA12" s="194">
        <f>Z12+AA7-AA10+AA8</f>
        <v>60855.920000000006</v>
      </c>
      <c r="AB12" s="195">
        <f>AA12</f>
        <v>60855.920000000006</v>
      </c>
      <c r="AC12" s="194">
        <f>AB12+AC7-AC10+AC8</f>
        <v>60855.920000000006</v>
      </c>
      <c r="AD12" s="194">
        <f aca="true" t="shared" si="24" ref="AD12:AN12">AC12+AD7-AD10+AD8</f>
        <v>60855.920000000006</v>
      </c>
      <c r="AE12" s="194">
        <f t="shared" si="24"/>
        <v>60855.920000000006</v>
      </c>
      <c r="AF12" s="194">
        <f t="shared" si="24"/>
        <v>60855.920000000006</v>
      </c>
      <c r="AG12" s="194">
        <f t="shared" si="24"/>
        <v>60855.920000000006</v>
      </c>
      <c r="AH12" s="194">
        <f t="shared" si="24"/>
        <v>60855.920000000006</v>
      </c>
      <c r="AI12" s="194">
        <f t="shared" si="24"/>
        <v>60855.920000000006</v>
      </c>
      <c r="AJ12" s="194">
        <f t="shared" si="24"/>
        <v>60855.920000000006</v>
      </c>
      <c r="AK12" s="194">
        <f t="shared" si="24"/>
        <v>68835.47106666667</v>
      </c>
      <c r="AL12" s="194">
        <f t="shared" si="24"/>
        <v>67917.66478577777</v>
      </c>
      <c r="AM12" s="194">
        <f t="shared" si="24"/>
        <v>66999.85850488888</v>
      </c>
      <c r="AN12" s="194">
        <f t="shared" si="24"/>
        <v>66082.05222399998</v>
      </c>
      <c r="AO12" s="195">
        <f>AN12</f>
        <v>66082.05222399998</v>
      </c>
      <c r="AP12" s="194">
        <f>AO12+AP7-AP10+AP8</f>
        <v>65164.2459431111</v>
      </c>
      <c r="AQ12" s="194">
        <f aca="true" t="shared" si="25" ref="AQ12:BA12">AP12+AQ7-AQ10+AQ8</f>
        <v>64246.43966222221</v>
      </c>
      <c r="AR12" s="194">
        <f t="shared" si="25"/>
        <v>63328.633381333326</v>
      </c>
      <c r="AS12" s="194">
        <f t="shared" si="25"/>
        <v>62410.82710044444</v>
      </c>
      <c r="AT12" s="194">
        <f t="shared" si="25"/>
        <v>61493.02081955555</v>
      </c>
      <c r="AU12" s="194">
        <f t="shared" si="25"/>
        <v>60575.21453866667</v>
      </c>
      <c r="AV12" s="194">
        <f t="shared" si="25"/>
        <v>59657.40825777778</v>
      </c>
      <c r="AW12" s="194">
        <f t="shared" si="25"/>
        <v>58739.601976888895</v>
      </c>
      <c r="AX12" s="194">
        <f t="shared" si="25"/>
        <v>57821.79569600001</v>
      </c>
      <c r="AY12" s="194">
        <f t="shared" si="25"/>
        <v>56903.98941511112</v>
      </c>
      <c r="AZ12" s="194">
        <f t="shared" si="25"/>
        <v>55986.183134222236</v>
      </c>
      <c r="BA12" s="194">
        <f t="shared" si="25"/>
        <v>55068.37685333335</v>
      </c>
      <c r="BB12" s="195">
        <f>BA12</f>
        <v>55068.37685333335</v>
      </c>
      <c r="BC12" s="194">
        <f>BB12+BC7-BC10+BC8</f>
        <v>54150.57057244446</v>
      </c>
      <c r="BD12" s="194">
        <f aca="true" t="shared" si="26" ref="BD12:BN12">BC12+BD7-BD10+BD8</f>
        <v>53232.76429155558</v>
      </c>
      <c r="BE12" s="194">
        <f t="shared" si="26"/>
        <v>52314.95801066669</v>
      </c>
      <c r="BF12" s="194">
        <f t="shared" si="26"/>
        <v>51397.151729777805</v>
      </c>
      <c r="BG12" s="194">
        <f t="shared" si="26"/>
        <v>50479.34544888892</v>
      </c>
      <c r="BH12" s="194">
        <f t="shared" si="26"/>
        <v>49561.53916800003</v>
      </c>
      <c r="BI12" s="194">
        <f t="shared" si="26"/>
        <v>48643.732887111146</v>
      </c>
      <c r="BJ12" s="194">
        <f t="shared" si="26"/>
        <v>47725.92660622226</v>
      </c>
      <c r="BK12" s="194">
        <f t="shared" si="26"/>
        <v>46808.12032533337</v>
      </c>
      <c r="BL12" s="194">
        <f t="shared" si="26"/>
        <v>45890.31404444449</v>
      </c>
      <c r="BM12" s="194">
        <f t="shared" si="26"/>
        <v>44972.5077635556</v>
      </c>
      <c r="BN12" s="194">
        <f t="shared" si="26"/>
        <v>44054.701482666715</v>
      </c>
      <c r="BO12" s="195">
        <f>BN12</f>
        <v>44054.701482666715</v>
      </c>
      <c r="BP12" s="194">
        <f aca="true" t="shared" si="27" ref="BP12:CA12">BO12+BP7-BP10+BP8</f>
        <v>43136.89520177783</v>
      </c>
      <c r="BQ12" s="194">
        <f t="shared" si="27"/>
        <v>42219.08892088894</v>
      </c>
      <c r="BR12" s="194">
        <f t="shared" si="27"/>
        <v>41301.282640000056</v>
      </c>
      <c r="BS12" s="194">
        <f t="shared" si="27"/>
        <v>40383.47635911117</v>
      </c>
      <c r="BT12" s="194">
        <f t="shared" si="27"/>
        <v>39465.67007822228</v>
      </c>
      <c r="BU12" s="194">
        <f t="shared" si="27"/>
        <v>38547.8637973334</v>
      </c>
      <c r="BV12" s="194">
        <f t="shared" si="27"/>
        <v>37630.05751644451</v>
      </c>
      <c r="BW12" s="194">
        <f t="shared" si="27"/>
        <v>36712.251235555625</v>
      </c>
      <c r="BX12" s="194">
        <f t="shared" si="27"/>
        <v>35794.44495466674</v>
      </c>
      <c r="BY12" s="194">
        <f t="shared" si="27"/>
        <v>34876.63867377785</v>
      </c>
      <c r="BZ12" s="194">
        <f t="shared" si="27"/>
        <v>33958.832392888966</v>
      </c>
      <c r="CA12" s="194">
        <f t="shared" si="27"/>
        <v>33041.02611200008</v>
      </c>
      <c r="CB12" s="195">
        <f>CA12</f>
        <v>33041.02611200008</v>
      </c>
      <c r="CC12" s="194">
        <f aca="true" t="shared" si="28" ref="CC12:CN12">CB12+CC7-CC10+CC8</f>
        <v>32123.21983111119</v>
      </c>
      <c r="CD12" s="194">
        <f t="shared" si="28"/>
        <v>31205.4135502223</v>
      </c>
      <c r="CE12" s="194">
        <f t="shared" si="28"/>
        <v>30287.60726933341</v>
      </c>
      <c r="CF12" s="194">
        <f t="shared" si="28"/>
        <v>29369.80098844452</v>
      </c>
      <c r="CG12" s="194">
        <f t="shared" si="28"/>
        <v>28451.99470755563</v>
      </c>
      <c r="CH12" s="194">
        <f t="shared" si="28"/>
        <v>27534.18842666674</v>
      </c>
      <c r="CI12" s="194">
        <f t="shared" si="28"/>
        <v>26616.38214577785</v>
      </c>
      <c r="CJ12" s="194">
        <f t="shared" si="28"/>
        <v>25698.57586488896</v>
      </c>
      <c r="CK12" s="194">
        <f t="shared" si="28"/>
        <v>24780.76958400007</v>
      </c>
      <c r="CL12" s="194">
        <f t="shared" si="28"/>
        <v>23862.96330311118</v>
      </c>
      <c r="CM12" s="194">
        <f t="shared" si="28"/>
        <v>22945.15702222229</v>
      </c>
      <c r="CN12" s="194">
        <f t="shared" si="28"/>
        <v>22027.3507413334</v>
      </c>
      <c r="CO12" s="195">
        <f>CN12</f>
        <v>22027.3507413334</v>
      </c>
      <c r="CP12" s="194">
        <f aca="true" t="shared" si="29" ref="CP12:DA12">CO12+CP7-CP10+CP8</f>
        <v>21109.54446044451</v>
      </c>
      <c r="CQ12" s="194">
        <f t="shared" si="29"/>
        <v>20191.73817955562</v>
      </c>
      <c r="CR12" s="194">
        <f t="shared" si="29"/>
        <v>19273.93189866673</v>
      </c>
      <c r="CS12" s="194">
        <f t="shared" si="29"/>
        <v>18356.12561777784</v>
      </c>
      <c r="CT12" s="194">
        <f t="shared" si="29"/>
        <v>17438.31933688895</v>
      </c>
      <c r="CU12" s="194">
        <f t="shared" si="29"/>
        <v>16520.51305600006</v>
      </c>
      <c r="CV12" s="194">
        <f t="shared" si="29"/>
        <v>15602.706775111174</v>
      </c>
      <c r="CW12" s="194">
        <f t="shared" si="29"/>
        <v>14684.900494222285</v>
      </c>
      <c r="CX12" s="194">
        <f t="shared" si="29"/>
        <v>13767.094213333397</v>
      </c>
      <c r="CY12" s="194">
        <f t="shared" si="29"/>
        <v>12849.28793244451</v>
      </c>
      <c r="CZ12" s="194">
        <f t="shared" si="29"/>
        <v>11931.481651555621</v>
      </c>
      <c r="DA12" s="194">
        <f t="shared" si="29"/>
        <v>11013.675370666733</v>
      </c>
      <c r="DB12" s="195">
        <f>DA12</f>
        <v>11013.675370666733</v>
      </c>
      <c r="DC12" s="194">
        <f aca="true" t="shared" si="30" ref="DC12:DN12">DB12+DC7-DC10+DC8</f>
        <v>10095.869089777845</v>
      </c>
      <c r="DD12" s="194">
        <f t="shared" si="30"/>
        <v>9178.062808888957</v>
      </c>
      <c r="DE12" s="194">
        <f t="shared" si="30"/>
        <v>8260.256528000069</v>
      </c>
      <c r="DF12" s="194">
        <f t="shared" si="30"/>
        <v>7342.45024711118</v>
      </c>
      <c r="DG12" s="194">
        <f t="shared" si="30"/>
        <v>6424.643966222291</v>
      </c>
      <c r="DH12" s="194">
        <f t="shared" si="30"/>
        <v>5506.837685333402</v>
      </c>
      <c r="DI12" s="194">
        <f t="shared" si="30"/>
        <v>4589.031404444513</v>
      </c>
      <c r="DJ12" s="194">
        <f t="shared" si="30"/>
        <v>3671.225123555624</v>
      </c>
      <c r="DK12" s="194">
        <f t="shared" si="30"/>
        <v>2753.418842666735</v>
      </c>
      <c r="DL12" s="194">
        <f t="shared" si="30"/>
        <v>2753.418842666735</v>
      </c>
      <c r="DM12" s="194">
        <f t="shared" si="30"/>
        <v>2753.418842666735</v>
      </c>
      <c r="DN12" s="194">
        <f t="shared" si="30"/>
        <v>2753.418842666735</v>
      </c>
      <c r="DO12" s="195">
        <f>DN12</f>
        <v>2753.418842666735</v>
      </c>
      <c r="DP12" s="200">
        <f>MAX(C12:BO12)</f>
        <v>68835.47106666667</v>
      </c>
    </row>
    <row r="13" spans="1:120" ht="12.75" hidden="1">
      <c r="A13" s="177" t="s">
        <v>78</v>
      </c>
      <c r="B13" s="177">
        <f>Исх!C43*12-Исх!C44</f>
        <v>75</v>
      </c>
      <c r="DP13" s="180"/>
    </row>
    <row r="14" ht="12.75" hidden="1"/>
    <row r="15" ht="12.75" hidden="1">
      <c r="A15" s="270" t="s">
        <v>241</v>
      </c>
    </row>
    <row r="16" ht="12.75" hidden="1" outlineLevel="1">
      <c r="A16" s="271">
        <f>B7+B8-B10</f>
        <v>2753.4188426666806</v>
      </c>
    </row>
    <row r="17" ht="12.75" hidden="1" outlineLevel="1">
      <c r="A17" s="271">
        <f>B9-B8-B11</f>
        <v>0</v>
      </c>
    </row>
    <row r="18" ht="12.75" hidden="1" collapsed="1"/>
    <row r="19" spans="1:119" ht="12.75">
      <c r="A19" s="296" t="s">
        <v>269</v>
      </c>
      <c r="B19" s="297"/>
      <c r="DB19" s="177"/>
      <c r="DO19" s="177"/>
    </row>
    <row r="20" spans="1:119" ht="15.75" customHeight="1">
      <c r="A20" s="186" t="s">
        <v>11</v>
      </c>
      <c r="B20" s="286">
        <f>Исх!C42</f>
        <v>0.07</v>
      </c>
      <c r="C20" s="366">
        <v>2013</v>
      </c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>
        <v>2014</v>
      </c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>
        <v>2015</v>
      </c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>
        <v>2016</v>
      </c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>
        <v>2017</v>
      </c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>
        <v>2018</v>
      </c>
      <c r="BQ20" s="366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>
        <v>2019</v>
      </c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>
        <v>2020</v>
      </c>
      <c r="CQ20" s="366"/>
      <c r="CR20" s="366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>
        <v>2021</v>
      </c>
      <c r="DD20" s="366"/>
      <c r="DE20" s="366"/>
      <c r="DF20" s="366"/>
      <c r="DG20" s="366"/>
      <c r="DH20" s="366"/>
      <c r="DI20" s="366"/>
      <c r="DJ20" s="366"/>
      <c r="DK20" s="366"/>
      <c r="DL20" s="366"/>
      <c r="DM20" s="366"/>
      <c r="DN20" s="366"/>
      <c r="DO20" s="366"/>
    </row>
    <row r="21" spans="1:119" s="192" customFormat="1" ht="15" customHeight="1">
      <c r="A21" s="188" t="s">
        <v>9</v>
      </c>
      <c r="B21" s="189" t="s">
        <v>89</v>
      </c>
      <c r="C21" s="190">
        <v>1</v>
      </c>
      <c r="D21" s="190">
        <v>2</v>
      </c>
      <c r="E21" s="190">
        <f aca="true" t="shared" si="31" ref="E21:N21">D21+1</f>
        <v>3</v>
      </c>
      <c r="F21" s="190">
        <f t="shared" si="31"/>
        <v>4</v>
      </c>
      <c r="G21" s="190">
        <f t="shared" si="31"/>
        <v>5</v>
      </c>
      <c r="H21" s="190">
        <f t="shared" si="31"/>
        <v>6</v>
      </c>
      <c r="I21" s="190">
        <f t="shared" si="31"/>
        <v>7</v>
      </c>
      <c r="J21" s="190">
        <f t="shared" si="31"/>
        <v>8</v>
      </c>
      <c r="K21" s="190">
        <f t="shared" si="31"/>
        <v>9</v>
      </c>
      <c r="L21" s="190">
        <f t="shared" si="31"/>
        <v>10</v>
      </c>
      <c r="M21" s="190">
        <f t="shared" si="31"/>
        <v>11</v>
      </c>
      <c r="N21" s="190">
        <f t="shared" si="31"/>
        <v>12</v>
      </c>
      <c r="O21" s="191" t="s">
        <v>0</v>
      </c>
      <c r="P21" s="190">
        <v>1</v>
      </c>
      <c r="Q21" s="190">
        <v>2</v>
      </c>
      <c r="R21" s="190">
        <f aca="true" t="shared" si="32" ref="R21:AA21">Q21+1</f>
        <v>3</v>
      </c>
      <c r="S21" s="190">
        <f t="shared" si="32"/>
        <v>4</v>
      </c>
      <c r="T21" s="190">
        <f t="shared" si="32"/>
        <v>5</v>
      </c>
      <c r="U21" s="190">
        <f t="shared" si="32"/>
        <v>6</v>
      </c>
      <c r="V21" s="190">
        <f t="shared" si="32"/>
        <v>7</v>
      </c>
      <c r="W21" s="190">
        <f t="shared" si="32"/>
        <v>8</v>
      </c>
      <c r="X21" s="190">
        <f t="shared" si="32"/>
        <v>9</v>
      </c>
      <c r="Y21" s="190">
        <f t="shared" si="32"/>
        <v>10</v>
      </c>
      <c r="Z21" s="190">
        <f t="shared" si="32"/>
        <v>11</v>
      </c>
      <c r="AA21" s="190">
        <f t="shared" si="32"/>
        <v>12</v>
      </c>
      <c r="AB21" s="191" t="str">
        <f>AB6</f>
        <v>Итого</v>
      </c>
      <c r="AC21" s="190">
        <v>1</v>
      </c>
      <c r="AD21" s="190">
        <v>2</v>
      </c>
      <c r="AE21" s="190">
        <f aca="true" t="shared" si="33" ref="AE21:AN21">AD21+1</f>
        <v>3</v>
      </c>
      <c r="AF21" s="190">
        <f t="shared" si="33"/>
        <v>4</v>
      </c>
      <c r="AG21" s="190">
        <f t="shared" si="33"/>
        <v>5</v>
      </c>
      <c r="AH21" s="190">
        <f t="shared" si="33"/>
        <v>6</v>
      </c>
      <c r="AI21" s="190">
        <f t="shared" si="33"/>
        <v>7</v>
      </c>
      <c r="AJ21" s="190">
        <f t="shared" si="33"/>
        <v>8</v>
      </c>
      <c r="AK21" s="190">
        <f t="shared" si="33"/>
        <v>9</v>
      </c>
      <c r="AL21" s="190">
        <f t="shared" si="33"/>
        <v>10</v>
      </c>
      <c r="AM21" s="190">
        <f t="shared" si="33"/>
        <v>11</v>
      </c>
      <c r="AN21" s="190">
        <f t="shared" si="33"/>
        <v>12</v>
      </c>
      <c r="AO21" s="191" t="str">
        <f>AO6</f>
        <v>Итого</v>
      </c>
      <c r="AP21" s="190">
        <v>1</v>
      </c>
      <c r="AQ21" s="190">
        <v>2</v>
      </c>
      <c r="AR21" s="190">
        <f aca="true" t="shared" si="34" ref="AR21:BA21">AQ21+1</f>
        <v>3</v>
      </c>
      <c r="AS21" s="190">
        <f t="shared" si="34"/>
        <v>4</v>
      </c>
      <c r="AT21" s="190">
        <f t="shared" si="34"/>
        <v>5</v>
      </c>
      <c r="AU21" s="190">
        <f t="shared" si="34"/>
        <v>6</v>
      </c>
      <c r="AV21" s="190">
        <f t="shared" si="34"/>
        <v>7</v>
      </c>
      <c r="AW21" s="190">
        <f t="shared" si="34"/>
        <v>8</v>
      </c>
      <c r="AX21" s="190">
        <f t="shared" si="34"/>
        <v>9</v>
      </c>
      <c r="AY21" s="190">
        <f t="shared" si="34"/>
        <v>10</v>
      </c>
      <c r="AZ21" s="190">
        <f t="shared" si="34"/>
        <v>11</v>
      </c>
      <c r="BA21" s="190">
        <f t="shared" si="34"/>
        <v>12</v>
      </c>
      <c r="BB21" s="191" t="str">
        <f>BB6</f>
        <v>Итого</v>
      </c>
      <c r="BC21" s="190">
        <v>1</v>
      </c>
      <c r="BD21" s="190">
        <v>2</v>
      </c>
      <c r="BE21" s="190">
        <f aca="true" t="shared" si="35" ref="BE21:BN21">BD21+1</f>
        <v>3</v>
      </c>
      <c r="BF21" s="190">
        <f t="shared" si="35"/>
        <v>4</v>
      </c>
      <c r="BG21" s="190">
        <f t="shared" si="35"/>
        <v>5</v>
      </c>
      <c r="BH21" s="190">
        <f t="shared" si="35"/>
        <v>6</v>
      </c>
      <c r="BI21" s="190">
        <f t="shared" si="35"/>
        <v>7</v>
      </c>
      <c r="BJ21" s="190">
        <f t="shared" si="35"/>
        <v>8</v>
      </c>
      <c r="BK21" s="190">
        <f t="shared" si="35"/>
        <v>9</v>
      </c>
      <c r="BL21" s="190">
        <f t="shared" si="35"/>
        <v>10</v>
      </c>
      <c r="BM21" s="190">
        <f t="shared" si="35"/>
        <v>11</v>
      </c>
      <c r="BN21" s="190">
        <f t="shared" si="35"/>
        <v>12</v>
      </c>
      <c r="BO21" s="191" t="str">
        <f>BO6</f>
        <v>Итого</v>
      </c>
      <c r="BP21" s="190">
        <v>1</v>
      </c>
      <c r="BQ21" s="190">
        <v>2</v>
      </c>
      <c r="BR21" s="190">
        <f aca="true" t="shared" si="36" ref="BR21:CA21">BQ21+1</f>
        <v>3</v>
      </c>
      <c r="BS21" s="190">
        <f t="shared" si="36"/>
        <v>4</v>
      </c>
      <c r="BT21" s="190">
        <f t="shared" si="36"/>
        <v>5</v>
      </c>
      <c r="BU21" s="190">
        <f t="shared" si="36"/>
        <v>6</v>
      </c>
      <c r="BV21" s="190">
        <f t="shared" si="36"/>
        <v>7</v>
      </c>
      <c r="BW21" s="190">
        <f t="shared" si="36"/>
        <v>8</v>
      </c>
      <c r="BX21" s="190">
        <f t="shared" si="36"/>
        <v>9</v>
      </c>
      <c r="BY21" s="190">
        <f t="shared" si="36"/>
        <v>10</v>
      </c>
      <c r="BZ21" s="190">
        <f t="shared" si="36"/>
        <v>11</v>
      </c>
      <c r="CA21" s="190">
        <f t="shared" si="36"/>
        <v>12</v>
      </c>
      <c r="CB21" s="191" t="str">
        <f>CB6</f>
        <v>Итого</v>
      </c>
      <c r="CC21" s="190">
        <v>1</v>
      </c>
      <c r="CD21" s="190">
        <v>2</v>
      </c>
      <c r="CE21" s="190">
        <f aca="true" t="shared" si="37" ref="CE21:CN21">CD21+1</f>
        <v>3</v>
      </c>
      <c r="CF21" s="190">
        <f t="shared" si="37"/>
        <v>4</v>
      </c>
      <c r="CG21" s="190">
        <f t="shared" si="37"/>
        <v>5</v>
      </c>
      <c r="CH21" s="190">
        <f t="shared" si="37"/>
        <v>6</v>
      </c>
      <c r="CI21" s="190">
        <f t="shared" si="37"/>
        <v>7</v>
      </c>
      <c r="CJ21" s="190">
        <f t="shared" si="37"/>
        <v>8</v>
      </c>
      <c r="CK21" s="190">
        <f t="shared" si="37"/>
        <v>9</v>
      </c>
      <c r="CL21" s="190">
        <f t="shared" si="37"/>
        <v>10</v>
      </c>
      <c r="CM21" s="190">
        <f t="shared" si="37"/>
        <v>11</v>
      </c>
      <c r="CN21" s="190">
        <f t="shared" si="37"/>
        <v>12</v>
      </c>
      <c r="CO21" s="191" t="str">
        <f>CO6</f>
        <v>Итого</v>
      </c>
      <c r="CP21" s="190">
        <v>1</v>
      </c>
      <c r="CQ21" s="190">
        <f>CP21+1</f>
        <v>2</v>
      </c>
      <c r="CR21" s="190">
        <f aca="true" t="shared" si="38" ref="CR21:DA21">CQ21+1</f>
        <v>3</v>
      </c>
      <c r="CS21" s="190">
        <f t="shared" si="38"/>
        <v>4</v>
      </c>
      <c r="CT21" s="190">
        <f t="shared" si="38"/>
        <v>5</v>
      </c>
      <c r="CU21" s="190">
        <f t="shared" si="38"/>
        <v>6</v>
      </c>
      <c r="CV21" s="190">
        <f t="shared" si="38"/>
        <v>7</v>
      </c>
      <c r="CW21" s="190">
        <f t="shared" si="38"/>
        <v>8</v>
      </c>
      <c r="CX21" s="190">
        <f t="shared" si="38"/>
        <v>9</v>
      </c>
      <c r="CY21" s="190">
        <f t="shared" si="38"/>
        <v>10</v>
      </c>
      <c r="CZ21" s="190">
        <f t="shared" si="38"/>
        <v>11</v>
      </c>
      <c r="DA21" s="190">
        <f t="shared" si="38"/>
        <v>12</v>
      </c>
      <c r="DB21" s="191" t="str">
        <f>DB6</f>
        <v>Итого</v>
      </c>
      <c r="DC21" s="190">
        <v>1</v>
      </c>
      <c r="DD21" s="190">
        <f aca="true" t="shared" si="39" ref="DD21:DN21">DC21+1</f>
        <v>2</v>
      </c>
      <c r="DE21" s="190">
        <f t="shared" si="39"/>
        <v>3</v>
      </c>
      <c r="DF21" s="190">
        <f t="shared" si="39"/>
        <v>4</v>
      </c>
      <c r="DG21" s="190">
        <f t="shared" si="39"/>
        <v>5</v>
      </c>
      <c r="DH21" s="190">
        <f t="shared" si="39"/>
        <v>6</v>
      </c>
      <c r="DI21" s="190">
        <f t="shared" si="39"/>
        <v>7</v>
      </c>
      <c r="DJ21" s="190">
        <f t="shared" si="39"/>
        <v>8</v>
      </c>
      <c r="DK21" s="190">
        <f t="shared" si="39"/>
        <v>9</v>
      </c>
      <c r="DL21" s="190">
        <f t="shared" si="39"/>
        <v>10</v>
      </c>
      <c r="DM21" s="190">
        <f t="shared" si="39"/>
        <v>11</v>
      </c>
      <c r="DN21" s="190">
        <f t="shared" si="39"/>
        <v>12</v>
      </c>
      <c r="DO21" s="191" t="s">
        <v>0</v>
      </c>
    </row>
    <row r="22" spans="1:119" ht="12.75">
      <c r="A22" s="188" t="s">
        <v>106</v>
      </c>
      <c r="B22" s="193">
        <f>O22+AB22+AO22+BB22+BO22+CB22+CO22+DB22+DO22</f>
        <v>60855.920000000006</v>
      </c>
      <c r="C22" s="194">
        <f>C38+C54+C70+C86</f>
        <v>0</v>
      </c>
      <c r="D22" s="194">
        <f aca="true" t="shared" si="40" ref="D22:N22">D38+D54+D70+D86</f>
        <v>0</v>
      </c>
      <c r="E22" s="194">
        <f t="shared" si="40"/>
        <v>0</v>
      </c>
      <c r="F22" s="194">
        <f t="shared" si="40"/>
        <v>0</v>
      </c>
      <c r="G22" s="194">
        <f t="shared" si="40"/>
        <v>0</v>
      </c>
      <c r="H22" s="194">
        <f t="shared" si="40"/>
        <v>0</v>
      </c>
      <c r="I22" s="194">
        <f t="shared" si="40"/>
        <v>0</v>
      </c>
      <c r="J22" s="194">
        <f t="shared" si="40"/>
        <v>0</v>
      </c>
      <c r="K22" s="194">
        <f t="shared" si="40"/>
        <v>0</v>
      </c>
      <c r="L22" s="194">
        <f t="shared" si="40"/>
        <v>29092.800000000003</v>
      </c>
      <c r="M22" s="194">
        <f t="shared" si="40"/>
        <v>31763.120000000003</v>
      </c>
      <c r="N22" s="194">
        <f t="shared" si="40"/>
        <v>0</v>
      </c>
      <c r="O22" s="195">
        <f>SUM(C22:N22)</f>
        <v>60855.920000000006</v>
      </c>
      <c r="P22" s="194">
        <f>P38+P54+P70+P86</f>
        <v>0</v>
      </c>
      <c r="Q22" s="194">
        <f aca="true" t="shared" si="41" ref="Q22:AA22">Q38+Q54+Q70+Q86</f>
        <v>0</v>
      </c>
      <c r="R22" s="194">
        <f t="shared" si="41"/>
        <v>0</v>
      </c>
      <c r="S22" s="194">
        <f t="shared" si="41"/>
        <v>0</v>
      </c>
      <c r="T22" s="194">
        <f t="shared" si="41"/>
        <v>0</v>
      </c>
      <c r="U22" s="194">
        <f t="shared" si="41"/>
        <v>0</v>
      </c>
      <c r="V22" s="194">
        <f t="shared" si="41"/>
        <v>0</v>
      </c>
      <c r="W22" s="194">
        <f t="shared" si="41"/>
        <v>0</v>
      </c>
      <c r="X22" s="194">
        <f t="shared" si="41"/>
        <v>0</v>
      </c>
      <c r="Y22" s="194">
        <f t="shared" si="41"/>
        <v>0</v>
      </c>
      <c r="Z22" s="194">
        <f t="shared" si="41"/>
        <v>0</v>
      </c>
      <c r="AA22" s="194">
        <f t="shared" si="41"/>
        <v>0</v>
      </c>
      <c r="AB22" s="195">
        <f>SUM(P22:AA22)</f>
        <v>0</v>
      </c>
      <c r="AC22" s="194">
        <f aca="true" t="shared" si="42" ref="AC22:AN22">AC38+AC54+AC70+AC86</f>
        <v>0</v>
      </c>
      <c r="AD22" s="194">
        <f t="shared" si="42"/>
        <v>0</v>
      </c>
      <c r="AE22" s="194">
        <f t="shared" si="42"/>
        <v>0</v>
      </c>
      <c r="AF22" s="194">
        <f t="shared" si="42"/>
        <v>0</v>
      </c>
      <c r="AG22" s="194">
        <f t="shared" si="42"/>
        <v>0</v>
      </c>
      <c r="AH22" s="194">
        <f t="shared" si="42"/>
        <v>0</v>
      </c>
      <c r="AI22" s="194">
        <f t="shared" si="42"/>
        <v>0</v>
      </c>
      <c r="AJ22" s="194">
        <f t="shared" si="42"/>
        <v>0</v>
      </c>
      <c r="AK22" s="194">
        <f t="shared" si="42"/>
        <v>0</v>
      </c>
      <c r="AL22" s="194">
        <f t="shared" si="42"/>
        <v>0</v>
      </c>
      <c r="AM22" s="194">
        <f t="shared" si="42"/>
        <v>0</v>
      </c>
      <c r="AN22" s="194">
        <f t="shared" si="42"/>
        <v>0</v>
      </c>
      <c r="AO22" s="195">
        <f>SUM(AC22:AN22)</f>
        <v>0</v>
      </c>
      <c r="AP22" s="194">
        <f aca="true" t="shared" si="43" ref="AP22:BA22">AP38+AP54+AP70+AP86</f>
        <v>0</v>
      </c>
      <c r="AQ22" s="194">
        <f t="shared" si="43"/>
        <v>0</v>
      </c>
      <c r="AR22" s="194">
        <f t="shared" si="43"/>
        <v>0</v>
      </c>
      <c r="AS22" s="194">
        <f t="shared" si="43"/>
        <v>0</v>
      </c>
      <c r="AT22" s="194">
        <f t="shared" si="43"/>
        <v>0</v>
      </c>
      <c r="AU22" s="194">
        <f t="shared" si="43"/>
        <v>0</v>
      </c>
      <c r="AV22" s="194">
        <f t="shared" si="43"/>
        <v>0</v>
      </c>
      <c r="AW22" s="194">
        <f t="shared" si="43"/>
        <v>0</v>
      </c>
      <c r="AX22" s="194">
        <f t="shared" si="43"/>
        <v>0</v>
      </c>
      <c r="AY22" s="194">
        <f t="shared" si="43"/>
        <v>0</v>
      </c>
      <c r="AZ22" s="194">
        <f t="shared" si="43"/>
        <v>0</v>
      </c>
      <c r="BA22" s="194">
        <f t="shared" si="43"/>
        <v>0</v>
      </c>
      <c r="BB22" s="195">
        <f>SUM(AP22:BA22)</f>
        <v>0</v>
      </c>
      <c r="BC22" s="194">
        <f aca="true" t="shared" si="44" ref="BC22:BN22">BC38+BC54+BC70+BC86</f>
        <v>0</v>
      </c>
      <c r="BD22" s="194">
        <f t="shared" si="44"/>
        <v>0</v>
      </c>
      <c r="BE22" s="194">
        <f t="shared" si="44"/>
        <v>0</v>
      </c>
      <c r="BF22" s="194">
        <f t="shared" si="44"/>
        <v>0</v>
      </c>
      <c r="BG22" s="194">
        <f t="shared" si="44"/>
        <v>0</v>
      </c>
      <c r="BH22" s="194">
        <f t="shared" si="44"/>
        <v>0</v>
      </c>
      <c r="BI22" s="194">
        <f t="shared" si="44"/>
        <v>0</v>
      </c>
      <c r="BJ22" s="194">
        <f t="shared" si="44"/>
        <v>0</v>
      </c>
      <c r="BK22" s="194">
        <f t="shared" si="44"/>
        <v>0</v>
      </c>
      <c r="BL22" s="194">
        <f t="shared" si="44"/>
        <v>0</v>
      </c>
      <c r="BM22" s="194">
        <f t="shared" si="44"/>
        <v>0</v>
      </c>
      <c r="BN22" s="194">
        <f t="shared" si="44"/>
        <v>0</v>
      </c>
      <c r="BO22" s="195">
        <f>SUM(BC22:BN22)</f>
        <v>0</v>
      </c>
      <c r="BP22" s="194">
        <f aca="true" t="shared" si="45" ref="BP22:CA22">BP38+BP54+BP70+BP86</f>
        <v>0</v>
      </c>
      <c r="BQ22" s="194">
        <f t="shared" si="45"/>
        <v>0</v>
      </c>
      <c r="BR22" s="194">
        <f t="shared" si="45"/>
        <v>0</v>
      </c>
      <c r="BS22" s="194">
        <f t="shared" si="45"/>
        <v>0</v>
      </c>
      <c r="BT22" s="194">
        <f t="shared" si="45"/>
        <v>0</v>
      </c>
      <c r="BU22" s="194">
        <f t="shared" si="45"/>
        <v>0</v>
      </c>
      <c r="BV22" s="194">
        <f t="shared" si="45"/>
        <v>0</v>
      </c>
      <c r="BW22" s="194">
        <f t="shared" si="45"/>
        <v>0</v>
      </c>
      <c r="BX22" s="194">
        <f t="shared" si="45"/>
        <v>0</v>
      </c>
      <c r="BY22" s="194">
        <f t="shared" si="45"/>
        <v>0</v>
      </c>
      <c r="BZ22" s="194">
        <f t="shared" si="45"/>
        <v>0</v>
      </c>
      <c r="CA22" s="194">
        <f t="shared" si="45"/>
        <v>0</v>
      </c>
      <c r="CB22" s="195">
        <f>SUM(BP22:CA22)</f>
        <v>0</v>
      </c>
      <c r="CC22" s="194">
        <f aca="true" t="shared" si="46" ref="CC22:CN22">CC38+CC54+CC70+CC86</f>
        <v>0</v>
      </c>
      <c r="CD22" s="194">
        <f t="shared" si="46"/>
        <v>0</v>
      </c>
      <c r="CE22" s="194">
        <f t="shared" si="46"/>
        <v>0</v>
      </c>
      <c r="CF22" s="194">
        <f t="shared" si="46"/>
        <v>0</v>
      </c>
      <c r="CG22" s="194">
        <f t="shared" si="46"/>
        <v>0</v>
      </c>
      <c r="CH22" s="194">
        <f t="shared" si="46"/>
        <v>0</v>
      </c>
      <c r="CI22" s="194">
        <f t="shared" si="46"/>
        <v>0</v>
      </c>
      <c r="CJ22" s="194">
        <f t="shared" si="46"/>
        <v>0</v>
      </c>
      <c r="CK22" s="194">
        <f t="shared" si="46"/>
        <v>0</v>
      </c>
      <c r="CL22" s="194">
        <f t="shared" si="46"/>
        <v>0</v>
      </c>
      <c r="CM22" s="194">
        <f t="shared" si="46"/>
        <v>0</v>
      </c>
      <c r="CN22" s="194">
        <f t="shared" si="46"/>
        <v>0</v>
      </c>
      <c r="CO22" s="195">
        <f>SUM(CC22:CN22)</f>
        <v>0</v>
      </c>
      <c r="CP22" s="194">
        <f aca="true" t="shared" si="47" ref="CP22:DA22">CP38+CP54+CP70+CP86</f>
        <v>0</v>
      </c>
      <c r="CQ22" s="194">
        <f t="shared" si="47"/>
        <v>0</v>
      </c>
      <c r="CR22" s="194">
        <f t="shared" si="47"/>
        <v>0</v>
      </c>
      <c r="CS22" s="194">
        <f t="shared" si="47"/>
        <v>0</v>
      </c>
      <c r="CT22" s="194">
        <f t="shared" si="47"/>
        <v>0</v>
      </c>
      <c r="CU22" s="194">
        <f t="shared" si="47"/>
        <v>0</v>
      </c>
      <c r="CV22" s="194">
        <f t="shared" si="47"/>
        <v>0</v>
      </c>
      <c r="CW22" s="194">
        <f t="shared" si="47"/>
        <v>0</v>
      </c>
      <c r="CX22" s="194">
        <f t="shared" si="47"/>
        <v>0</v>
      </c>
      <c r="CY22" s="194">
        <f t="shared" si="47"/>
        <v>0</v>
      </c>
      <c r="CZ22" s="194">
        <f t="shared" si="47"/>
        <v>0</v>
      </c>
      <c r="DA22" s="194">
        <f t="shared" si="47"/>
        <v>0</v>
      </c>
      <c r="DB22" s="195">
        <f>SUM(CP22:DA22)</f>
        <v>0</v>
      </c>
      <c r="DC22" s="194">
        <f aca="true" t="shared" si="48" ref="DC22:DN22">DC38+DC54+DC70+DC86</f>
        <v>0</v>
      </c>
      <c r="DD22" s="194">
        <f t="shared" si="48"/>
        <v>0</v>
      </c>
      <c r="DE22" s="194">
        <f t="shared" si="48"/>
        <v>0</v>
      </c>
      <c r="DF22" s="194">
        <f t="shared" si="48"/>
        <v>0</v>
      </c>
      <c r="DG22" s="194">
        <f t="shared" si="48"/>
        <v>0</v>
      </c>
      <c r="DH22" s="194">
        <f t="shared" si="48"/>
        <v>0</v>
      </c>
      <c r="DI22" s="194">
        <f t="shared" si="48"/>
        <v>0</v>
      </c>
      <c r="DJ22" s="194">
        <f t="shared" si="48"/>
        <v>0</v>
      </c>
      <c r="DK22" s="194">
        <f t="shared" si="48"/>
        <v>0</v>
      </c>
      <c r="DL22" s="194">
        <f t="shared" si="48"/>
        <v>0</v>
      </c>
      <c r="DM22" s="194">
        <f t="shared" si="48"/>
        <v>0</v>
      </c>
      <c r="DN22" s="194">
        <f t="shared" si="48"/>
        <v>0</v>
      </c>
      <c r="DO22" s="195">
        <f>SUM(DC22:DN22)</f>
        <v>0</v>
      </c>
    </row>
    <row r="23" spans="1:119" s="197" customFormat="1" ht="20.25" customHeight="1">
      <c r="A23" s="188" t="s">
        <v>31</v>
      </c>
      <c r="B23" s="193">
        <f>O23+AB23+AO23+BB23+BO23+CB23+CO23+DB23+DO23</f>
        <v>1064.9786000000001</v>
      </c>
      <c r="C23" s="194">
        <f aca="true" t="shared" si="49" ref="C23:N27">C39+C55+C71+C87</f>
        <v>0</v>
      </c>
      <c r="D23" s="194">
        <f t="shared" si="49"/>
        <v>0</v>
      </c>
      <c r="E23" s="194">
        <f t="shared" si="49"/>
        <v>0</v>
      </c>
      <c r="F23" s="194">
        <f t="shared" si="49"/>
        <v>0</v>
      </c>
      <c r="G23" s="194">
        <f t="shared" si="49"/>
        <v>0</v>
      </c>
      <c r="H23" s="194">
        <f t="shared" si="49"/>
        <v>0</v>
      </c>
      <c r="I23" s="194">
        <f t="shared" si="49"/>
        <v>0</v>
      </c>
      <c r="J23" s="194">
        <f t="shared" si="49"/>
        <v>0</v>
      </c>
      <c r="K23" s="194">
        <f t="shared" si="49"/>
        <v>0</v>
      </c>
      <c r="L23" s="194">
        <f t="shared" si="49"/>
        <v>0</v>
      </c>
      <c r="M23" s="194">
        <f t="shared" si="49"/>
        <v>0</v>
      </c>
      <c r="N23" s="194">
        <f t="shared" si="49"/>
        <v>0</v>
      </c>
      <c r="O23" s="195">
        <f>SUM(C23:N23)</f>
        <v>0</v>
      </c>
      <c r="P23" s="194">
        <f aca="true" t="shared" si="50" ref="P23:AA23">P39+P55+P71+P87</f>
        <v>509.1240000000001</v>
      </c>
      <c r="Q23" s="194">
        <f t="shared" si="50"/>
        <v>555.8546000000001</v>
      </c>
      <c r="R23" s="194">
        <f t="shared" si="50"/>
        <v>0</v>
      </c>
      <c r="S23" s="194">
        <f t="shared" si="50"/>
        <v>0</v>
      </c>
      <c r="T23" s="194">
        <f t="shared" si="50"/>
        <v>0</v>
      </c>
      <c r="U23" s="194">
        <f t="shared" si="50"/>
        <v>0</v>
      </c>
      <c r="V23" s="194">
        <f t="shared" si="50"/>
        <v>0</v>
      </c>
      <c r="W23" s="194">
        <f t="shared" si="50"/>
        <v>0</v>
      </c>
      <c r="X23" s="194">
        <f t="shared" si="50"/>
        <v>0</v>
      </c>
      <c r="Y23" s="194">
        <f t="shared" si="50"/>
        <v>0</v>
      </c>
      <c r="Z23" s="194">
        <f t="shared" si="50"/>
        <v>0</v>
      </c>
      <c r="AA23" s="194">
        <f t="shared" si="50"/>
        <v>0</v>
      </c>
      <c r="AB23" s="195">
        <f>SUM(P23:AA23)</f>
        <v>1064.9786000000001</v>
      </c>
      <c r="AC23" s="194">
        <f aca="true" t="shared" si="51" ref="AC23:AN23">AC39+AC55+AC71+AC87</f>
        <v>0</v>
      </c>
      <c r="AD23" s="194">
        <f t="shared" si="51"/>
        <v>0</v>
      </c>
      <c r="AE23" s="194">
        <f t="shared" si="51"/>
        <v>0</v>
      </c>
      <c r="AF23" s="194">
        <f t="shared" si="51"/>
        <v>0</v>
      </c>
      <c r="AG23" s="194">
        <f t="shared" si="51"/>
        <v>0</v>
      </c>
      <c r="AH23" s="194">
        <f t="shared" si="51"/>
        <v>0</v>
      </c>
      <c r="AI23" s="194">
        <f t="shared" si="51"/>
        <v>0</v>
      </c>
      <c r="AJ23" s="194">
        <f t="shared" si="51"/>
        <v>0</v>
      </c>
      <c r="AK23" s="194">
        <f t="shared" si="51"/>
        <v>0</v>
      </c>
      <c r="AL23" s="194">
        <f t="shared" si="51"/>
        <v>0</v>
      </c>
      <c r="AM23" s="194">
        <f t="shared" si="51"/>
        <v>0</v>
      </c>
      <c r="AN23" s="194">
        <f t="shared" si="51"/>
        <v>0</v>
      </c>
      <c r="AO23" s="195">
        <f>SUM(AC23:AN23)</f>
        <v>0</v>
      </c>
      <c r="AP23" s="194">
        <f aca="true" t="shared" si="52" ref="AP23:BA23">AP39+AP55+AP71+AP87</f>
        <v>0</v>
      </c>
      <c r="AQ23" s="194">
        <f t="shared" si="52"/>
        <v>0</v>
      </c>
      <c r="AR23" s="194">
        <f t="shared" si="52"/>
        <v>0</v>
      </c>
      <c r="AS23" s="194">
        <f t="shared" si="52"/>
        <v>0</v>
      </c>
      <c r="AT23" s="194">
        <f t="shared" si="52"/>
        <v>0</v>
      </c>
      <c r="AU23" s="194">
        <f t="shared" si="52"/>
        <v>0</v>
      </c>
      <c r="AV23" s="194">
        <f t="shared" si="52"/>
        <v>0</v>
      </c>
      <c r="AW23" s="194">
        <f t="shared" si="52"/>
        <v>0</v>
      </c>
      <c r="AX23" s="194">
        <f t="shared" si="52"/>
        <v>0</v>
      </c>
      <c r="AY23" s="194">
        <f t="shared" si="52"/>
        <v>0</v>
      </c>
      <c r="AZ23" s="194">
        <f t="shared" si="52"/>
        <v>0</v>
      </c>
      <c r="BA23" s="194">
        <f t="shared" si="52"/>
        <v>0</v>
      </c>
      <c r="BB23" s="195">
        <f>SUM(AP23:BA23)</f>
        <v>0</v>
      </c>
      <c r="BC23" s="194">
        <f aca="true" t="shared" si="53" ref="BC23:BN23">BC39+BC55+BC71+BC87</f>
        <v>0</v>
      </c>
      <c r="BD23" s="194">
        <f t="shared" si="53"/>
        <v>0</v>
      </c>
      <c r="BE23" s="194">
        <f t="shared" si="53"/>
        <v>0</v>
      </c>
      <c r="BF23" s="194">
        <f t="shared" si="53"/>
        <v>0</v>
      </c>
      <c r="BG23" s="194">
        <f t="shared" si="53"/>
        <v>0</v>
      </c>
      <c r="BH23" s="194">
        <f t="shared" si="53"/>
        <v>0</v>
      </c>
      <c r="BI23" s="194">
        <f t="shared" si="53"/>
        <v>0</v>
      </c>
      <c r="BJ23" s="194">
        <f t="shared" si="53"/>
        <v>0</v>
      </c>
      <c r="BK23" s="194">
        <f t="shared" si="53"/>
        <v>0</v>
      </c>
      <c r="BL23" s="194">
        <f t="shared" si="53"/>
        <v>0</v>
      </c>
      <c r="BM23" s="194">
        <f t="shared" si="53"/>
        <v>0</v>
      </c>
      <c r="BN23" s="194">
        <f t="shared" si="53"/>
        <v>0</v>
      </c>
      <c r="BO23" s="195">
        <f>SUM(BC23:BN23)</f>
        <v>0</v>
      </c>
      <c r="BP23" s="194">
        <f aca="true" t="shared" si="54" ref="BP23:CA23">BP39+BP55+BP71+BP87</f>
        <v>0</v>
      </c>
      <c r="BQ23" s="194">
        <f t="shared" si="54"/>
        <v>0</v>
      </c>
      <c r="BR23" s="194">
        <f t="shared" si="54"/>
        <v>0</v>
      </c>
      <c r="BS23" s="194">
        <f t="shared" si="54"/>
        <v>0</v>
      </c>
      <c r="BT23" s="194">
        <f t="shared" si="54"/>
        <v>0</v>
      </c>
      <c r="BU23" s="194">
        <f t="shared" si="54"/>
        <v>0</v>
      </c>
      <c r="BV23" s="194">
        <f t="shared" si="54"/>
        <v>0</v>
      </c>
      <c r="BW23" s="194">
        <f t="shared" si="54"/>
        <v>0</v>
      </c>
      <c r="BX23" s="194">
        <f t="shared" si="54"/>
        <v>0</v>
      </c>
      <c r="BY23" s="194">
        <f t="shared" si="54"/>
        <v>0</v>
      </c>
      <c r="BZ23" s="194">
        <f t="shared" si="54"/>
        <v>0</v>
      </c>
      <c r="CA23" s="194">
        <f t="shared" si="54"/>
        <v>0</v>
      </c>
      <c r="CB23" s="195">
        <f>SUM(BP23:CA23)</f>
        <v>0</v>
      </c>
      <c r="CC23" s="194">
        <f aca="true" t="shared" si="55" ref="CC23:CN23">CC39+CC55+CC71+CC87</f>
        <v>0</v>
      </c>
      <c r="CD23" s="194">
        <f t="shared" si="55"/>
        <v>0</v>
      </c>
      <c r="CE23" s="194">
        <f t="shared" si="55"/>
        <v>0</v>
      </c>
      <c r="CF23" s="194">
        <f t="shared" si="55"/>
        <v>0</v>
      </c>
      <c r="CG23" s="194">
        <f t="shared" si="55"/>
        <v>0</v>
      </c>
      <c r="CH23" s="194">
        <f t="shared" si="55"/>
        <v>0</v>
      </c>
      <c r="CI23" s="194">
        <f t="shared" si="55"/>
        <v>0</v>
      </c>
      <c r="CJ23" s="194">
        <f t="shared" si="55"/>
        <v>0</v>
      </c>
      <c r="CK23" s="194">
        <f t="shared" si="55"/>
        <v>0</v>
      </c>
      <c r="CL23" s="194">
        <f t="shared" si="55"/>
        <v>0</v>
      </c>
      <c r="CM23" s="194">
        <f t="shared" si="55"/>
        <v>0</v>
      </c>
      <c r="CN23" s="194">
        <f t="shared" si="55"/>
        <v>0</v>
      </c>
      <c r="CO23" s="195">
        <f>SUM(CC23:CN23)</f>
        <v>0</v>
      </c>
      <c r="CP23" s="194">
        <f aca="true" t="shared" si="56" ref="CP23:DA23">CP39+CP55+CP71+CP87</f>
        <v>0</v>
      </c>
      <c r="CQ23" s="194">
        <f t="shared" si="56"/>
        <v>0</v>
      </c>
      <c r="CR23" s="194">
        <f t="shared" si="56"/>
        <v>0</v>
      </c>
      <c r="CS23" s="194">
        <f t="shared" si="56"/>
        <v>0</v>
      </c>
      <c r="CT23" s="194">
        <f t="shared" si="56"/>
        <v>0</v>
      </c>
      <c r="CU23" s="194">
        <f t="shared" si="56"/>
        <v>0</v>
      </c>
      <c r="CV23" s="194">
        <f t="shared" si="56"/>
        <v>0</v>
      </c>
      <c r="CW23" s="194">
        <f t="shared" si="56"/>
        <v>0</v>
      </c>
      <c r="CX23" s="194">
        <f t="shared" si="56"/>
        <v>0</v>
      </c>
      <c r="CY23" s="194">
        <f t="shared" si="56"/>
        <v>0</v>
      </c>
      <c r="CZ23" s="194">
        <f t="shared" si="56"/>
        <v>0</v>
      </c>
      <c r="DA23" s="194">
        <f t="shared" si="56"/>
        <v>0</v>
      </c>
      <c r="DB23" s="195">
        <f>SUM(CP23:DA23)</f>
        <v>0</v>
      </c>
      <c r="DC23" s="194">
        <f aca="true" t="shared" si="57" ref="DC23:DN23">DC39+DC55+DC71+DC87</f>
        <v>0</v>
      </c>
      <c r="DD23" s="194">
        <f t="shared" si="57"/>
        <v>0</v>
      </c>
      <c r="DE23" s="194">
        <f t="shared" si="57"/>
        <v>0</v>
      </c>
      <c r="DF23" s="194">
        <f t="shared" si="57"/>
        <v>0</v>
      </c>
      <c r="DG23" s="194">
        <f t="shared" si="57"/>
        <v>0</v>
      </c>
      <c r="DH23" s="194">
        <f t="shared" si="57"/>
        <v>0</v>
      </c>
      <c r="DI23" s="194">
        <f t="shared" si="57"/>
        <v>0</v>
      </c>
      <c r="DJ23" s="194">
        <f t="shared" si="57"/>
        <v>0</v>
      </c>
      <c r="DK23" s="194">
        <f t="shared" si="57"/>
        <v>0</v>
      </c>
      <c r="DL23" s="194">
        <f t="shared" si="57"/>
        <v>0</v>
      </c>
      <c r="DM23" s="194">
        <f t="shared" si="57"/>
        <v>0</v>
      </c>
      <c r="DN23" s="194">
        <f t="shared" si="57"/>
        <v>0</v>
      </c>
      <c r="DO23" s="195">
        <f>SUM(DC23:DN23)</f>
        <v>0</v>
      </c>
    </row>
    <row r="24" spans="1:119" s="197" customFormat="1" ht="12.75">
      <c r="A24" s="198" t="s">
        <v>13</v>
      </c>
      <c r="B24" s="193">
        <f>O24+AB24+AO24+BB24+BO24+CB24+CO24+DB24+DO24</f>
        <v>17939.52589161398</v>
      </c>
      <c r="C24" s="194">
        <f t="shared" si="49"/>
        <v>0</v>
      </c>
      <c r="D24" s="194">
        <f t="shared" si="49"/>
        <v>0</v>
      </c>
      <c r="E24" s="194">
        <f t="shared" si="49"/>
        <v>0</v>
      </c>
      <c r="F24" s="194">
        <f t="shared" si="49"/>
        <v>0</v>
      </c>
      <c r="G24" s="194">
        <f t="shared" si="49"/>
        <v>0</v>
      </c>
      <c r="H24" s="194">
        <f t="shared" si="49"/>
        <v>0</v>
      </c>
      <c r="I24" s="194">
        <f t="shared" si="49"/>
        <v>0</v>
      </c>
      <c r="J24" s="194">
        <f t="shared" si="49"/>
        <v>0</v>
      </c>
      <c r="K24" s="194">
        <f t="shared" si="49"/>
        <v>0</v>
      </c>
      <c r="L24" s="194">
        <f t="shared" si="49"/>
        <v>0</v>
      </c>
      <c r="M24" s="194">
        <f t="shared" si="49"/>
        <v>169.70800000000003</v>
      </c>
      <c r="N24" s="194">
        <f t="shared" si="49"/>
        <v>354.9928666666667</v>
      </c>
      <c r="O24" s="195">
        <f>SUM(C24:N24)</f>
        <v>524.7008666666668</v>
      </c>
      <c r="P24" s="194">
        <f aca="true" t="shared" si="58" ref="P24:AA24">P40+P56+P72+P88</f>
        <v>354.9928666666667</v>
      </c>
      <c r="Q24" s="194">
        <f t="shared" si="58"/>
        <v>357.9627566666668</v>
      </c>
      <c r="R24" s="194">
        <f t="shared" si="58"/>
        <v>361.2052418333334</v>
      </c>
      <c r="S24" s="194">
        <f t="shared" si="58"/>
        <v>361.2052418333334</v>
      </c>
      <c r="T24" s="194">
        <f t="shared" si="58"/>
        <v>361.2052418333334</v>
      </c>
      <c r="U24" s="194">
        <f t="shared" si="58"/>
        <v>361.2052418333334</v>
      </c>
      <c r="V24" s="194">
        <f t="shared" si="58"/>
        <v>361.2052418333334</v>
      </c>
      <c r="W24" s="194">
        <f t="shared" si="58"/>
        <v>361.2052418333334</v>
      </c>
      <c r="X24" s="194">
        <f t="shared" si="58"/>
        <v>359.3633033491873</v>
      </c>
      <c r="Y24" s="194">
        <f t="shared" si="58"/>
        <v>355.49961705112094</v>
      </c>
      <c r="Z24" s="194">
        <f t="shared" si="58"/>
        <v>351.61339258298244</v>
      </c>
      <c r="AA24" s="194">
        <f t="shared" si="58"/>
        <v>347.70449847211324</v>
      </c>
      <c r="AB24" s="195">
        <f>SUM(P24:AA24)</f>
        <v>4294.367885788737</v>
      </c>
      <c r="AC24" s="194">
        <f aca="true" t="shared" si="59" ref="AC24:AN24">AC40+AC56+AC72+AC88</f>
        <v>343.77280247893066</v>
      </c>
      <c r="AD24" s="194">
        <f t="shared" si="59"/>
        <v>339.8181715924544</v>
      </c>
      <c r="AE24" s="194">
        <f t="shared" si="59"/>
        <v>335.8404720258071</v>
      </c>
      <c r="AF24" s="194">
        <f t="shared" si="59"/>
        <v>331.8395692116877</v>
      </c>
      <c r="AG24" s="194">
        <f t="shared" si="59"/>
        <v>327.8153277978193</v>
      </c>
      <c r="AH24" s="194">
        <f t="shared" si="59"/>
        <v>323.76761164236996</v>
      </c>
      <c r="AI24" s="194">
        <f t="shared" si="59"/>
        <v>319.6962838093471</v>
      </c>
      <c r="AJ24" s="194">
        <f t="shared" si="59"/>
        <v>315.601206563965</v>
      </c>
      <c r="AK24" s="194">
        <f t="shared" si="59"/>
        <v>311.48224136798484</v>
      </c>
      <c r="AL24" s="194">
        <f t="shared" si="59"/>
        <v>307.3392488750281</v>
      </c>
      <c r="AM24" s="194">
        <f t="shared" si="59"/>
        <v>303.1720889258625</v>
      </c>
      <c r="AN24" s="194">
        <f t="shared" si="59"/>
        <v>298.98062054366005</v>
      </c>
      <c r="AO24" s="195">
        <f>SUM(AC24:AN24)</f>
        <v>3859.125644834917</v>
      </c>
      <c r="AP24" s="194">
        <f aca="true" t="shared" si="60" ref="AP24:BA24">AP40+AP56+AP72+AP88</f>
        <v>294.7647019292282</v>
      </c>
      <c r="AQ24" s="194">
        <f t="shared" si="60"/>
        <v>290.524190456212</v>
      </c>
      <c r="AR24" s="194">
        <f t="shared" si="60"/>
        <v>286.25894266626995</v>
      </c>
      <c r="AS24" s="194">
        <f t="shared" si="60"/>
        <v>281.96881426421993</v>
      </c>
      <c r="AT24" s="194">
        <f t="shared" si="60"/>
        <v>277.6536601131579</v>
      </c>
      <c r="AU24" s="194">
        <f t="shared" si="60"/>
        <v>273.3133342295481</v>
      </c>
      <c r="AV24" s="194">
        <f t="shared" si="60"/>
        <v>268.9476897782838</v>
      </c>
      <c r="AW24" s="194">
        <f t="shared" si="60"/>
        <v>264.55657906772046</v>
      </c>
      <c r="AX24" s="194">
        <f t="shared" si="60"/>
        <v>260.1398535446789</v>
      </c>
      <c r="AY24" s="194">
        <f t="shared" si="60"/>
        <v>255.69736378941957</v>
      </c>
      <c r="AZ24" s="194">
        <f t="shared" si="60"/>
        <v>251.2289595105879</v>
      </c>
      <c r="BA24" s="194">
        <f t="shared" si="60"/>
        <v>246.7344895401297</v>
      </c>
      <c r="BB24" s="195">
        <f>SUM(AP24:BA24)</f>
        <v>3251.7885788894564</v>
      </c>
      <c r="BC24" s="194">
        <f aca="true" t="shared" si="61" ref="BC24:BN24">BC40+BC56+BC72+BC88</f>
        <v>242.21380182817717</v>
      </c>
      <c r="BD24" s="194">
        <f t="shared" si="61"/>
        <v>237.66674343790493</v>
      </c>
      <c r="BE24" s="194">
        <f t="shared" si="61"/>
        <v>233.09316054035605</v>
      </c>
      <c r="BF24" s="194">
        <f t="shared" si="61"/>
        <v>228.4928984092382</v>
      </c>
      <c r="BG24" s="194">
        <f t="shared" si="61"/>
        <v>223.8658014156888</v>
      </c>
      <c r="BH24" s="194">
        <f t="shared" si="61"/>
        <v>219.21171302301036</v>
      </c>
      <c r="BI24" s="194">
        <f t="shared" si="61"/>
        <v>214.5304757813746</v>
      </c>
      <c r="BJ24" s="194">
        <f t="shared" si="61"/>
        <v>209.82193132249603</v>
      </c>
      <c r="BK24" s="194">
        <f t="shared" si="61"/>
        <v>205.08592035427398</v>
      </c>
      <c r="BL24" s="194">
        <f t="shared" si="61"/>
        <v>200.32228265540397</v>
      </c>
      <c r="BM24" s="194">
        <f t="shared" si="61"/>
        <v>195.53085706995722</v>
      </c>
      <c r="BN24" s="194">
        <f t="shared" si="61"/>
        <v>190.71148150192863</v>
      </c>
      <c r="BO24" s="195">
        <f>SUM(BC24:BN24)</f>
        <v>2600.54706733981</v>
      </c>
      <c r="BP24" s="194">
        <f aca="true" t="shared" si="62" ref="BP24:CA24">BP40+BP56+BP72+BP88</f>
        <v>185.86399290975325</v>
      </c>
      <c r="BQ24" s="194">
        <f t="shared" si="62"/>
        <v>180.98822730079024</v>
      </c>
      <c r="BR24" s="194">
        <f t="shared" si="62"/>
        <v>176.0840197257749</v>
      </c>
      <c r="BS24" s="194">
        <f t="shared" si="62"/>
        <v>171.1512042732386</v>
      </c>
      <c r="BT24" s="194">
        <f t="shared" si="62"/>
        <v>166.18961406389587</v>
      </c>
      <c r="BU24" s="194">
        <f t="shared" si="62"/>
        <v>161.19908124499867</v>
      </c>
      <c r="BV24" s="194">
        <f t="shared" si="62"/>
        <v>156.17943698465785</v>
      </c>
      <c r="BW24" s="194">
        <f t="shared" si="62"/>
        <v>151.13051146613174</v>
      </c>
      <c r="BX24" s="194">
        <f t="shared" si="62"/>
        <v>146.05213388208088</v>
      </c>
      <c r="BY24" s="194">
        <f t="shared" si="62"/>
        <v>140.94413242878974</v>
      </c>
      <c r="BZ24" s="194">
        <f t="shared" si="62"/>
        <v>135.8063343003544</v>
      </c>
      <c r="CA24" s="194">
        <f t="shared" si="62"/>
        <v>130.63856568283651</v>
      </c>
      <c r="CB24" s="195">
        <f>SUM(BP24:CA24)</f>
        <v>1902.2272542633027</v>
      </c>
      <c r="CC24" s="194">
        <f aca="true" t="shared" si="63" ref="CC24:CN24">CC40+CC56+CC72+CC88</f>
        <v>125.44065174838309</v>
      </c>
      <c r="CD24" s="194">
        <f t="shared" si="63"/>
        <v>120.21241664931203</v>
      </c>
      <c r="CE24" s="194">
        <f t="shared" si="63"/>
        <v>114.95368351216305</v>
      </c>
      <c r="CF24" s="194">
        <f t="shared" si="63"/>
        <v>109.66427443171405</v>
      </c>
      <c r="CG24" s="194">
        <f t="shared" si="63"/>
        <v>104.34401046496242</v>
      </c>
      <c r="CH24" s="194">
        <f t="shared" si="63"/>
        <v>98.99271162507142</v>
      </c>
      <c r="CI24" s="194">
        <f t="shared" si="63"/>
        <v>93.61019687528105</v>
      </c>
      <c r="CJ24" s="194">
        <f t="shared" si="63"/>
        <v>88.19628412278357</v>
      </c>
      <c r="CK24" s="194">
        <f t="shared" si="63"/>
        <v>82.75079021256317</v>
      </c>
      <c r="CL24" s="194">
        <f t="shared" si="63"/>
        <v>77.27353092119984</v>
      </c>
      <c r="CM24" s="194">
        <f t="shared" si="63"/>
        <v>71.76432095063689</v>
      </c>
      <c r="CN24" s="194">
        <f t="shared" si="63"/>
        <v>66.22297392191231</v>
      </c>
      <c r="CO24" s="195">
        <f>SUM(CC24:CN24)</f>
        <v>1153.425845435983</v>
      </c>
      <c r="CP24" s="194">
        <f aca="true" t="shared" si="64" ref="CP24:DA24">CP40+CP56+CP72+CP88</f>
        <v>60.64930236885351</v>
      </c>
      <c r="CQ24" s="194">
        <f t="shared" si="64"/>
        <v>55.0431177317352</v>
      </c>
      <c r="CR24" s="194">
        <f t="shared" si="64"/>
        <v>49.40423035090036</v>
      </c>
      <c r="CS24" s="194">
        <f t="shared" si="64"/>
        <v>43.732449460344</v>
      </c>
      <c r="CT24" s="194">
        <f t="shared" si="64"/>
        <v>38.02758318125938</v>
      </c>
      <c r="CU24" s="194">
        <f t="shared" si="64"/>
        <v>32.28943851554676</v>
      </c>
      <c r="CV24" s="194">
        <f t="shared" si="64"/>
        <v>26.51782133928417</v>
      </c>
      <c r="CW24" s="194">
        <f t="shared" si="64"/>
        <v>20.71253639616004</v>
      </c>
      <c r="CX24" s="194">
        <f t="shared" si="64"/>
        <v>14.873387290867683</v>
      </c>
      <c r="CY24" s="194">
        <f t="shared" si="64"/>
        <v>9.000176482461121</v>
      </c>
      <c r="CZ24" s="194">
        <f t="shared" si="64"/>
        <v>3.0927052776721893</v>
      </c>
      <c r="DA24" s="194">
        <f t="shared" si="64"/>
        <v>1.4387543008827683E-12</v>
      </c>
      <c r="DB24" s="195">
        <f>SUM(CP24:DA24)</f>
        <v>353.3427483950859</v>
      </c>
      <c r="DC24" s="194">
        <f aca="true" t="shared" si="65" ref="DC24:DN24">DC40+DC56+DC72+DC88</f>
        <v>1.4387543008827683E-12</v>
      </c>
      <c r="DD24" s="194">
        <f t="shared" si="65"/>
        <v>1.4387543008827683E-12</v>
      </c>
      <c r="DE24" s="194">
        <f t="shared" si="65"/>
        <v>1.4387543008827683E-12</v>
      </c>
      <c r="DF24" s="194">
        <f t="shared" si="65"/>
        <v>1.4387543008827683E-12</v>
      </c>
      <c r="DG24" s="194">
        <f t="shared" si="65"/>
        <v>1.4387543008827683E-12</v>
      </c>
      <c r="DH24" s="194">
        <f t="shared" si="65"/>
        <v>1.4387543008827683E-12</v>
      </c>
      <c r="DI24" s="194">
        <f t="shared" si="65"/>
        <v>1.4387543008827683E-12</v>
      </c>
      <c r="DJ24" s="194">
        <f t="shared" si="65"/>
        <v>1.4387543008827683E-12</v>
      </c>
      <c r="DK24" s="194">
        <f t="shared" si="65"/>
        <v>1.4387543008827683E-12</v>
      </c>
      <c r="DL24" s="194">
        <f t="shared" si="65"/>
        <v>1.4387543008827683E-12</v>
      </c>
      <c r="DM24" s="194">
        <f t="shared" si="65"/>
        <v>1.4387543008827683E-12</v>
      </c>
      <c r="DN24" s="194">
        <f t="shared" si="65"/>
        <v>1.4387543008827683E-12</v>
      </c>
      <c r="DO24" s="195">
        <f>SUM(DC24:DN24)</f>
        <v>1.726505161059322E-11</v>
      </c>
    </row>
    <row r="25" spans="1:119" ht="12.75">
      <c r="A25" s="188" t="s">
        <v>14</v>
      </c>
      <c r="B25" s="193">
        <f>O25+AB25+AO25+BB25+BO25+CB25+CO25+DB25+DO25</f>
        <v>61920.89859999975</v>
      </c>
      <c r="C25" s="194">
        <f t="shared" si="49"/>
        <v>0</v>
      </c>
      <c r="D25" s="194">
        <f t="shared" si="49"/>
        <v>0</v>
      </c>
      <c r="E25" s="194">
        <f t="shared" si="49"/>
        <v>0</v>
      </c>
      <c r="F25" s="194">
        <f t="shared" si="49"/>
        <v>0</v>
      </c>
      <c r="G25" s="194">
        <f t="shared" si="49"/>
        <v>0</v>
      </c>
      <c r="H25" s="194">
        <f t="shared" si="49"/>
        <v>0</v>
      </c>
      <c r="I25" s="194">
        <f t="shared" si="49"/>
        <v>0</v>
      </c>
      <c r="J25" s="194">
        <f t="shared" si="49"/>
        <v>0</v>
      </c>
      <c r="K25" s="194">
        <f t="shared" si="49"/>
        <v>0</v>
      </c>
      <c r="L25" s="194">
        <f t="shared" si="49"/>
        <v>0</v>
      </c>
      <c r="M25" s="194">
        <f t="shared" si="49"/>
        <v>0</v>
      </c>
      <c r="N25" s="194">
        <f t="shared" si="49"/>
        <v>0</v>
      </c>
      <c r="O25" s="195">
        <f>SUM(C25:N25)</f>
        <v>0</v>
      </c>
      <c r="P25" s="194">
        <f aca="true" t="shared" si="66" ref="P25:AA25">P41+P57+P73+P89</f>
        <v>0</v>
      </c>
      <c r="Q25" s="194">
        <f t="shared" si="66"/>
        <v>0</v>
      </c>
      <c r="R25" s="194">
        <f t="shared" si="66"/>
        <v>0</v>
      </c>
      <c r="S25" s="194">
        <f t="shared" si="66"/>
        <v>0</v>
      </c>
      <c r="T25" s="194">
        <f t="shared" si="66"/>
        <v>0</v>
      </c>
      <c r="U25" s="194">
        <f t="shared" si="66"/>
        <v>0</v>
      </c>
      <c r="V25" s="194">
        <f t="shared" si="66"/>
        <v>0</v>
      </c>
      <c r="W25" s="194">
        <f t="shared" si="66"/>
        <v>315.76088299647796</v>
      </c>
      <c r="X25" s="194">
        <f t="shared" si="66"/>
        <v>662.3462225256623</v>
      </c>
      <c r="Y25" s="194">
        <f t="shared" si="66"/>
        <v>666.2099088237286</v>
      </c>
      <c r="Z25" s="194">
        <f t="shared" si="66"/>
        <v>670.0961332918671</v>
      </c>
      <c r="AA25" s="194">
        <f t="shared" si="66"/>
        <v>674.0050274027362</v>
      </c>
      <c r="AB25" s="195">
        <f>SUM(P25:AA25)</f>
        <v>2988.4181750404723</v>
      </c>
      <c r="AC25" s="194">
        <f aca="true" t="shared" si="67" ref="AC25:AN25">AC41+AC57+AC73+AC89</f>
        <v>677.9367233959189</v>
      </c>
      <c r="AD25" s="194">
        <f t="shared" si="67"/>
        <v>681.891354282395</v>
      </c>
      <c r="AE25" s="194">
        <f t="shared" si="67"/>
        <v>685.8690538490424</v>
      </c>
      <c r="AF25" s="194">
        <f t="shared" si="67"/>
        <v>689.8699566631617</v>
      </c>
      <c r="AG25" s="194">
        <f t="shared" si="67"/>
        <v>693.8941980770302</v>
      </c>
      <c r="AH25" s="194">
        <f t="shared" si="67"/>
        <v>697.9419142324796</v>
      </c>
      <c r="AI25" s="194">
        <f t="shared" si="67"/>
        <v>702.0132420655024</v>
      </c>
      <c r="AJ25" s="194">
        <f t="shared" si="67"/>
        <v>706.1083193108844</v>
      </c>
      <c r="AK25" s="194">
        <f t="shared" si="67"/>
        <v>710.2272845068646</v>
      </c>
      <c r="AL25" s="194">
        <f t="shared" si="67"/>
        <v>714.3702769998214</v>
      </c>
      <c r="AM25" s="194">
        <f t="shared" si="67"/>
        <v>718.537436948987</v>
      </c>
      <c r="AN25" s="194">
        <f t="shared" si="67"/>
        <v>722.7289053311894</v>
      </c>
      <c r="AO25" s="195">
        <f>SUM(AC25:AN25)</f>
        <v>8401.388665663279</v>
      </c>
      <c r="AP25" s="194">
        <f aca="true" t="shared" si="68" ref="AP25:BA25">AP41+AP57+AP73+AP89</f>
        <v>726.9448239456212</v>
      </c>
      <c r="AQ25" s="194">
        <f t="shared" si="68"/>
        <v>731.1853354186375</v>
      </c>
      <c r="AR25" s="194">
        <f t="shared" si="68"/>
        <v>735.4505832085795</v>
      </c>
      <c r="AS25" s="194">
        <f t="shared" si="68"/>
        <v>739.7407116106295</v>
      </c>
      <c r="AT25" s="194">
        <f t="shared" si="68"/>
        <v>744.0558657616915</v>
      </c>
      <c r="AU25" s="194">
        <f t="shared" si="68"/>
        <v>748.3961916453014</v>
      </c>
      <c r="AV25" s="194">
        <f t="shared" si="68"/>
        <v>752.7618360965657</v>
      </c>
      <c r="AW25" s="194">
        <f t="shared" si="68"/>
        <v>757.152946807129</v>
      </c>
      <c r="AX25" s="194">
        <f t="shared" si="68"/>
        <v>761.5696723301705</v>
      </c>
      <c r="AY25" s="194">
        <f t="shared" si="68"/>
        <v>766.01216208543</v>
      </c>
      <c r="AZ25" s="194">
        <f t="shared" si="68"/>
        <v>770.4805663642616</v>
      </c>
      <c r="BA25" s="194">
        <f t="shared" si="68"/>
        <v>774.9750363347198</v>
      </c>
      <c r="BB25" s="195">
        <f>SUM(AP25:BA25)</f>
        <v>9008.725731608736</v>
      </c>
      <c r="BC25" s="194">
        <f aca="true" t="shared" si="69" ref="BC25:BN25">BC41+BC57+BC73+BC89</f>
        <v>779.4957240466723</v>
      </c>
      <c r="BD25" s="194">
        <f t="shared" si="69"/>
        <v>784.0427824369445</v>
      </c>
      <c r="BE25" s="194">
        <f t="shared" si="69"/>
        <v>788.6163653344934</v>
      </c>
      <c r="BF25" s="194">
        <f t="shared" si="69"/>
        <v>793.2166274656113</v>
      </c>
      <c r="BG25" s="194">
        <f t="shared" si="69"/>
        <v>797.8437244591607</v>
      </c>
      <c r="BH25" s="194">
        <f t="shared" si="69"/>
        <v>802.4978128518392</v>
      </c>
      <c r="BI25" s="194">
        <f t="shared" si="69"/>
        <v>807.1790500934749</v>
      </c>
      <c r="BJ25" s="194">
        <f t="shared" si="69"/>
        <v>811.8875945523534</v>
      </c>
      <c r="BK25" s="194">
        <f t="shared" si="69"/>
        <v>816.6236055205754</v>
      </c>
      <c r="BL25" s="194">
        <f t="shared" si="69"/>
        <v>821.3872432194455</v>
      </c>
      <c r="BM25" s="194">
        <f t="shared" si="69"/>
        <v>826.1786688048923</v>
      </c>
      <c r="BN25" s="194">
        <f t="shared" si="69"/>
        <v>830.9980443729208</v>
      </c>
      <c r="BO25" s="195">
        <f>SUM(BC25:BN25)</f>
        <v>9659.967243158382</v>
      </c>
      <c r="BP25" s="194">
        <f aca="true" t="shared" si="70" ref="BP25:CA25">BP41+BP57+BP73+BP89</f>
        <v>835.8455329650963</v>
      </c>
      <c r="BQ25" s="194">
        <f t="shared" si="70"/>
        <v>840.7212985740592</v>
      </c>
      <c r="BR25" s="194">
        <f t="shared" si="70"/>
        <v>845.6255061490746</v>
      </c>
      <c r="BS25" s="194">
        <f t="shared" si="70"/>
        <v>850.5583216016109</v>
      </c>
      <c r="BT25" s="194">
        <f t="shared" si="70"/>
        <v>855.5199118109535</v>
      </c>
      <c r="BU25" s="194">
        <f t="shared" si="70"/>
        <v>860.5104446298508</v>
      </c>
      <c r="BV25" s="194">
        <f t="shared" si="70"/>
        <v>865.5300888901916</v>
      </c>
      <c r="BW25" s="194">
        <f t="shared" si="70"/>
        <v>870.5790144087177</v>
      </c>
      <c r="BX25" s="194">
        <f t="shared" si="70"/>
        <v>875.6573919927687</v>
      </c>
      <c r="BY25" s="194">
        <f t="shared" si="70"/>
        <v>880.7653934460598</v>
      </c>
      <c r="BZ25" s="194">
        <f t="shared" si="70"/>
        <v>885.903191574495</v>
      </c>
      <c r="CA25" s="194">
        <f t="shared" si="70"/>
        <v>891.070960192013</v>
      </c>
      <c r="CB25" s="195">
        <f>SUM(BP25:CA25)</f>
        <v>10358.287056234893</v>
      </c>
      <c r="CC25" s="194">
        <f aca="true" t="shared" si="71" ref="CC25:CN25">CC41+CC57+CC73+CC89</f>
        <v>896.2688741264665</v>
      </c>
      <c r="CD25" s="194">
        <f t="shared" si="71"/>
        <v>901.4971092255374</v>
      </c>
      <c r="CE25" s="194">
        <f t="shared" si="71"/>
        <v>906.7558423626865</v>
      </c>
      <c r="CF25" s="194">
        <f t="shared" si="71"/>
        <v>912.0452514431354</v>
      </c>
      <c r="CG25" s="194">
        <f t="shared" si="71"/>
        <v>917.365515409887</v>
      </c>
      <c r="CH25" s="194">
        <f t="shared" si="71"/>
        <v>922.716814249778</v>
      </c>
      <c r="CI25" s="194">
        <f t="shared" si="71"/>
        <v>928.0993289995683</v>
      </c>
      <c r="CJ25" s="194">
        <f t="shared" si="71"/>
        <v>933.5132417520659</v>
      </c>
      <c r="CK25" s="194">
        <f t="shared" si="71"/>
        <v>938.9587356622862</v>
      </c>
      <c r="CL25" s="194">
        <f t="shared" si="71"/>
        <v>944.4359949536496</v>
      </c>
      <c r="CM25" s="194">
        <f t="shared" si="71"/>
        <v>949.9452049242126</v>
      </c>
      <c r="CN25" s="194">
        <f t="shared" si="71"/>
        <v>955.4865519529371</v>
      </c>
      <c r="CO25" s="195">
        <f>SUM(CC25:CN25)</f>
        <v>11107.088465062212</v>
      </c>
      <c r="CP25" s="194">
        <f aca="true" t="shared" si="72" ref="CP25:DA25">CP41+CP57+CP73+CP89</f>
        <v>961.060223505996</v>
      </c>
      <c r="CQ25" s="194">
        <f t="shared" si="72"/>
        <v>966.6664081431143</v>
      </c>
      <c r="CR25" s="194">
        <f t="shared" si="72"/>
        <v>972.3052955239491</v>
      </c>
      <c r="CS25" s="194">
        <f t="shared" si="72"/>
        <v>977.9770764145055</v>
      </c>
      <c r="CT25" s="194">
        <f t="shared" si="72"/>
        <v>983.6819426935901</v>
      </c>
      <c r="CU25" s="194">
        <f t="shared" si="72"/>
        <v>989.4200873593027</v>
      </c>
      <c r="CV25" s="194">
        <f t="shared" si="72"/>
        <v>995.1917045355653</v>
      </c>
      <c r="CW25" s="194">
        <f t="shared" si="72"/>
        <v>1000.9969894786893</v>
      </c>
      <c r="CX25" s="194">
        <f t="shared" si="72"/>
        <v>1006.8361385839819</v>
      </c>
      <c r="CY25" s="194">
        <f t="shared" si="72"/>
        <v>1012.7093493923884</v>
      </c>
      <c r="CZ25" s="194">
        <f t="shared" si="72"/>
        <v>530.1780476007</v>
      </c>
      <c r="DA25" s="194">
        <f t="shared" si="72"/>
        <v>0</v>
      </c>
      <c r="DB25" s="195">
        <f>SUM(CP25:DA25)</f>
        <v>10397.023263231784</v>
      </c>
      <c r="DC25" s="194">
        <f aca="true" t="shared" si="73" ref="DC25:DN25">DC41+DC57+DC73+DC89</f>
        <v>0</v>
      </c>
      <c r="DD25" s="194">
        <f t="shared" si="73"/>
        <v>0</v>
      </c>
      <c r="DE25" s="194">
        <f t="shared" si="73"/>
        <v>0</v>
      </c>
      <c r="DF25" s="194">
        <f t="shared" si="73"/>
        <v>0</v>
      </c>
      <c r="DG25" s="194">
        <f t="shared" si="73"/>
        <v>0</v>
      </c>
      <c r="DH25" s="194">
        <f t="shared" si="73"/>
        <v>0</v>
      </c>
      <c r="DI25" s="194">
        <f t="shared" si="73"/>
        <v>0</v>
      </c>
      <c r="DJ25" s="194">
        <f t="shared" si="73"/>
        <v>0</v>
      </c>
      <c r="DK25" s="194">
        <f t="shared" si="73"/>
        <v>0</v>
      </c>
      <c r="DL25" s="194">
        <f t="shared" si="73"/>
        <v>0</v>
      </c>
      <c r="DM25" s="194">
        <f t="shared" si="73"/>
        <v>0</v>
      </c>
      <c r="DN25" s="194">
        <f t="shared" si="73"/>
        <v>0</v>
      </c>
      <c r="DO25" s="195">
        <f>SUM(DC25:DN25)</f>
        <v>0</v>
      </c>
    </row>
    <row r="26" spans="1:119" ht="12.75">
      <c r="A26" s="188" t="s">
        <v>15</v>
      </c>
      <c r="B26" s="193">
        <f>O26+AB26+AO26+BB26+BO26+CB26+CO26+DB26+DO26</f>
        <v>16874.54729161398</v>
      </c>
      <c r="C26" s="194">
        <f t="shared" si="49"/>
        <v>0</v>
      </c>
      <c r="D26" s="194">
        <f t="shared" si="49"/>
        <v>0</v>
      </c>
      <c r="E26" s="194">
        <f t="shared" si="49"/>
        <v>0</v>
      </c>
      <c r="F26" s="194">
        <f t="shared" si="49"/>
        <v>0</v>
      </c>
      <c r="G26" s="194">
        <f t="shared" si="49"/>
        <v>0</v>
      </c>
      <c r="H26" s="194">
        <f t="shared" si="49"/>
        <v>0</v>
      </c>
      <c r="I26" s="194">
        <f t="shared" si="49"/>
        <v>0</v>
      </c>
      <c r="J26" s="194">
        <f t="shared" si="49"/>
        <v>0</v>
      </c>
      <c r="K26" s="194">
        <f t="shared" si="49"/>
        <v>0</v>
      </c>
      <c r="L26" s="194">
        <f t="shared" si="49"/>
        <v>0</v>
      </c>
      <c r="M26" s="194">
        <f t="shared" si="49"/>
        <v>0</v>
      </c>
      <c r="N26" s="194">
        <f t="shared" si="49"/>
        <v>0</v>
      </c>
      <c r="O26" s="195">
        <f>SUM(C26:N26)</f>
        <v>0</v>
      </c>
      <c r="P26" s="194">
        <f aca="true" t="shared" si="74" ref="P26:AA26">P42+P58+P74+P90</f>
        <v>0</v>
      </c>
      <c r="Q26" s="194">
        <f t="shared" si="74"/>
        <v>172.67789000000005</v>
      </c>
      <c r="R26" s="194">
        <f t="shared" si="74"/>
        <v>361.2052418333334</v>
      </c>
      <c r="S26" s="194">
        <f t="shared" si="74"/>
        <v>361.2052418333334</v>
      </c>
      <c r="T26" s="194">
        <f t="shared" si="74"/>
        <v>361.2052418333334</v>
      </c>
      <c r="U26" s="194">
        <f t="shared" si="74"/>
        <v>361.2052418333334</v>
      </c>
      <c r="V26" s="194">
        <f t="shared" si="74"/>
        <v>361.2052418333334</v>
      </c>
      <c r="W26" s="194">
        <f t="shared" si="74"/>
        <v>361.2052418333334</v>
      </c>
      <c r="X26" s="194">
        <f t="shared" si="74"/>
        <v>359.3633033491873</v>
      </c>
      <c r="Y26" s="194">
        <f t="shared" si="74"/>
        <v>355.49961705112094</v>
      </c>
      <c r="Z26" s="194">
        <f t="shared" si="74"/>
        <v>351.61339258298244</v>
      </c>
      <c r="AA26" s="194">
        <f t="shared" si="74"/>
        <v>347.70449847211324</v>
      </c>
      <c r="AB26" s="195">
        <f>SUM(P26:AA26)</f>
        <v>3754.0901524554038</v>
      </c>
      <c r="AC26" s="194">
        <f aca="true" t="shared" si="75" ref="AC26:AN26">AC42+AC58+AC74+AC90</f>
        <v>343.77280247893066</v>
      </c>
      <c r="AD26" s="194">
        <f t="shared" si="75"/>
        <v>339.8181715924544</v>
      </c>
      <c r="AE26" s="194">
        <f t="shared" si="75"/>
        <v>335.8404720258071</v>
      </c>
      <c r="AF26" s="194">
        <f t="shared" si="75"/>
        <v>331.8395692116877</v>
      </c>
      <c r="AG26" s="194">
        <f t="shared" si="75"/>
        <v>327.8153277978193</v>
      </c>
      <c r="AH26" s="194">
        <f t="shared" si="75"/>
        <v>323.76761164236996</v>
      </c>
      <c r="AI26" s="194">
        <f t="shared" si="75"/>
        <v>319.6962838093471</v>
      </c>
      <c r="AJ26" s="194">
        <f t="shared" si="75"/>
        <v>315.601206563965</v>
      </c>
      <c r="AK26" s="194">
        <f t="shared" si="75"/>
        <v>311.48224136798484</v>
      </c>
      <c r="AL26" s="194">
        <f t="shared" si="75"/>
        <v>307.3392488750281</v>
      </c>
      <c r="AM26" s="194">
        <f t="shared" si="75"/>
        <v>303.1720889258625</v>
      </c>
      <c r="AN26" s="194">
        <f t="shared" si="75"/>
        <v>298.98062054366005</v>
      </c>
      <c r="AO26" s="195">
        <f>SUM(AC26:AN26)</f>
        <v>3859.125644834917</v>
      </c>
      <c r="AP26" s="194">
        <f aca="true" t="shared" si="76" ref="AP26:BA26">AP42+AP58+AP74+AP90</f>
        <v>294.7647019292282</v>
      </c>
      <c r="AQ26" s="194">
        <f t="shared" si="76"/>
        <v>290.524190456212</v>
      </c>
      <c r="AR26" s="194">
        <f t="shared" si="76"/>
        <v>286.25894266626995</v>
      </c>
      <c r="AS26" s="194">
        <f t="shared" si="76"/>
        <v>281.96881426421993</v>
      </c>
      <c r="AT26" s="194">
        <f t="shared" si="76"/>
        <v>277.6536601131579</v>
      </c>
      <c r="AU26" s="194">
        <f t="shared" si="76"/>
        <v>273.3133342295481</v>
      </c>
      <c r="AV26" s="194">
        <f t="shared" si="76"/>
        <v>268.9476897782838</v>
      </c>
      <c r="AW26" s="194">
        <f t="shared" si="76"/>
        <v>264.55657906772046</v>
      </c>
      <c r="AX26" s="194">
        <f t="shared" si="76"/>
        <v>260.1398535446789</v>
      </c>
      <c r="AY26" s="194">
        <f t="shared" si="76"/>
        <v>255.69736378941957</v>
      </c>
      <c r="AZ26" s="194">
        <f t="shared" si="76"/>
        <v>251.2289595105879</v>
      </c>
      <c r="BA26" s="194">
        <f t="shared" si="76"/>
        <v>246.7344895401297</v>
      </c>
      <c r="BB26" s="195">
        <f>SUM(AP26:BA26)</f>
        <v>3251.7885788894564</v>
      </c>
      <c r="BC26" s="194">
        <f aca="true" t="shared" si="77" ref="BC26:BN26">BC42+BC58+BC74+BC90</f>
        <v>242.21380182817717</v>
      </c>
      <c r="BD26" s="194">
        <f t="shared" si="77"/>
        <v>237.66674343790493</v>
      </c>
      <c r="BE26" s="194">
        <f t="shared" si="77"/>
        <v>233.09316054035605</v>
      </c>
      <c r="BF26" s="194">
        <f t="shared" si="77"/>
        <v>228.4928984092382</v>
      </c>
      <c r="BG26" s="194">
        <f t="shared" si="77"/>
        <v>223.8658014156888</v>
      </c>
      <c r="BH26" s="194">
        <f t="shared" si="77"/>
        <v>219.21171302301036</v>
      </c>
      <c r="BI26" s="194">
        <f t="shared" si="77"/>
        <v>214.5304757813746</v>
      </c>
      <c r="BJ26" s="194">
        <f t="shared" si="77"/>
        <v>209.82193132249603</v>
      </c>
      <c r="BK26" s="194">
        <f t="shared" si="77"/>
        <v>205.08592035427398</v>
      </c>
      <c r="BL26" s="194">
        <f t="shared" si="77"/>
        <v>200.32228265540397</v>
      </c>
      <c r="BM26" s="194">
        <f t="shared" si="77"/>
        <v>195.53085706995722</v>
      </c>
      <c r="BN26" s="194">
        <f t="shared" si="77"/>
        <v>190.71148150192863</v>
      </c>
      <c r="BO26" s="195">
        <f>SUM(BC26:BN26)</f>
        <v>2600.54706733981</v>
      </c>
      <c r="BP26" s="194">
        <f aca="true" t="shared" si="78" ref="BP26:CA26">BP42+BP58+BP74+BP90</f>
        <v>185.86399290975325</v>
      </c>
      <c r="BQ26" s="194">
        <f t="shared" si="78"/>
        <v>180.98822730079024</v>
      </c>
      <c r="BR26" s="194">
        <f t="shared" si="78"/>
        <v>176.0840197257749</v>
      </c>
      <c r="BS26" s="194">
        <f t="shared" si="78"/>
        <v>171.1512042732386</v>
      </c>
      <c r="BT26" s="194">
        <f t="shared" si="78"/>
        <v>166.18961406389587</v>
      </c>
      <c r="BU26" s="194">
        <f t="shared" si="78"/>
        <v>161.19908124499867</v>
      </c>
      <c r="BV26" s="194">
        <f t="shared" si="78"/>
        <v>156.17943698465785</v>
      </c>
      <c r="BW26" s="194">
        <f t="shared" si="78"/>
        <v>151.13051146613174</v>
      </c>
      <c r="BX26" s="194">
        <f t="shared" si="78"/>
        <v>146.05213388208088</v>
      </c>
      <c r="BY26" s="194">
        <f t="shared" si="78"/>
        <v>140.94413242878974</v>
      </c>
      <c r="BZ26" s="194">
        <f t="shared" si="78"/>
        <v>135.8063343003544</v>
      </c>
      <c r="CA26" s="194">
        <f t="shared" si="78"/>
        <v>130.63856568283651</v>
      </c>
      <c r="CB26" s="195">
        <f>SUM(BP26:CA26)</f>
        <v>1902.2272542633027</v>
      </c>
      <c r="CC26" s="194">
        <f aca="true" t="shared" si="79" ref="CC26:CN26">CC42+CC58+CC74+CC90</f>
        <v>125.44065174838309</v>
      </c>
      <c r="CD26" s="194">
        <f t="shared" si="79"/>
        <v>120.21241664931203</v>
      </c>
      <c r="CE26" s="194">
        <f t="shared" si="79"/>
        <v>114.95368351216305</v>
      </c>
      <c r="CF26" s="194">
        <f t="shared" si="79"/>
        <v>109.66427443171405</v>
      </c>
      <c r="CG26" s="194">
        <f t="shared" si="79"/>
        <v>104.34401046496242</v>
      </c>
      <c r="CH26" s="194">
        <f t="shared" si="79"/>
        <v>98.99271162507142</v>
      </c>
      <c r="CI26" s="194">
        <f t="shared" si="79"/>
        <v>93.61019687528105</v>
      </c>
      <c r="CJ26" s="194">
        <f t="shared" si="79"/>
        <v>88.19628412278357</v>
      </c>
      <c r="CK26" s="194">
        <f t="shared" si="79"/>
        <v>82.75079021256317</v>
      </c>
      <c r="CL26" s="194">
        <f t="shared" si="79"/>
        <v>77.27353092119984</v>
      </c>
      <c r="CM26" s="194">
        <f t="shared" si="79"/>
        <v>71.76432095063689</v>
      </c>
      <c r="CN26" s="194">
        <f t="shared" si="79"/>
        <v>66.22297392191231</v>
      </c>
      <c r="CO26" s="195">
        <f>SUM(CC26:CN26)</f>
        <v>1153.425845435983</v>
      </c>
      <c r="CP26" s="194">
        <f aca="true" t="shared" si="80" ref="CP26:DA26">CP42+CP58+CP74+CP90</f>
        <v>60.64930236885351</v>
      </c>
      <c r="CQ26" s="194">
        <f t="shared" si="80"/>
        <v>55.0431177317352</v>
      </c>
      <c r="CR26" s="194">
        <f t="shared" si="80"/>
        <v>49.40423035090036</v>
      </c>
      <c r="CS26" s="194">
        <f t="shared" si="80"/>
        <v>43.732449460344</v>
      </c>
      <c r="CT26" s="194">
        <f t="shared" si="80"/>
        <v>38.02758318125938</v>
      </c>
      <c r="CU26" s="194">
        <f t="shared" si="80"/>
        <v>32.28943851554676</v>
      </c>
      <c r="CV26" s="194">
        <f t="shared" si="80"/>
        <v>26.51782133928417</v>
      </c>
      <c r="CW26" s="194">
        <f t="shared" si="80"/>
        <v>20.71253639616004</v>
      </c>
      <c r="CX26" s="194">
        <f t="shared" si="80"/>
        <v>14.873387290867683</v>
      </c>
      <c r="CY26" s="194">
        <f t="shared" si="80"/>
        <v>9.000176482461121</v>
      </c>
      <c r="CZ26" s="194">
        <f t="shared" si="80"/>
        <v>3.0927052776721893</v>
      </c>
      <c r="DA26" s="194">
        <f t="shared" si="80"/>
        <v>1.4387543008827683E-12</v>
      </c>
      <c r="DB26" s="195">
        <f>SUM(CP26:DA26)</f>
        <v>353.3427483950859</v>
      </c>
      <c r="DC26" s="194">
        <f aca="true" t="shared" si="81" ref="DC26:DN26">DC42+DC58+DC74+DC90</f>
        <v>1.4387543008827683E-12</v>
      </c>
      <c r="DD26" s="194">
        <f t="shared" si="81"/>
        <v>1.4387543008827683E-12</v>
      </c>
      <c r="DE26" s="194">
        <f t="shared" si="81"/>
        <v>1.4387543008827683E-12</v>
      </c>
      <c r="DF26" s="194">
        <f t="shared" si="81"/>
        <v>1.4387543008827683E-12</v>
      </c>
      <c r="DG26" s="194">
        <f t="shared" si="81"/>
        <v>1.4387543008827683E-12</v>
      </c>
      <c r="DH26" s="194">
        <f t="shared" si="81"/>
        <v>1.4387543008827683E-12</v>
      </c>
      <c r="DI26" s="194">
        <f t="shared" si="81"/>
        <v>1.4387543008827683E-12</v>
      </c>
      <c r="DJ26" s="194">
        <f t="shared" si="81"/>
        <v>1.4387543008827683E-12</v>
      </c>
      <c r="DK26" s="194">
        <f t="shared" si="81"/>
        <v>1.4387543008827683E-12</v>
      </c>
      <c r="DL26" s="194">
        <f t="shared" si="81"/>
        <v>1.4387543008827683E-12</v>
      </c>
      <c r="DM26" s="194">
        <f t="shared" si="81"/>
        <v>1.4387543008827683E-12</v>
      </c>
      <c r="DN26" s="194">
        <f t="shared" si="81"/>
        <v>1.4387543008827683E-12</v>
      </c>
      <c r="DO26" s="195">
        <f>SUM(DC26:DN26)</f>
        <v>1.726505161059322E-11</v>
      </c>
    </row>
    <row r="27" spans="1:119" ht="12.75">
      <c r="A27" s="188" t="s">
        <v>16</v>
      </c>
      <c r="B27" s="193">
        <f>DO27</f>
        <v>2.46643594437046E-10</v>
      </c>
      <c r="C27" s="194">
        <f t="shared" si="49"/>
        <v>0</v>
      </c>
      <c r="D27" s="194">
        <f t="shared" si="49"/>
        <v>0</v>
      </c>
      <c r="E27" s="194">
        <f t="shared" si="49"/>
        <v>0</v>
      </c>
      <c r="F27" s="194">
        <f t="shared" si="49"/>
        <v>0</v>
      </c>
      <c r="G27" s="194">
        <f t="shared" si="49"/>
        <v>0</v>
      </c>
      <c r="H27" s="194">
        <f t="shared" si="49"/>
        <v>0</v>
      </c>
      <c r="I27" s="194">
        <f t="shared" si="49"/>
        <v>0</v>
      </c>
      <c r="J27" s="194">
        <f t="shared" si="49"/>
        <v>0</v>
      </c>
      <c r="K27" s="194">
        <f t="shared" si="49"/>
        <v>0</v>
      </c>
      <c r="L27" s="194">
        <f t="shared" si="49"/>
        <v>29092.800000000003</v>
      </c>
      <c r="M27" s="194">
        <f t="shared" si="49"/>
        <v>60855.920000000006</v>
      </c>
      <c r="N27" s="194">
        <f t="shared" si="49"/>
        <v>60855.920000000006</v>
      </c>
      <c r="O27" s="195">
        <f>N27</f>
        <v>60855.920000000006</v>
      </c>
      <c r="P27" s="194">
        <f aca="true" t="shared" si="82" ref="P27:AA27">P43+P59+P75+P91</f>
        <v>61365.04400000001</v>
      </c>
      <c r="Q27" s="194">
        <f t="shared" si="82"/>
        <v>61920.8986</v>
      </c>
      <c r="R27" s="194">
        <f t="shared" si="82"/>
        <v>61920.8986</v>
      </c>
      <c r="S27" s="194">
        <f t="shared" si="82"/>
        <v>61920.8986</v>
      </c>
      <c r="T27" s="194">
        <f t="shared" si="82"/>
        <v>61920.8986</v>
      </c>
      <c r="U27" s="194">
        <f t="shared" si="82"/>
        <v>61920.8986</v>
      </c>
      <c r="V27" s="194">
        <f t="shared" si="82"/>
        <v>61920.8986</v>
      </c>
      <c r="W27" s="194">
        <f t="shared" si="82"/>
        <v>61605.13771700353</v>
      </c>
      <c r="X27" s="194">
        <f t="shared" si="82"/>
        <v>60942.79149447786</v>
      </c>
      <c r="Y27" s="194">
        <f t="shared" si="82"/>
        <v>60276.58158565413</v>
      </c>
      <c r="Z27" s="194">
        <f t="shared" si="82"/>
        <v>59606.48545236226</v>
      </c>
      <c r="AA27" s="194">
        <f t="shared" si="82"/>
        <v>58932.48042495953</v>
      </c>
      <c r="AB27" s="195">
        <f>AA27</f>
        <v>58932.48042495953</v>
      </c>
      <c r="AC27" s="194">
        <f aca="true" t="shared" si="83" ref="AC27:AN27">AC43+AC59+AC75+AC91</f>
        <v>58254.54370156361</v>
      </c>
      <c r="AD27" s="194">
        <f t="shared" si="83"/>
        <v>57572.65234728122</v>
      </c>
      <c r="AE27" s="194">
        <f t="shared" si="83"/>
        <v>56886.78329343218</v>
      </c>
      <c r="AF27" s="194">
        <f t="shared" si="83"/>
        <v>56196.91333676901</v>
      </c>
      <c r="AG27" s="194">
        <f t="shared" si="83"/>
        <v>55503.019138691976</v>
      </c>
      <c r="AH27" s="194">
        <f t="shared" si="83"/>
        <v>54805.0772244595</v>
      </c>
      <c r="AI27" s="194">
        <f t="shared" si="83"/>
        <v>54103.063982394</v>
      </c>
      <c r="AJ27" s="194">
        <f t="shared" si="83"/>
        <v>53396.95566308311</v>
      </c>
      <c r="AK27" s="194">
        <f t="shared" si="83"/>
        <v>52686.72837857624</v>
      </c>
      <c r="AL27" s="194">
        <f t="shared" si="83"/>
        <v>51972.35810157642</v>
      </c>
      <c r="AM27" s="194">
        <f t="shared" si="83"/>
        <v>51253.820664627434</v>
      </c>
      <c r="AN27" s="194">
        <f t="shared" si="83"/>
        <v>50531.09175929625</v>
      </c>
      <c r="AO27" s="195">
        <f>AN27</f>
        <v>50531.09175929625</v>
      </c>
      <c r="AP27" s="194">
        <f aca="true" t="shared" si="84" ref="AP27:BA27">AP43+AP59+AP75+AP91</f>
        <v>49804.146935350625</v>
      </c>
      <c r="AQ27" s="194">
        <f t="shared" si="84"/>
        <v>49072.961599931994</v>
      </c>
      <c r="AR27" s="194">
        <f t="shared" si="84"/>
        <v>48337.51101672341</v>
      </c>
      <c r="AS27" s="194">
        <f t="shared" si="84"/>
        <v>47597.77030511278</v>
      </c>
      <c r="AT27" s="194">
        <f t="shared" si="84"/>
        <v>46853.71443935109</v>
      </c>
      <c r="AU27" s="194">
        <f t="shared" si="84"/>
        <v>46105.318247705785</v>
      </c>
      <c r="AV27" s="194">
        <f t="shared" si="84"/>
        <v>45352.55641160922</v>
      </c>
      <c r="AW27" s="194">
        <f t="shared" si="84"/>
        <v>44595.40346480209</v>
      </c>
      <c r="AX27" s="194">
        <f t="shared" si="84"/>
        <v>43833.83379247192</v>
      </c>
      <c r="AY27" s="194">
        <f t="shared" si="84"/>
        <v>43067.82163038649</v>
      </c>
      <c r="AZ27" s="194">
        <f t="shared" si="84"/>
        <v>42297.34106402223</v>
      </c>
      <c r="BA27" s="194">
        <f t="shared" si="84"/>
        <v>41522.366027687516</v>
      </c>
      <c r="BB27" s="195">
        <f>BA27</f>
        <v>41522.366027687516</v>
      </c>
      <c r="BC27" s="194">
        <f aca="true" t="shared" si="85" ref="BC27:BN27">BC43+BC59+BC75+BC91</f>
        <v>40742.87030364084</v>
      </c>
      <c r="BD27" s="194">
        <f t="shared" si="85"/>
        <v>39958.82752120389</v>
      </c>
      <c r="BE27" s="194">
        <f t="shared" si="85"/>
        <v>39170.2111558694</v>
      </c>
      <c r="BF27" s="194">
        <f t="shared" si="85"/>
        <v>38376.99452840379</v>
      </c>
      <c r="BG27" s="194">
        <f t="shared" si="85"/>
        <v>37579.15080394463</v>
      </c>
      <c r="BH27" s="194">
        <f t="shared" si="85"/>
        <v>36776.65299109279</v>
      </c>
      <c r="BI27" s="194">
        <f t="shared" si="85"/>
        <v>35969.47394099932</v>
      </c>
      <c r="BJ27" s="194">
        <f t="shared" si="85"/>
        <v>35157.586346446966</v>
      </c>
      <c r="BK27" s="194">
        <f t="shared" si="85"/>
        <v>34340.96274092639</v>
      </c>
      <c r="BL27" s="194">
        <f t="shared" si="85"/>
        <v>33519.575497706945</v>
      </c>
      <c r="BM27" s="194">
        <f t="shared" si="85"/>
        <v>32693.396828902052</v>
      </c>
      <c r="BN27" s="194">
        <f t="shared" si="85"/>
        <v>31862.39878452913</v>
      </c>
      <c r="BO27" s="195">
        <f>BN27</f>
        <v>31862.39878452913</v>
      </c>
      <c r="BP27" s="194">
        <f aca="true" t="shared" si="86" ref="BP27:CA27">BP43+BP59+BP75+BP91</f>
        <v>31026.553251564037</v>
      </c>
      <c r="BQ27" s="194">
        <f t="shared" si="86"/>
        <v>30185.831952989975</v>
      </c>
      <c r="BR27" s="194">
        <f t="shared" si="86"/>
        <v>29340.2064468409</v>
      </c>
      <c r="BS27" s="194">
        <f t="shared" si="86"/>
        <v>28489.64812523929</v>
      </c>
      <c r="BT27" s="194">
        <f t="shared" si="86"/>
        <v>27634.12821342834</v>
      </c>
      <c r="BU27" s="194">
        <f t="shared" si="86"/>
        <v>26773.61776879849</v>
      </c>
      <c r="BV27" s="194">
        <f t="shared" si="86"/>
        <v>25908.087679908298</v>
      </c>
      <c r="BW27" s="194">
        <f t="shared" si="86"/>
        <v>25037.50866549958</v>
      </c>
      <c r="BX27" s="194">
        <f t="shared" si="86"/>
        <v>24161.85127350681</v>
      </c>
      <c r="BY27" s="194">
        <f t="shared" si="86"/>
        <v>23281.085880060753</v>
      </c>
      <c r="BZ27" s="194">
        <f t="shared" si="86"/>
        <v>22395.182688486253</v>
      </c>
      <c r="CA27" s="194">
        <f t="shared" si="86"/>
        <v>21504.111728294243</v>
      </c>
      <c r="CB27" s="195">
        <f>CA27</f>
        <v>21504.111728294243</v>
      </c>
      <c r="CC27" s="194">
        <f aca="true" t="shared" si="87" ref="CC27:CN27">CC43+CC59+CC75+CC91</f>
        <v>20607.842854167775</v>
      </c>
      <c r="CD27" s="194">
        <f t="shared" si="87"/>
        <v>19706.345744942235</v>
      </c>
      <c r="CE27" s="194">
        <f t="shared" si="87"/>
        <v>18799.58990257955</v>
      </c>
      <c r="CF27" s="194">
        <f t="shared" si="87"/>
        <v>17887.544651136413</v>
      </c>
      <c r="CG27" s="194">
        <f t="shared" si="87"/>
        <v>16970.17913572653</v>
      </c>
      <c r="CH27" s="194">
        <f t="shared" si="87"/>
        <v>16047.46232147675</v>
      </c>
      <c r="CI27" s="194">
        <f t="shared" si="87"/>
        <v>15119.362992477181</v>
      </c>
      <c r="CJ27" s="194">
        <f t="shared" si="87"/>
        <v>14185.849750725116</v>
      </c>
      <c r="CK27" s="194">
        <f t="shared" si="87"/>
        <v>13246.891015062829</v>
      </c>
      <c r="CL27" s="194">
        <f t="shared" si="87"/>
        <v>12302.45502010918</v>
      </c>
      <c r="CM27" s="194">
        <f t="shared" si="87"/>
        <v>11352.509815184967</v>
      </c>
      <c r="CN27" s="194">
        <f t="shared" si="87"/>
        <v>10397.02326323203</v>
      </c>
      <c r="CO27" s="195">
        <f>CN27</f>
        <v>10397.02326323203</v>
      </c>
      <c r="CP27" s="194">
        <f aca="true" t="shared" si="88" ref="CP27:DA27">CP43+CP59+CP75+CP91</f>
        <v>9435.963039726033</v>
      </c>
      <c r="CQ27" s="194">
        <f t="shared" si="88"/>
        <v>8469.296631582918</v>
      </c>
      <c r="CR27" s="194">
        <f t="shared" si="88"/>
        <v>7496.99133605897</v>
      </c>
      <c r="CS27" s="194">
        <f t="shared" si="88"/>
        <v>6519.014259644464</v>
      </c>
      <c r="CT27" s="194">
        <f t="shared" si="88"/>
        <v>5535.332316950874</v>
      </c>
      <c r="CU27" s="194">
        <f t="shared" si="88"/>
        <v>4545.912229591571</v>
      </c>
      <c r="CV27" s="194">
        <f t="shared" si="88"/>
        <v>3550.7205250560064</v>
      </c>
      <c r="CW27" s="194">
        <f t="shared" si="88"/>
        <v>2549.723535577317</v>
      </c>
      <c r="CX27" s="194">
        <f t="shared" si="88"/>
        <v>1542.887396993335</v>
      </c>
      <c r="CY27" s="194">
        <f t="shared" si="88"/>
        <v>530.1780476009467</v>
      </c>
      <c r="CZ27" s="194">
        <f t="shared" si="88"/>
        <v>2.46643594437046E-10</v>
      </c>
      <c r="DA27" s="194">
        <f t="shared" si="88"/>
        <v>2.46643594437046E-10</v>
      </c>
      <c r="DB27" s="195">
        <f>DA27</f>
        <v>2.46643594437046E-10</v>
      </c>
      <c r="DC27" s="194">
        <f aca="true" t="shared" si="89" ref="DC27:DN27">DC43+DC59+DC75+DC91</f>
        <v>2.46643594437046E-10</v>
      </c>
      <c r="DD27" s="194">
        <f t="shared" si="89"/>
        <v>2.46643594437046E-10</v>
      </c>
      <c r="DE27" s="194">
        <f t="shared" si="89"/>
        <v>2.46643594437046E-10</v>
      </c>
      <c r="DF27" s="194">
        <f t="shared" si="89"/>
        <v>2.46643594437046E-10</v>
      </c>
      <c r="DG27" s="194">
        <f t="shared" si="89"/>
        <v>2.46643594437046E-10</v>
      </c>
      <c r="DH27" s="194">
        <f t="shared" si="89"/>
        <v>2.46643594437046E-10</v>
      </c>
      <c r="DI27" s="194">
        <f t="shared" si="89"/>
        <v>2.46643594437046E-10</v>
      </c>
      <c r="DJ27" s="194">
        <f t="shared" si="89"/>
        <v>2.46643594437046E-10</v>
      </c>
      <c r="DK27" s="194">
        <f t="shared" si="89"/>
        <v>2.46643594437046E-10</v>
      </c>
      <c r="DL27" s="194">
        <f t="shared" si="89"/>
        <v>2.46643594437046E-10</v>
      </c>
      <c r="DM27" s="194">
        <f t="shared" si="89"/>
        <v>2.46643594437046E-10</v>
      </c>
      <c r="DN27" s="194">
        <f t="shared" si="89"/>
        <v>2.46643594437046E-10</v>
      </c>
      <c r="DO27" s="195">
        <f>DN27</f>
        <v>2.46643594437046E-10</v>
      </c>
    </row>
    <row r="28" spans="1:119" ht="12.75">
      <c r="A28" s="177" t="s">
        <v>78</v>
      </c>
      <c r="B28" s="284">
        <f>Исх!C43*12-Исх!C44</f>
        <v>75</v>
      </c>
      <c r="CP28" s="180"/>
      <c r="DB28" s="177"/>
      <c r="DO28" s="177"/>
    </row>
    <row r="29" spans="1:119" ht="12.75">
      <c r="A29" s="287" t="s">
        <v>253</v>
      </c>
      <c r="B29" s="288">
        <f>$AK$27*$B$20/12/((1-(1+$B$20/12)^-$B$28))</f>
        <v>869.3435251854065</v>
      </c>
      <c r="DB29" s="177"/>
      <c r="DO29" s="177"/>
    </row>
    <row r="30" spans="1:119" ht="6.75" customHeight="1">
      <c r="A30" s="285"/>
      <c r="B30" s="282"/>
      <c r="DB30" s="177"/>
      <c r="DO30" s="177"/>
    </row>
    <row r="31" spans="1:119" ht="12.75">
      <c r="A31" s="270" t="s">
        <v>241</v>
      </c>
      <c r="DB31" s="177"/>
      <c r="DO31" s="177"/>
    </row>
    <row r="32" spans="1:119" ht="12.75" hidden="1" outlineLevel="1">
      <c r="A32" s="271">
        <f>B22+B23-B25</f>
        <v>2.546585164964199E-10</v>
      </c>
      <c r="DB32" s="177"/>
      <c r="DO32" s="177"/>
    </row>
    <row r="33" spans="1:119" ht="12.75" hidden="1" outlineLevel="1">
      <c r="A33" s="271">
        <f>B24-B23-B26</f>
        <v>0</v>
      </c>
      <c r="DB33" s="177"/>
      <c r="DO33" s="177"/>
    </row>
    <row r="34" spans="106:119" ht="12.75" hidden="1" collapsed="1">
      <c r="DB34" s="177"/>
      <c r="DO34" s="177"/>
    </row>
    <row r="35" spans="1:119" ht="12.75" hidden="1">
      <c r="A35" s="296" t="s">
        <v>270</v>
      </c>
      <c r="B35" s="297"/>
      <c r="DB35" s="177"/>
      <c r="DO35" s="177"/>
    </row>
    <row r="36" spans="1:119" ht="15.75" customHeight="1" hidden="1">
      <c r="A36" s="186" t="s">
        <v>11</v>
      </c>
      <c r="B36" s="286">
        <f>Исх!$C$42</f>
        <v>0.07</v>
      </c>
      <c r="C36" s="366">
        <v>2013</v>
      </c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>
        <v>2014</v>
      </c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>
        <v>2015</v>
      </c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>
        <v>2016</v>
      </c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>
        <v>2017</v>
      </c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>
        <v>2018</v>
      </c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>
        <v>2019</v>
      </c>
      <c r="CD36" s="366"/>
      <c r="CE36" s="366"/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>
        <v>2020</v>
      </c>
      <c r="CQ36" s="366"/>
      <c r="CR36" s="366"/>
      <c r="CS36" s="366"/>
      <c r="CT36" s="366"/>
      <c r="CU36" s="366"/>
      <c r="CV36" s="366"/>
      <c r="CW36" s="366"/>
      <c r="CX36" s="366"/>
      <c r="CY36" s="366"/>
      <c r="CZ36" s="366"/>
      <c r="DA36" s="366"/>
      <c r="DB36" s="366"/>
      <c r="DC36" s="366">
        <v>2021</v>
      </c>
      <c r="DD36" s="366"/>
      <c r="DE36" s="366"/>
      <c r="DF36" s="366"/>
      <c r="DG36" s="366"/>
      <c r="DH36" s="366"/>
      <c r="DI36" s="366"/>
      <c r="DJ36" s="366"/>
      <c r="DK36" s="366"/>
      <c r="DL36" s="366"/>
      <c r="DM36" s="366"/>
      <c r="DN36" s="366"/>
      <c r="DO36" s="366"/>
    </row>
    <row r="37" spans="1:119" s="192" customFormat="1" ht="15" customHeight="1" hidden="1">
      <c r="A37" s="188" t="s">
        <v>9</v>
      </c>
      <c r="B37" s="189" t="s">
        <v>89</v>
      </c>
      <c r="C37" s="190">
        <v>1</v>
      </c>
      <c r="D37" s="190">
        <v>2</v>
      </c>
      <c r="E37" s="190">
        <f aca="true" t="shared" si="90" ref="E37:N37">D37+1</f>
        <v>3</v>
      </c>
      <c r="F37" s="190">
        <f t="shared" si="90"/>
        <v>4</v>
      </c>
      <c r="G37" s="190">
        <f t="shared" si="90"/>
        <v>5</v>
      </c>
      <c r="H37" s="190">
        <f t="shared" si="90"/>
        <v>6</v>
      </c>
      <c r="I37" s="190">
        <f t="shared" si="90"/>
        <v>7</v>
      </c>
      <c r="J37" s="190">
        <f t="shared" si="90"/>
        <v>8</v>
      </c>
      <c r="K37" s="190">
        <f t="shared" si="90"/>
        <v>9</v>
      </c>
      <c r="L37" s="190">
        <f t="shared" si="90"/>
        <v>10</v>
      </c>
      <c r="M37" s="190">
        <f t="shared" si="90"/>
        <v>11</v>
      </c>
      <c r="N37" s="190">
        <f t="shared" si="90"/>
        <v>12</v>
      </c>
      <c r="O37" s="191" t="str">
        <f>O21</f>
        <v>Итого</v>
      </c>
      <c r="P37" s="190">
        <v>1</v>
      </c>
      <c r="Q37" s="190">
        <v>2</v>
      </c>
      <c r="R37" s="190">
        <f aca="true" t="shared" si="91" ref="R37:AA37">Q37+1</f>
        <v>3</v>
      </c>
      <c r="S37" s="190">
        <f t="shared" si="91"/>
        <v>4</v>
      </c>
      <c r="T37" s="190">
        <f t="shared" si="91"/>
        <v>5</v>
      </c>
      <c r="U37" s="190">
        <f t="shared" si="91"/>
        <v>6</v>
      </c>
      <c r="V37" s="190">
        <f t="shared" si="91"/>
        <v>7</v>
      </c>
      <c r="W37" s="190">
        <f t="shared" si="91"/>
        <v>8</v>
      </c>
      <c r="X37" s="190">
        <f t="shared" si="91"/>
        <v>9</v>
      </c>
      <c r="Y37" s="190">
        <f t="shared" si="91"/>
        <v>10</v>
      </c>
      <c r="Z37" s="190">
        <f t="shared" si="91"/>
        <v>11</v>
      </c>
      <c r="AA37" s="190">
        <f t="shared" si="91"/>
        <v>12</v>
      </c>
      <c r="AB37" s="191" t="str">
        <f>AB21</f>
        <v>Итого</v>
      </c>
      <c r="AC37" s="190">
        <v>1</v>
      </c>
      <c r="AD37" s="190">
        <v>2</v>
      </c>
      <c r="AE37" s="190">
        <f aca="true" t="shared" si="92" ref="AE37:AN37">AD37+1</f>
        <v>3</v>
      </c>
      <c r="AF37" s="190">
        <f t="shared" si="92"/>
        <v>4</v>
      </c>
      <c r="AG37" s="190">
        <f t="shared" si="92"/>
        <v>5</v>
      </c>
      <c r="AH37" s="190">
        <f t="shared" si="92"/>
        <v>6</v>
      </c>
      <c r="AI37" s="190">
        <f t="shared" si="92"/>
        <v>7</v>
      </c>
      <c r="AJ37" s="190">
        <f t="shared" si="92"/>
        <v>8</v>
      </c>
      <c r="AK37" s="190">
        <f t="shared" si="92"/>
        <v>9</v>
      </c>
      <c r="AL37" s="190">
        <f t="shared" si="92"/>
        <v>10</v>
      </c>
      <c r="AM37" s="190">
        <f t="shared" si="92"/>
        <v>11</v>
      </c>
      <c r="AN37" s="190">
        <f t="shared" si="92"/>
        <v>12</v>
      </c>
      <c r="AO37" s="191" t="str">
        <f>AO21</f>
        <v>Итого</v>
      </c>
      <c r="AP37" s="190">
        <v>1</v>
      </c>
      <c r="AQ37" s="190">
        <v>2</v>
      </c>
      <c r="AR37" s="190">
        <f aca="true" t="shared" si="93" ref="AR37:BA37">AQ37+1</f>
        <v>3</v>
      </c>
      <c r="AS37" s="190">
        <f t="shared" si="93"/>
        <v>4</v>
      </c>
      <c r="AT37" s="190">
        <f t="shared" si="93"/>
        <v>5</v>
      </c>
      <c r="AU37" s="190">
        <f t="shared" si="93"/>
        <v>6</v>
      </c>
      <c r="AV37" s="190">
        <f t="shared" si="93"/>
        <v>7</v>
      </c>
      <c r="AW37" s="190">
        <f t="shared" si="93"/>
        <v>8</v>
      </c>
      <c r="AX37" s="190">
        <f t="shared" si="93"/>
        <v>9</v>
      </c>
      <c r="AY37" s="190">
        <f t="shared" si="93"/>
        <v>10</v>
      </c>
      <c r="AZ37" s="190">
        <f t="shared" si="93"/>
        <v>11</v>
      </c>
      <c r="BA37" s="190">
        <f t="shared" si="93"/>
        <v>12</v>
      </c>
      <c r="BB37" s="191" t="str">
        <f>BB21</f>
        <v>Итого</v>
      </c>
      <c r="BC37" s="190">
        <v>1</v>
      </c>
      <c r="BD37" s="190">
        <v>2</v>
      </c>
      <c r="BE37" s="190">
        <f aca="true" t="shared" si="94" ref="BE37:BN37">BD37+1</f>
        <v>3</v>
      </c>
      <c r="BF37" s="190">
        <f t="shared" si="94"/>
        <v>4</v>
      </c>
      <c r="BG37" s="190">
        <f t="shared" si="94"/>
        <v>5</v>
      </c>
      <c r="BH37" s="190">
        <f t="shared" si="94"/>
        <v>6</v>
      </c>
      <c r="BI37" s="190">
        <f t="shared" si="94"/>
        <v>7</v>
      </c>
      <c r="BJ37" s="190">
        <f t="shared" si="94"/>
        <v>8</v>
      </c>
      <c r="BK37" s="190">
        <f t="shared" si="94"/>
        <v>9</v>
      </c>
      <c r="BL37" s="190">
        <f t="shared" si="94"/>
        <v>10</v>
      </c>
      <c r="BM37" s="190">
        <f t="shared" si="94"/>
        <v>11</v>
      </c>
      <c r="BN37" s="190">
        <f t="shared" si="94"/>
        <v>12</v>
      </c>
      <c r="BO37" s="191" t="str">
        <f>BO21</f>
        <v>Итого</v>
      </c>
      <c r="BP37" s="190">
        <v>1</v>
      </c>
      <c r="BQ37" s="190">
        <v>2</v>
      </c>
      <c r="BR37" s="190">
        <f aca="true" t="shared" si="95" ref="BR37:CA37">BQ37+1</f>
        <v>3</v>
      </c>
      <c r="BS37" s="190">
        <f t="shared" si="95"/>
        <v>4</v>
      </c>
      <c r="BT37" s="190">
        <f t="shared" si="95"/>
        <v>5</v>
      </c>
      <c r="BU37" s="190">
        <f t="shared" si="95"/>
        <v>6</v>
      </c>
      <c r="BV37" s="190">
        <f t="shared" si="95"/>
        <v>7</v>
      </c>
      <c r="BW37" s="190">
        <f t="shared" si="95"/>
        <v>8</v>
      </c>
      <c r="BX37" s="190">
        <f t="shared" si="95"/>
        <v>9</v>
      </c>
      <c r="BY37" s="190">
        <f t="shared" si="95"/>
        <v>10</v>
      </c>
      <c r="BZ37" s="190">
        <f t="shared" si="95"/>
        <v>11</v>
      </c>
      <c r="CA37" s="190">
        <f t="shared" si="95"/>
        <v>12</v>
      </c>
      <c r="CB37" s="191" t="str">
        <f>CB21</f>
        <v>Итого</v>
      </c>
      <c r="CC37" s="190">
        <v>1</v>
      </c>
      <c r="CD37" s="190">
        <v>2</v>
      </c>
      <c r="CE37" s="190">
        <f aca="true" t="shared" si="96" ref="CE37:CN37">CD37+1</f>
        <v>3</v>
      </c>
      <c r="CF37" s="190">
        <f t="shared" si="96"/>
        <v>4</v>
      </c>
      <c r="CG37" s="190">
        <f t="shared" si="96"/>
        <v>5</v>
      </c>
      <c r="CH37" s="190">
        <f t="shared" si="96"/>
        <v>6</v>
      </c>
      <c r="CI37" s="190">
        <f t="shared" si="96"/>
        <v>7</v>
      </c>
      <c r="CJ37" s="190">
        <f t="shared" si="96"/>
        <v>8</v>
      </c>
      <c r="CK37" s="190">
        <f t="shared" si="96"/>
        <v>9</v>
      </c>
      <c r="CL37" s="190">
        <f t="shared" si="96"/>
        <v>10</v>
      </c>
      <c r="CM37" s="190">
        <f t="shared" si="96"/>
        <v>11</v>
      </c>
      <c r="CN37" s="190">
        <f t="shared" si="96"/>
        <v>12</v>
      </c>
      <c r="CO37" s="191" t="str">
        <f>CO21</f>
        <v>Итого</v>
      </c>
      <c r="CP37" s="190">
        <v>1</v>
      </c>
      <c r="CQ37" s="190">
        <f aca="true" t="shared" si="97" ref="CQ37:DA37">CP37+1</f>
        <v>2</v>
      </c>
      <c r="CR37" s="190">
        <f t="shared" si="97"/>
        <v>3</v>
      </c>
      <c r="CS37" s="190">
        <f t="shared" si="97"/>
        <v>4</v>
      </c>
      <c r="CT37" s="190">
        <f t="shared" si="97"/>
        <v>5</v>
      </c>
      <c r="CU37" s="190">
        <f t="shared" si="97"/>
        <v>6</v>
      </c>
      <c r="CV37" s="190">
        <f t="shared" si="97"/>
        <v>7</v>
      </c>
      <c r="CW37" s="190">
        <f t="shared" si="97"/>
        <v>8</v>
      </c>
      <c r="CX37" s="190">
        <f t="shared" si="97"/>
        <v>9</v>
      </c>
      <c r="CY37" s="190">
        <f t="shared" si="97"/>
        <v>10</v>
      </c>
      <c r="CZ37" s="190">
        <f t="shared" si="97"/>
        <v>11</v>
      </c>
      <c r="DA37" s="190">
        <f t="shared" si="97"/>
        <v>12</v>
      </c>
      <c r="DB37" s="191" t="str">
        <f>DB21</f>
        <v>Итого</v>
      </c>
      <c r="DC37" s="190">
        <v>1</v>
      </c>
      <c r="DD37" s="190">
        <f aca="true" t="shared" si="98" ref="DD37:DN37">DC37+1</f>
        <v>2</v>
      </c>
      <c r="DE37" s="190">
        <f t="shared" si="98"/>
        <v>3</v>
      </c>
      <c r="DF37" s="190">
        <f t="shared" si="98"/>
        <v>4</v>
      </c>
      <c r="DG37" s="190">
        <f t="shared" si="98"/>
        <v>5</v>
      </c>
      <c r="DH37" s="190">
        <f t="shared" si="98"/>
        <v>6</v>
      </c>
      <c r="DI37" s="190">
        <f t="shared" si="98"/>
        <v>7</v>
      </c>
      <c r="DJ37" s="190">
        <f t="shared" si="98"/>
        <v>8</v>
      </c>
      <c r="DK37" s="190">
        <f t="shared" si="98"/>
        <v>9</v>
      </c>
      <c r="DL37" s="190">
        <f t="shared" si="98"/>
        <v>10</v>
      </c>
      <c r="DM37" s="190">
        <f t="shared" si="98"/>
        <v>11</v>
      </c>
      <c r="DN37" s="190">
        <f t="shared" si="98"/>
        <v>12</v>
      </c>
      <c r="DO37" s="191" t="s">
        <v>0</v>
      </c>
    </row>
    <row r="38" spans="1:119" ht="12.75" hidden="1">
      <c r="A38" s="188" t="s">
        <v>106</v>
      </c>
      <c r="B38" s="193">
        <f>O38+AB38+AO38+BB38+BO38+CB38+CO38+DB38+DO38</f>
        <v>0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>
        <f>SUM(C38:N38)</f>
        <v>0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>
        <f>SUM(P38:AA38)</f>
        <v>0</v>
      </c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>
        <f>SUM(AC38:AN38)</f>
        <v>0</v>
      </c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</row>
    <row r="39" spans="1:119" s="197" customFormat="1" ht="20.25" customHeight="1" hidden="1">
      <c r="A39" s="188" t="s">
        <v>31</v>
      </c>
      <c r="B39" s="193">
        <f>O39+AB39+AO39+BB39+BO39+CB39+CO39+DB39+DO39</f>
        <v>0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>
        <f>SUM(C39:N39)</f>
        <v>0</v>
      </c>
      <c r="P39" s="194"/>
      <c r="Q39" s="194"/>
      <c r="R39" s="194"/>
      <c r="S39" s="194"/>
      <c r="T39" s="194">
        <f>SUM(O40:T40)</f>
        <v>0</v>
      </c>
      <c r="U39" s="194"/>
      <c r="V39" s="194"/>
      <c r="W39" s="194"/>
      <c r="X39" s="194"/>
      <c r="Y39" s="194"/>
      <c r="Z39" s="194"/>
      <c r="AA39" s="194"/>
      <c r="AB39" s="195">
        <f>SUM(P39:AA39)</f>
        <v>0</v>
      </c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5">
        <f>SUM(AC39:AN39)</f>
        <v>0</v>
      </c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>
        <f>SUM(AP39:BA39)</f>
        <v>0</v>
      </c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5">
        <f>SUM(BC39:BN39)</f>
        <v>0</v>
      </c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5">
        <f>SUM(BP39:CA39)</f>
        <v>0</v>
      </c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5">
        <f>SUM(CC39:CN39)</f>
        <v>0</v>
      </c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5">
        <f>SUM(CP39:DA39)</f>
        <v>0</v>
      </c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5">
        <f>SUM(DC39:DN39)</f>
        <v>0</v>
      </c>
    </row>
    <row r="40" spans="1:119" s="197" customFormat="1" ht="12.75" hidden="1">
      <c r="A40" s="198" t="s">
        <v>13</v>
      </c>
      <c r="B40" s="193">
        <f>O40+AB40+AO40+BB40+BO40+CB40+CO40+DB40+DO40</f>
        <v>0</v>
      </c>
      <c r="C40" s="194"/>
      <c r="D40" s="194">
        <f aca="true" t="shared" si="99" ref="D40:N40">C43*$B36/12</f>
        <v>0</v>
      </c>
      <c r="E40" s="194">
        <f t="shared" si="99"/>
        <v>0</v>
      </c>
      <c r="F40" s="194">
        <f t="shared" si="99"/>
        <v>0</v>
      </c>
      <c r="G40" s="194">
        <f t="shared" si="99"/>
        <v>0</v>
      </c>
      <c r="H40" s="194">
        <f t="shared" si="99"/>
        <v>0</v>
      </c>
      <c r="I40" s="194">
        <f t="shared" si="99"/>
        <v>0</v>
      </c>
      <c r="J40" s="194">
        <f t="shared" si="99"/>
        <v>0</v>
      </c>
      <c r="K40" s="194">
        <f t="shared" si="99"/>
        <v>0</v>
      </c>
      <c r="L40" s="194">
        <f t="shared" si="99"/>
        <v>0</v>
      </c>
      <c r="M40" s="194">
        <f t="shared" si="99"/>
        <v>0</v>
      </c>
      <c r="N40" s="194">
        <f t="shared" si="99"/>
        <v>0</v>
      </c>
      <c r="O40" s="195">
        <f>SUM(C40:N40)</f>
        <v>0</v>
      </c>
      <c r="P40" s="194">
        <f aca="true" t="shared" si="100" ref="P40:AA40">O43*$B36/12</f>
        <v>0</v>
      </c>
      <c r="Q40" s="194">
        <f t="shared" si="100"/>
        <v>0</v>
      </c>
      <c r="R40" s="194">
        <f t="shared" si="100"/>
        <v>0</v>
      </c>
      <c r="S40" s="194">
        <f t="shared" si="100"/>
        <v>0</v>
      </c>
      <c r="T40" s="194">
        <f t="shared" si="100"/>
        <v>0</v>
      </c>
      <c r="U40" s="194">
        <f t="shared" si="100"/>
        <v>0</v>
      </c>
      <c r="V40" s="194">
        <f t="shared" si="100"/>
        <v>0</v>
      </c>
      <c r="W40" s="194">
        <f t="shared" si="100"/>
        <v>0</v>
      </c>
      <c r="X40" s="194">
        <f t="shared" si="100"/>
        <v>0</v>
      </c>
      <c r="Y40" s="194">
        <f t="shared" si="100"/>
        <v>0</v>
      </c>
      <c r="Z40" s="194">
        <f t="shared" si="100"/>
        <v>0</v>
      </c>
      <c r="AA40" s="194">
        <f t="shared" si="100"/>
        <v>0</v>
      </c>
      <c r="AB40" s="195">
        <f>SUM(P40:AA40)</f>
        <v>0</v>
      </c>
      <c r="AC40" s="194">
        <f aca="true" t="shared" si="101" ref="AC40:AN40">AB43*$B36/12</f>
        <v>0</v>
      </c>
      <c r="AD40" s="194">
        <f t="shared" si="101"/>
        <v>0</v>
      </c>
      <c r="AE40" s="194">
        <f t="shared" si="101"/>
        <v>0</v>
      </c>
      <c r="AF40" s="194">
        <f t="shared" si="101"/>
        <v>0</v>
      </c>
      <c r="AG40" s="194">
        <f t="shared" si="101"/>
        <v>0</v>
      </c>
      <c r="AH40" s="194">
        <f t="shared" si="101"/>
        <v>0</v>
      </c>
      <c r="AI40" s="194">
        <f t="shared" si="101"/>
        <v>0</v>
      </c>
      <c r="AJ40" s="194">
        <f t="shared" si="101"/>
        <v>0</v>
      </c>
      <c r="AK40" s="194">
        <f t="shared" si="101"/>
        <v>0</v>
      </c>
      <c r="AL40" s="194">
        <f t="shared" si="101"/>
        <v>0</v>
      </c>
      <c r="AM40" s="194">
        <f t="shared" si="101"/>
        <v>0</v>
      </c>
      <c r="AN40" s="194">
        <f t="shared" si="101"/>
        <v>0</v>
      </c>
      <c r="AO40" s="195">
        <f>SUM(AC40:AN40)</f>
        <v>0</v>
      </c>
      <c r="AP40" s="194">
        <f aca="true" t="shared" si="102" ref="AP40:BA40">AO43*$B36/12</f>
        <v>0</v>
      </c>
      <c r="AQ40" s="194">
        <f t="shared" si="102"/>
        <v>0</v>
      </c>
      <c r="AR40" s="194">
        <f t="shared" si="102"/>
        <v>0</v>
      </c>
      <c r="AS40" s="194">
        <f t="shared" si="102"/>
        <v>0</v>
      </c>
      <c r="AT40" s="194">
        <f t="shared" si="102"/>
        <v>0</v>
      </c>
      <c r="AU40" s="194">
        <f t="shared" si="102"/>
        <v>0</v>
      </c>
      <c r="AV40" s="194">
        <f t="shared" si="102"/>
        <v>0</v>
      </c>
      <c r="AW40" s="194">
        <f t="shared" si="102"/>
        <v>0</v>
      </c>
      <c r="AX40" s="194">
        <f t="shared" si="102"/>
        <v>0</v>
      </c>
      <c r="AY40" s="194">
        <f t="shared" si="102"/>
        <v>0</v>
      </c>
      <c r="AZ40" s="194">
        <f t="shared" si="102"/>
        <v>0</v>
      </c>
      <c r="BA40" s="194">
        <f t="shared" si="102"/>
        <v>0</v>
      </c>
      <c r="BB40" s="195">
        <f>SUM(AP40:BA40)</f>
        <v>0</v>
      </c>
      <c r="BC40" s="194">
        <f aca="true" t="shared" si="103" ref="BC40:BN40">BB43*$B36/12</f>
        <v>0</v>
      </c>
      <c r="BD40" s="194">
        <f t="shared" si="103"/>
        <v>0</v>
      </c>
      <c r="BE40" s="194">
        <f t="shared" si="103"/>
        <v>0</v>
      </c>
      <c r="BF40" s="194">
        <f t="shared" si="103"/>
        <v>0</v>
      </c>
      <c r="BG40" s="194">
        <f t="shared" si="103"/>
        <v>0</v>
      </c>
      <c r="BH40" s="194">
        <f t="shared" si="103"/>
        <v>0</v>
      </c>
      <c r="BI40" s="194">
        <f t="shared" si="103"/>
        <v>0</v>
      </c>
      <c r="BJ40" s="194">
        <f t="shared" si="103"/>
        <v>0</v>
      </c>
      <c r="BK40" s="194">
        <f t="shared" si="103"/>
        <v>0</v>
      </c>
      <c r="BL40" s="194">
        <f t="shared" si="103"/>
        <v>0</v>
      </c>
      <c r="BM40" s="194">
        <f t="shared" si="103"/>
        <v>0</v>
      </c>
      <c r="BN40" s="194">
        <f t="shared" si="103"/>
        <v>0</v>
      </c>
      <c r="BO40" s="195">
        <f>SUM(BC40:BN40)</f>
        <v>0</v>
      </c>
      <c r="BP40" s="194">
        <f aca="true" t="shared" si="104" ref="BP40:CA40">BO43*$B36/12</f>
        <v>0</v>
      </c>
      <c r="BQ40" s="194">
        <f t="shared" si="104"/>
        <v>0</v>
      </c>
      <c r="BR40" s="194">
        <f t="shared" si="104"/>
        <v>0</v>
      </c>
      <c r="BS40" s="194">
        <f t="shared" si="104"/>
        <v>0</v>
      </c>
      <c r="BT40" s="194">
        <f t="shared" si="104"/>
        <v>0</v>
      </c>
      <c r="BU40" s="194">
        <f t="shared" si="104"/>
        <v>0</v>
      </c>
      <c r="BV40" s="194">
        <f t="shared" si="104"/>
        <v>0</v>
      </c>
      <c r="BW40" s="194">
        <f t="shared" si="104"/>
        <v>0</v>
      </c>
      <c r="BX40" s="194">
        <f t="shared" si="104"/>
        <v>0</v>
      </c>
      <c r="BY40" s="194">
        <f t="shared" si="104"/>
        <v>0</v>
      </c>
      <c r="BZ40" s="194">
        <f t="shared" si="104"/>
        <v>0</v>
      </c>
      <c r="CA40" s="194">
        <f t="shared" si="104"/>
        <v>0</v>
      </c>
      <c r="CB40" s="195">
        <f>SUM(BP40:CA40)</f>
        <v>0</v>
      </c>
      <c r="CC40" s="194">
        <f aca="true" t="shared" si="105" ref="CC40:CN40">CB43*$B36/12</f>
        <v>0</v>
      </c>
      <c r="CD40" s="194">
        <f t="shared" si="105"/>
        <v>0</v>
      </c>
      <c r="CE40" s="194">
        <f t="shared" si="105"/>
        <v>0</v>
      </c>
      <c r="CF40" s="194">
        <f t="shared" si="105"/>
        <v>0</v>
      </c>
      <c r="CG40" s="194">
        <f t="shared" si="105"/>
        <v>0</v>
      </c>
      <c r="CH40" s="194">
        <f t="shared" si="105"/>
        <v>0</v>
      </c>
      <c r="CI40" s="194">
        <f t="shared" si="105"/>
        <v>0</v>
      </c>
      <c r="CJ40" s="194">
        <f t="shared" si="105"/>
        <v>0</v>
      </c>
      <c r="CK40" s="194">
        <f t="shared" si="105"/>
        <v>0</v>
      </c>
      <c r="CL40" s="194">
        <f t="shared" si="105"/>
        <v>0</v>
      </c>
      <c r="CM40" s="194">
        <f t="shared" si="105"/>
        <v>0</v>
      </c>
      <c r="CN40" s="194">
        <f t="shared" si="105"/>
        <v>0</v>
      </c>
      <c r="CO40" s="195">
        <f>SUM(CC40:CN40)</f>
        <v>0</v>
      </c>
      <c r="CP40" s="194">
        <f aca="true" t="shared" si="106" ref="CP40:DA40">CO43*$B36/12</f>
        <v>0</v>
      </c>
      <c r="CQ40" s="194">
        <f t="shared" si="106"/>
        <v>0</v>
      </c>
      <c r="CR40" s="194">
        <f t="shared" si="106"/>
        <v>0</v>
      </c>
      <c r="CS40" s="194">
        <f t="shared" si="106"/>
        <v>0</v>
      </c>
      <c r="CT40" s="194">
        <f t="shared" si="106"/>
        <v>0</v>
      </c>
      <c r="CU40" s="194">
        <f t="shared" si="106"/>
        <v>0</v>
      </c>
      <c r="CV40" s="194">
        <f t="shared" si="106"/>
        <v>0</v>
      </c>
      <c r="CW40" s="194">
        <f t="shared" si="106"/>
        <v>0</v>
      </c>
      <c r="CX40" s="194">
        <f t="shared" si="106"/>
        <v>0</v>
      </c>
      <c r="CY40" s="194">
        <f t="shared" si="106"/>
        <v>0</v>
      </c>
      <c r="CZ40" s="194">
        <f t="shared" si="106"/>
        <v>0</v>
      </c>
      <c r="DA40" s="194">
        <f t="shared" si="106"/>
        <v>0</v>
      </c>
      <c r="DB40" s="195">
        <f>SUM(CP40:DA40)</f>
        <v>0</v>
      </c>
      <c r="DC40" s="194">
        <f aca="true" t="shared" si="107" ref="DC40:DN40">DB43*$B36/12</f>
        <v>0</v>
      </c>
      <c r="DD40" s="194">
        <f t="shared" si="107"/>
        <v>0</v>
      </c>
      <c r="DE40" s="194">
        <f t="shared" si="107"/>
        <v>0</v>
      </c>
      <c r="DF40" s="194">
        <f t="shared" si="107"/>
        <v>0</v>
      </c>
      <c r="DG40" s="194">
        <f t="shared" si="107"/>
        <v>0</v>
      </c>
      <c r="DH40" s="194">
        <f t="shared" si="107"/>
        <v>0</v>
      </c>
      <c r="DI40" s="194">
        <f t="shared" si="107"/>
        <v>0</v>
      </c>
      <c r="DJ40" s="194">
        <f t="shared" si="107"/>
        <v>0</v>
      </c>
      <c r="DK40" s="194">
        <f t="shared" si="107"/>
        <v>0</v>
      </c>
      <c r="DL40" s="194">
        <f t="shared" si="107"/>
        <v>0</v>
      </c>
      <c r="DM40" s="194">
        <f t="shared" si="107"/>
        <v>0</v>
      </c>
      <c r="DN40" s="194">
        <f t="shared" si="107"/>
        <v>0</v>
      </c>
      <c r="DO40" s="195">
        <f>SUM(DC40:DN40)</f>
        <v>0</v>
      </c>
    </row>
    <row r="41" spans="1:119" ht="12.75" hidden="1">
      <c r="A41" s="188" t="s">
        <v>14</v>
      </c>
      <c r="B41" s="193">
        <f>O41+AB41+AO41+BB41+BO41+CB41+CO41+DB41+DO41</f>
        <v>0</v>
      </c>
      <c r="C41" s="194"/>
      <c r="D41" s="194"/>
      <c r="E41" s="194"/>
      <c r="F41" s="194"/>
      <c r="G41" s="194"/>
      <c r="H41" s="194"/>
      <c r="I41" s="194"/>
      <c r="J41" s="194"/>
      <c r="K41" s="199"/>
      <c r="L41" s="199"/>
      <c r="M41" s="199"/>
      <c r="N41" s="199"/>
      <c r="O41" s="195">
        <f>SUM(C41:N41)</f>
        <v>0</v>
      </c>
      <c r="P41" s="199"/>
      <c r="Q41" s="199"/>
      <c r="R41" s="199"/>
      <c r="S41" s="199"/>
      <c r="T41" s="199"/>
      <c r="U41" s="194">
        <f>$B45-U40</f>
        <v>0</v>
      </c>
      <c r="V41" s="194">
        <f aca="true" t="shared" si="108" ref="V41:AA41">$B45-V40</f>
        <v>0</v>
      </c>
      <c r="W41" s="194">
        <f t="shared" si="108"/>
        <v>0</v>
      </c>
      <c r="X41" s="194">
        <f t="shared" si="108"/>
        <v>0</v>
      </c>
      <c r="Y41" s="194">
        <f t="shared" si="108"/>
        <v>0</v>
      </c>
      <c r="Z41" s="194">
        <f t="shared" si="108"/>
        <v>0</v>
      </c>
      <c r="AA41" s="194">
        <f t="shared" si="108"/>
        <v>0</v>
      </c>
      <c r="AB41" s="195">
        <f>SUM(P41:AA41)</f>
        <v>0</v>
      </c>
      <c r="AC41" s="194">
        <f aca="true" t="shared" si="109" ref="AC41:AN41">$B45-AC40</f>
        <v>0</v>
      </c>
      <c r="AD41" s="194">
        <f t="shared" si="109"/>
        <v>0</v>
      </c>
      <c r="AE41" s="194">
        <f t="shared" si="109"/>
        <v>0</v>
      </c>
      <c r="AF41" s="194">
        <f t="shared" si="109"/>
        <v>0</v>
      </c>
      <c r="AG41" s="194">
        <f t="shared" si="109"/>
        <v>0</v>
      </c>
      <c r="AH41" s="194">
        <f t="shared" si="109"/>
        <v>0</v>
      </c>
      <c r="AI41" s="194">
        <f t="shared" si="109"/>
        <v>0</v>
      </c>
      <c r="AJ41" s="194">
        <f t="shared" si="109"/>
        <v>0</v>
      </c>
      <c r="AK41" s="194">
        <f t="shared" si="109"/>
        <v>0</v>
      </c>
      <c r="AL41" s="194">
        <f t="shared" si="109"/>
        <v>0</v>
      </c>
      <c r="AM41" s="194">
        <f t="shared" si="109"/>
        <v>0</v>
      </c>
      <c r="AN41" s="194">
        <f t="shared" si="109"/>
        <v>0</v>
      </c>
      <c r="AO41" s="195">
        <f>SUM(AC41:AN41)</f>
        <v>0</v>
      </c>
      <c r="AP41" s="194">
        <f aca="true" t="shared" si="110" ref="AP41:BA41">$B45-AP40</f>
        <v>0</v>
      </c>
      <c r="AQ41" s="194">
        <f t="shared" si="110"/>
        <v>0</v>
      </c>
      <c r="AR41" s="194">
        <f t="shared" si="110"/>
        <v>0</v>
      </c>
      <c r="AS41" s="194">
        <f t="shared" si="110"/>
        <v>0</v>
      </c>
      <c r="AT41" s="194">
        <f t="shared" si="110"/>
        <v>0</v>
      </c>
      <c r="AU41" s="194">
        <f t="shared" si="110"/>
        <v>0</v>
      </c>
      <c r="AV41" s="194">
        <f t="shared" si="110"/>
        <v>0</v>
      </c>
      <c r="AW41" s="194">
        <f t="shared" si="110"/>
        <v>0</v>
      </c>
      <c r="AX41" s="194">
        <f t="shared" si="110"/>
        <v>0</v>
      </c>
      <c r="AY41" s="194">
        <f t="shared" si="110"/>
        <v>0</v>
      </c>
      <c r="AZ41" s="194">
        <f t="shared" si="110"/>
        <v>0</v>
      </c>
      <c r="BA41" s="194">
        <f t="shared" si="110"/>
        <v>0</v>
      </c>
      <c r="BB41" s="195">
        <f>SUM(AP41:BA41)</f>
        <v>0</v>
      </c>
      <c r="BC41" s="194">
        <f aca="true" t="shared" si="111" ref="BC41:BN41">$B45-BC40</f>
        <v>0</v>
      </c>
      <c r="BD41" s="194">
        <f t="shared" si="111"/>
        <v>0</v>
      </c>
      <c r="BE41" s="194">
        <f t="shared" si="111"/>
        <v>0</v>
      </c>
      <c r="BF41" s="194">
        <f t="shared" si="111"/>
        <v>0</v>
      </c>
      <c r="BG41" s="194">
        <f t="shared" si="111"/>
        <v>0</v>
      </c>
      <c r="BH41" s="194">
        <f t="shared" si="111"/>
        <v>0</v>
      </c>
      <c r="BI41" s="194">
        <f t="shared" si="111"/>
        <v>0</v>
      </c>
      <c r="BJ41" s="194">
        <f t="shared" si="111"/>
        <v>0</v>
      </c>
      <c r="BK41" s="194">
        <f t="shared" si="111"/>
        <v>0</v>
      </c>
      <c r="BL41" s="194">
        <f t="shared" si="111"/>
        <v>0</v>
      </c>
      <c r="BM41" s="194">
        <f t="shared" si="111"/>
        <v>0</v>
      </c>
      <c r="BN41" s="194">
        <f t="shared" si="111"/>
        <v>0</v>
      </c>
      <c r="BO41" s="195">
        <f>SUM(BC41:BN41)</f>
        <v>0</v>
      </c>
      <c r="BP41" s="194">
        <f aca="true" t="shared" si="112" ref="BP41:CA41">$B45-BP40</f>
        <v>0</v>
      </c>
      <c r="BQ41" s="194">
        <f t="shared" si="112"/>
        <v>0</v>
      </c>
      <c r="BR41" s="194">
        <f t="shared" si="112"/>
        <v>0</v>
      </c>
      <c r="BS41" s="194">
        <f t="shared" si="112"/>
        <v>0</v>
      </c>
      <c r="BT41" s="194">
        <f t="shared" si="112"/>
        <v>0</v>
      </c>
      <c r="BU41" s="194">
        <f t="shared" si="112"/>
        <v>0</v>
      </c>
      <c r="BV41" s="194">
        <f t="shared" si="112"/>
        <v>0</v>
      </c>
      <c r="BW41" s="194">
        <f t="shared" si="112"/>
        <v>0</v>
      </c>
      <c r="BX41" s="194">
        <f t="shared" si="112"/>
        <v>0</v>
      </c>
      <c r="BY41" s="194">
        <f t="shared" si="112"/>
        <v>0</v>
      </c>
      <c r="BZ41" s="194">
        <f t="shared" si="112"/>
        <v>0</v>
      </c>
      <c r="CA41" s="194">
        <f t="shared" si="112"/>
        <v>0</v>
      </c>
      <c r="CB41" s="195">
        <f>SUM(BP41:CA41)</f>
        <v>0</v>
      </c>
      <c r="CC41" s="194">
        <f aca="true" t="shared" si="113" ref="CC41:CN41">$B45-CC40</f>
        <v>0</v>
      </c>
      <c r="CD41" s="194">
        <f t="shared" si="113"/>
        <v>0</v>
      </c>
      <c r="CE41" s="194">
        <f t="shared" si="113"/>
        <v>0</v>
      </c>
      <c r="CF41" s="194">
        <f t="shared" si="113"/>
        <v>0</v>
      </c>
      <c r="CG41" s="194">
        <f t="shared" si="113"/>
        <v>0</v>
      </c>
      <c r="CH41" s="194">
        <f t="shared" si="113"/>
        <v>0</v>
      </c>
      <c r="CI41" s="194">
        <f t="shared" si="113"/>
        <v>0</v>
      </c>
      <c r="CJ41" s="194">
        <f t="shared" si="113"/>
        <v>0</v>
      </c>
      <c r="CK41" s="194">
        <f t="shared" si="113"/>
        <v>0</v>
      </c>
      <c r="CL41" s="194">
        <f t="shared" si="113"/>
        <v>0</v>
      </c>
      <c r="CM41" s="194">
        <f t="shared" si="113"/>
        <v>0</v>
      </c>
      <c r="CN41" s="194">
        <f t="shared" si="113"/>
        <v>0</v>
      </c>
      <c r="CO41" s="195">
        <f>SUM(CC41:CN41)</f>
        <v>0</v>
      </c>
      <c r="CP41" s="194">
        <f aca="true" t="shared" si="114" ref="CP41:CW41">$B45-CP40</f>
        <v>0</v>
      </c>
      <c r="CQ41" s="194">
        <f t="shared" si="114"/>
        <v>0</v>
      </c>
      <c r="CR41" s="194">
        <f t="shared" si="114"/>
        <v>0</v>
      </c>
      <c r="CS41" s="194">
        <f t="shared" si="114"/>
        <v>0</v>
      </c>
      <c r="CT41" s="194">
        <f t="shared" si="114"/>
        <v>0</v>
      </c>
      <c r="CU41" s="194">
        <f t="shared" si="114"/>
        <v>0</v>
      </c>
      <c r="CV41" s="194">
        <f t="shared" si="114"/>
        <v>0</v>
      </c>
      <c r="CW41" s="194">
        <f t="shared" si="114"/>
        <v>0</v>
      </c>
      <c r="CX41" s="194"/>
      <c r="CY41" s="194"/>
      <c r="CZ41" s="194"/>
      <c r="DA41" s="194"/>
      <c r="DB41" s="195">
        <f>SUM(CP41:DA41)</f>
        <v>0</v>
      </c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5">
        <f>SUM(DC41:DN41)</f>
        <v>0</v>
      </c>
    </row>
    <row r="42" spans="1:119" ht="12.75" hidden="1">
      <c r="A42" s="188" t="s">
        <v>15</v>
      </c>
      <c r="B42" s="193">
        <f>O42+AB42+AO42+BB42+BO42+CB42+CO42+DB42+DO42</f>
        <v>0</v>
      </c>
      <c r="C42" s="194"/>
      <c r="D42" s="194"/>
      <c r="E42" s="194"/>
      <c r="F42" s="194"/>
      <c r="G42" s="194"/>
      <c r="H42" s="194"/>
      <c r="I42" s="194"/>
      <c r="J42" s="194"/>
      <c r="K42" s="199"/>
      <c r="L42" s="199"/>
      <c r="M42" s="199"/>
      <c r="N42" s="199"/>
      <c r="O42" s="195">
        <f>SUM(C42:N42)</f>
        <v>0</v>
      </c>
      <c r="P42" s="199"/>
      <c r="Q42" s="199"/>
      <c r="R42" s="199"/>
      <c r="S42" s="199"/>
      <c r="T42" s="199"/>
      <c r="U42" s="194">
        <f>U40</f>
        <v>0</v>
      </c>
      <c r="V42" s="194">
        <f aca="true" t="shared" si="115" ref="V42:AA42">V40</f>
        <v>0</v>
      </c>
      <c r="W42" s="194">
        <f t="shared" si="115"/>
        <v>0</v>
      </c>
      <c r="X42" s="194">
        <f t="shared" si="115"/>
        <v>0</v>
      </c>
      <c r="Y42" s="194">
        <f t="shared" si="115"/>
        <v>0</v>
      </c>
      <c r="Z42" s="194">
        <f t="shared" si="115"/>
        <v>0</v>
      </c>
      <c r="AA42" s="194">
        <f t="shared" si="115"/>
        <v>0</v>
      </c>
      <c r="AB42" s="195">
        <f>SUM(P42:AA42)</f>
        <v>0</v>
      </c>
      <c r="AC42" s="194">
        <f aca="true" t="shared" si="116" ref="AC42:AK42">AC40</f>
        <v>0</v>
      </c>
      <c r="AD42" s="194">
        <f t="shared" si="116"/>
        <v>0</v>
      </c>
      <c r="AE42" s="194">
        <f t="shared" si="116"/>
        <v>0</v>
      </c>
      <c r="AF42" s="194">
        <f t="shared" si="116"/>
        <v>0</v>
      </c>
      <c r="AG42" s="194">
        <f t="shared" si="116"/>
        <v>0</v>
      </c>
      <c r="AH42" s="194">
        <f t="shared" si="116"/>
        <v>0</v>
      </c>
      <c r="AI42" s="194">
        <f t="shared" si="116"/>
        <v>0</v>
      </c>
      <c r="AJ42" s="194">
        <f t="shared" si="116"/>
        <v>0</v>
      </c>
      <c r="AK42" s="194">
        <f t="shared" si="116"/>
        <v>0</v>
      </c>
      <c r="AL42" s="194">
        <f>AL40</f>
        <v>0</v>
      </c>
      <c r="AM42" s="194">
        <f>AM40</f>
        <v>0</v>
      </c>
      <c r="AN42" s="194">
        <f>AN40</f>
        <v>0</v>
      </c>
      <c r="AO42" s="195">
        <f>SUM(AC42:AN42)</f>
        <v>0</v>
      </c>
      <c r="AP42" s="194">
        <f aca="true" t="shared" si="117" ref="AP42:BA42">AP40</f>
        <v>0</v>
      </c>
      <c r="AQ42" s="194">
        <f t="shared" si="117"/>
        <v>0</v>
      </c>
      <c r="AR42" s="194">
        <f t="shared" si="117"/>
        <v>0</v>
      </c>
      <c r="AS42" s="194">
        <f t="shared" si="117"/>
        <v>0</v>
      </c>
      <c r="AT42" s="194">
        <f t="shared" si="117"/>
        <v>0</v>
      </c>
      <c r="AU42" s="194">
        <f t="shared" si="117"/>
        <v>0</v>
      </c>
      <c r="AV42" s="194">
        <f t="shared" si="117"/>
        <v>0</v>
      </c>
      <c r="AW42" s="194">
        <f t="shared" si="117"/>
        <v>0</v>
      </c>
      <c r="AX42" s="194">
        <f t="shared" si="117"/>
        <v>0</v>
      </c>
      <c r="AY42" s="194">
        <f t="shared" si="117"/>
        <v>0</v>
      </c>
      <c r="AZ42" s="194">
        <f t="shared" si="117"/>
        <v>0</v>
      </c>
      <c r="BA42" s="194">
        <f t="shared" si="117"/>
        <v>0</v>
      </c>
      <c r="BB42" s="195">
        <f>SUM(AP42:BA42)</f>
        <v>0</v>
      </c>
      <c r="BC42" s="194">
        <f aca="true" t="shared" si="118" ref="BC42:BN42">BC40</f>
        <v>0</v>
      </c>
      <c r="BD42" s="194">
        <f t="shared" si="118"/>
        <v>0</v>
      </c>
      <c r="BE42" s="194">
        <f t="shared" si="118"/>
        <v>0</v>
      </c>
      <c r="BF42" s="194">
        <f t="shared" si="118"/>
        <v>0</v>
      </c>
      <c r="BG42" s="194">
        <f t="shared" si="118"/>
        <v>0</v>
      </c>
      <c r="BH42" s="194">
        <f t="shared" si="118"/>
        <v>0</v>
      </c>
      <c r="BI42" s="194">
        <f t="shared" si="118"/>
        <v>0</v>
      </c>
      <c r="BJ42" s="194">
        <f t="shared" si="118"/>
        <v>0</v>
      </c>
      <c r="BK42" s="194">
        <f t="shared" si="118"/>
        <v>0</v>
      </c>
      <c r="BL42" s="194">
        <f t="shared" si="118"/>
        <v>0</v>
      </c>
      <c r="BM42" s="194">
        <f t="shared" si="118"/>
        <v>0</v>
      </c>
      <c r="BN42" s="194">
        <f t="shared" si="118"/>
        <v>0</v>
      </c>
      <c r="BO42" s="195">
        <f>SUM(BC42:BN42)</f>
        <v>0</v>
      </c>
      <c r="BP42" s="194">
        <f aca="true" t="shared" si="119" ref="BP42:CA42">BP40</f>
        <v>0</v>
      </c>
      <c r="BQ42" s="194">
        <f t="shared" si="119"/>
        <v>0</v>
      </c>
      <c r="BR42" s="194">
        <f t="shared" si="119"/>
        <v>0</v>
      </c>
      <c r="BS42" s="194">
        <f t="shared" si="119"/>
        <v>0</v>
      </c>
      <c r="BT42" s="194">
        <f t="shared" si="119"/>
        <v>0</v>
      </c>
      <c r="BU42" s="194">
        <f t="shared" si="119"/>
        <v>0</v>
      </c>
      <c r="BV42" s="194">
        <f t="shared" si="119"/>
        <v>0</v>
      </c>
      <c r="BW42" s="194">
        <f t="shared" si="119"/>
        <v>0</v>
      </c>
      <c r="BX42" s="194">
        <f t="shared" si="119"/>
        <v>0</v>
      </c>
      <c r="BY42" s="194">
        <f t="shared" si="119"/>
        <v>0</v>
      </c>
      <c r="BZ42" s="194">
        <f t="shared" si="119"/>
        <v>0</v>
      </c>
      <c r="CA42" s="194">
        <f t="shared" si="119"/>
        <v>0</v>
      </c>
      <c r="CB42" s="195">
        <f>SUM(BP42:CA42)</f>
        <v>0</v>
      </c>
      <c r="CC42" s="194">
        <f aca="true" t="shared" si="120" ref="CC42:CN42">CC40</f>
        <v>0</v>
      </c>
      <c r="CD42" s="194">
        <f t="shared" si="120"/>
        <v>0</v>
      </c>
      <c r="CE42" s="194">
        <f t="shared" si="120"/>
        <v>0</v>
      </c>
      <c r="CF42" s="194">
        <f t="shared" si="120"/>
        <v>0</v>
      </c>
      <c r="CG42" s="194">
        <f t="shared" si="120"/>
        <v>0</v>
      </c>
      <c r="CH42" s="194">
        <f t="shared" si="120"/>
        <v>0</v>
      </c>
      <c r="CI42" s="194">
        <f t="shared" si="120"/>
        <v>0</v>
      </c>
      <c r="CJ42" s="194">
        <f t="shared" si="120"/>
        <v>0</v>
      </c>
      <c r="CK42" s="194">
        <f t="shared" si="120"/>
        <v>0</v>
      </c>
      <c r="CL42" s="194">
        <f t="shared" si="120"/>
        <v>0</v>
      </c>
      <c r="CM42" s="194">
        <f t="shared" si="120"/>
        <v>0</v>
      </c>
      <c r="CN42" s="194">
        <f t="shared" si="120"/>
        <v>0</v>
      </c>
      <c r="CO42" s="195">
        <f>SUM(CC42:CN42)</f>
        <v>0</v>
      </c>
      <c r="CP42" s="194">
        <f aca="true" t="shared" si="121" ref="CP42:DA42">CP40</f>
        <v>0</v>
      </c>
      <c r="CQ42" s="194">
        <f t="shared" si="121"/>
        <v>0</v>
      </c>
      <c r="CR42" s="194">
        <f t="shared" si="121"/>
        <v>0</v>
      </c>
      <c r="CS42" s="194">
        <f t="shared" si="121"/>
        <v>0</v>
      </c>
      <c r="CT42" s="194">
        <f t="shared" si="121"/>
        <v>0</v>
      </c>
      <c r="CU42" s="194">
        <f t="shared" si="121"/>
        <v>0</v>
      </c>
      <c r="CV42" s="194">
        <f t="shared" si="121"/>
        <v>0</v>
      </c>
      <c r="CW42" s="194">
        <f t="shared" si="121"/>
        <v>0</v>
      </c>
      <c r="CX42" s="194">
        <f t="shared" si="121"/>
        <v>0</v>
      </c>
      <c r="CY42" s="194">
        <f t="shared" si="121"/>
        <v>0</v>
      </c>
      <c r="CZ42" s="194">
        <f t="shared" si="121"/>
        <v>0</v>
      </c>
      <c r="DA42" s="194">
        <f t="shared" si="121"/>
        <v>0</v>
      </c>
      <c r="DB42" s="195">
        <f>SUM(CP42:DA42)</f>
        <v>0</v>
      </c>
      <c r="DC42" s="194">
        <f aca="true" t="shared" si="122" ref="DC42:DN42">DC40</f>
        <v>0</v>
      </c>
      <c r="DD42" s="194">
        <f t="shared" si="122"/>
        <v>0</v>
      </c>
      <c r="DE42" s="194">
        <f t="shared" si="122"/>
        <v>0</v>
      </c>
      <c r="DF42" s="194">
        <f t="shared" si="122"/>
        <v>0</v>
      </c>
      <c r="DG42" s="194">
        <f t="shared" si="122"/>
        <v>0</v>
      </c>
      <c r="DH42" s="194">
        <f t="shared" si="122"/>
        <v>0</v>
      </c>
      <c r="DI42" s="194">
        <f t="shared" si="122"/>
        <v>0</v>
      </c>
      <c r="DJ42" s="194">
        <f t="shared" si="122"/>
        <v>0</v>
      </c>
      <c r="DK42" s="194">
        <f t="shared" si="122"/>
        <v>0</v>
      </c>
      <c r="DL42" s="194">
        <f t="shared" si="122"/>
        <v>0</v>
      </c>
      <c r="DM42" s="194">
        <f t="shared" si="122"/>
        <v>0</v>
      </c>
      <c r="DN42" s="194">
        <f t="shared" si="122"/>
        <v>0</v>
      </c>
      <c r="DO42" s="195">
        <f>SUM(DC42:DN42)</f>
        <v>0</v>
      </c>
    </row>
    <row r="43" spans="1:119" ht="12.75" hidden="1">
      <c r="A43" s="188" t="s">
        <v>16</v>
      </c>
      <c r="B43" s="193">
        <f>DO43</f>
        <v>0</v>
      </c>
      <c r="C43" s="194">
        <f>C38</f>
        <v>0</v>
      </c>
      <c r="D43" s="194">
        <f aca="true" t="shared" si="123" ref="D43:N43">C43+D38-D41+D39</f>
        <v>0</v>
      </c>
      <c r="E43" s="194">
        <f t="shared" si="123"/>
        <v>0</v>
      </c>
      <c r="F43" s="194">
        <f t="shared" si="123"/>
        <v>0</v>
      </c>
      <c r="G43" s="194">
        <f t="shared" si="123"/>
        <v>0</v>
      </c>
      <c r="H43" s="194">
        <f t="shared" si="123"/>
        <v>0</v>
      </c>
      <c r="I43" s="194">
        <f t="shared" si="123"/>
        <v>0</v>
      </c>
      <c r="J43" s="194">
        <f t="shared" si="123"/>
        <v>0</v>
      </c>
      <c r="K43" s="194">
        <f t="shared" si="123"/>
        <v>0</v>
      </c>
      <c r="L43" s="194">
        <f t="shared" si="123"/>
        <v>0</v>
      </c>
      <c r="M43" s="194">
        <f t="shared" si="123"/>
        <v>0</v>
      </c>
      <c r="N43" s="194">
        <f t="shared" si="123"/>
        <v>0</v>
      </c>
      <c r="O43" s="195">
        <f>N43</f>
        <v>0</v>
      </c>
      <c r="P43" s="194">
        <f aca="true" t="shared" si="124" ref="P43:AA43">O43+P38-P41+P39</f>
        <v>0</v>
      </c>
      <c r="Q43" s="194">
        <f t="shared" si="124"/>
        <v>0</v>
      </c>
      <c r="R43" s="194">
        <f t="shared" si="124"/>
        <v>0</v>
      </c>
      <c r="S43" s="194">
        <f t="shared" si="124"/>
        <v>0</v>
      </c>
      <c r="T43" s="194">
        <f t="shared" si="124"/>
        <v>0</v>
      </c>
      <c r="U43" s="194">
        <f t="shared" si="124"/>
        <v>0</v>
      </c>
      <c r="V43" s="194">
        <f t="shared" si="124"/>
        <v>0</v>
      </c>
      <c r="W43" s="194">
        <f t="shared" si="124"/>
        <v>0</v>
      </c>
      <c r="X43" s="194">
        <f t="shared" si="124"/>
        <v>0</v>
      </c>
      <c r="Y43" s="194">
        <f t="shared" si="124"/>
        <v>0</v>
      </c>
      <c r="Z43" s="194">
        <f t="shared" si="124"/>
        <v>0</v>
      </c>
      <c r="AA43" s="194">
        <f t="shared" si="124"/>
        <v>0</v>
      </c>
      <c r="AB43" s="195">
        <f>AA43</f>
        <v>0</v>
      </c>
      <c r="AC43" s="194">
        <f aca="true" t="shared" si="125" ref="AC43:AN43">AB43+AC38-AC41+AC39</f>
        <v>0</v>
      </c>
      <c r="AD43" s="194">
        <f t="shared" si="125"/>
        <v>0</v>
      </c>
      <c r="AE43" s="194">
        <f t="shared" si="125"/>
        <v>0</v>
      </c>
      <c r="AF43" s="194">
        <f t="shared" si="125"/>
        <v>0</v>
      </c>
      <c r="AG43" s="194">
        <f t="shared" si="125"/>
        <v>0</v>
      </c>
      <c r="AH43" s="194">
        <f t="shared" si="125"/>
        <v>0</v>
      </c>
      <c r="AI43" s="194">
        <f t="shared" si="125"/>
        <v>0</v>
      </c>
      <c r="AJ43" s="194">
        <f t="shared" si="125"/>
        <v>0</v>
      </c>
      <c r="AK43" s="194">
        <f t="shared" si="125"/>
        <v>0</v>
      </c>
      <c r="AL43" s="194">
        <f t="shared" si="125"/>
        <v>0</v>
      </c>
      <c r="AM43" s="194">
        <f t="shared" si="125"/>
        <v>0</v>
      </c>
      <c r="AN43" s="194">
        <f t="shared" si="125"/>
        <v>0</v>
      </c>
      <c r="AO43" s="195">
        <f>AN43</f>
        <v>0</v>
      </c>
      <c r="AP43" s="194">
        <f aca="true" t="shared" si="126" ref="AP43:BA43">AO43+AP38-AP41+AP39</f>
        <v>0</v>
      </c>
      <c r="AQ43" s="194">
        <f t="shared" si="126"/>
        <v>0</v>
      </c>
      <c r="AR43" s="194">
        <f t="shared" si="126"/>
        <v>0</v>
      </c>
      <c r="AS43" s="194">
        <f t="shared" si="126"/>
        <v>0</v>
      </c>
      <c r="AT43" s="194">
        <f t="shared" si="126"/>
        <v>0</v>
      </c>
      <c r="AU43" s="194">
        <f t="shared" si="126"/>
        <v>0</v>
      </c>
      <c r="AV43" s="194">
        <f t="shared" si="126"/>
        <v>0</v>
      </c>
      <c r="AW43" s="194">
        <f t="shared" si="126"/>
        <v>0</v>
      </c>
      <c r="AX43" s="194">
        <f t="shared" si="126"/>
        <v>0</v>
      </c>
      <c r="AY43" s="194">
        <f t="shared" si="126"/>
        <v>0</v>
      </c>
      <c r="AZ43" s="194">
        <f t="shared" si="126"/>
        <v>0</v>
      </c>
      <c r="BA43" s="194">
        <f t="shared" si="126"/>
        <v>0</v>
      </c>
      <c r="BB43" s="195">
        <f>BA43</f>
        <v>0</v>
      </c>
      <c r="BC43" s="194">
        <f aca="true" t="shared" si="127" ref="BC43:BN43">BB43+BC38-BC41+BC39</f>
        <v>0</v>
      </c>
      <c r="BD43" s="194">
        <f t="shared" si="127"/>
        <v>0</v>
      </c>
      <c r="BE43" s="194">
        <f t="shared" si="127"/>
        <v>0</v>
      </c>
      <c r="BF43" s="194">
        <f t="shared" si="127"/>
        <v>0</v>
      </c>
      <c r="BG43" s="194">
        <f t="shared" si="127"/>
        <v>0</v>
      </c>
      <c r="BH43" s="194">
        <f t="shared" si="127"/>
        <v>0</v>
      </c>
      <c r="BI43" s="194">
        <f t="shared" si="127"/>
        <v>0</v>
      </c>
      <c r="BJ43" s="194">
        <f t="shared" si="127"/>
        <v>0</v>
      </c>
      <c r="BK43" s="194">
        <f t="shared" si="127"/>
        <v>0</v>
      </c>
      <c r="BL43" s="194">
        <f t="shared" si="127"/>
        <v>0</v>
      </c>
      <c r="BM43" s="194">
        <f t="shared" si="127"/>
        <v>0</v>
      </c>
      <c r="BN43" s="194">
        <f t="shared" si="127"/>
        <v>0</v>
      </c>
      <c r="BO43" s="195">
        <f>BN43</f>
        <v>0</v>
      </c>
      <c r="BP43" s="194">
        <f aca="true" t="shared" si="128" ref="BP43:CA43">BO43+BP38-BP41+BP39</f>
        <v>0</v>
      </c>
      <c r="BQ43" s="194">
        <f t="shared" si="128"/>
        <v>0</v>
      </c>
      <c r="BR43" s="194">
        <f t="shared" si="128"/>
        <v>0</v>
      </c>
      <c r="BS43" s="194">
        <f t="shared" si="128"/>
        <v>0</v>
      </c>
      <c r="BT43" s="194">
        <f t="shared" si="128"/>
        <v>0</v>
      </c>
      <c r="BU43" s="194">
        <f t="shared" si="128"/>
        <v>0</v>
      </c>
      <c r="BV43" s="194">
        <f t="shared" si="128"/>
        <v>0</v>
      </c>
      <c r="BW43" s="194">
        <f t="shared" si="128"/>
        <v>0</v>
      </c>
      <c r="BX43" s="194">
        <f t="shared" si="128"/>
        <v>0</v>
      </c>
      <c r="BY43" s="194">
        <f t="shared" si="128"/>
        <v>0</v>
      </c>
      <c r="BZ43" s="194">
        <f t="shared" si="128"/>
        <v>0</v>
      </c>
      <c r="CA43" s="194">
        <f t="shared" si="128"/>
        <v>0</v>
      </c>
      <c r="CB43" s="195">
        <f>CA43</f>
        <v>0</v>
      </c>
      <c r="CC43" s="194">
        <f aca="true" t="shared" si="129" ref="CC43:CN43">CB43+CC38-CC41+CC39</f>
        <v>0</v>
      </c>
      <c r="CD43" s="194">
        <f t="shared" si="129"/>
        <v>0</v>
      </c>
      <c r="CE43" s="194">
        <f t="shared" si="129"/>
        <v>0</v>
      </c>
      <c r="CF43" s="194">
        <f t="shared" si="129"/>
        <v>0</v>
      </c>
      <c r="CG43" s="194">
        <f t="shared" si="129"/>
        <v>0</v>
      </c>
      <c r="CH43" s="194">
        <f t="shared" si="129"/>
        <v>0</v>
      </c>
      <c r="CI43" s="194">
        <f t="shared" si="129"/>
        <v>0</v>
      </c>
      <c r="CJ43" s="194">
        <f t="shared" si="129"/>
        <v>0</v>
      </c>
      <c r="CK43" s="194">
        <f t="shared" si="129"/>
        <v>0</v>
      </c>
      <c r="CL43" s="194">
        <f t="shared" si="129"/>
        <v>0</v>
      </c>
      <c r="CM43" s="194">
        <f t="shared" si="129"/>
        <v>0</v>
      </c>
      <c r="CN43" s="194">
        <f t="shared" si="129"/>
        <v>0</v>
      </c>
      <c r="CO43" s="195">
        <f>CN43</f>
        <v>0</v>
      </c>
      <c r="CP43" s="194">
        <f aca="true" t="shared" si="130" ref="CP43:DA43">CO43+CP38-CP41+CP39</f>
        <v>0</v>
      </c>
      <c r="CQ43" s="194">
        <f t="shared" si="130"/>
        <v>0</v>
      </c>
      <c r="CR43" s="194">
        <f t="shared" si="130"/>
        <v>0</v>
      </c>
      <c r="CS43" s="194">
        <f t="shared" si="130"/>
        <v>0</v>
      </c>
      <c r="CT43" s="194">
        <f t="shared" si="130"/>
        <v>0</v>
      </c>
      <c r="CU43" s="194">
        <f t="shared" si="130"/>
        <v>0</v>
      </c>
      <c r="CV43" s="194">
        <f t="shared" si="130"/>
        <v>0</v>
      </c>
      <c r="CW43" s="194">
        <f t="shared" si="130"/>
        <v>0</v>
      </c>
      <c r="CX43" s="194">
        <f t="shared" si="130"/>
        <v>0</v>
      </c>
      <c r="CY43" s="194">
        <f t="shared" si="130"/>
        <v>0</v>
      </c>
      <c r="CZ43" s="194">
        <f t="shared" si="130"/>
        <v>0</v>
      </c>
      <c r="DA43" s="194">
        <f t="shared" si="130"/>
        <v>0</v>
      </c>
      <c r="DB43" s="195">
        <f>DA43</f>
        <v>0</v>
      </c>
      <c r="DC43" s="194">
        <f aca="true" t="shared" si="131" ref="DC43:DN43">DB43+DC38-DC41+DC39</f>
        <v>0</v>
      </c>
      <c r="DD43" s="194">
        <f t="shared" si="131"/>
        <v>0</v>
      </c>
      <c r="DE43" s="194">
        <f t="shared" si="131"/>
        <v>0</v>
      </c>
      <c r="DF43" s="194">
        <f t="shared" si="131"/>
        <v>0</v>
      </c>
      <c r="DG43" s="194">
        <f t="shared" si="131"/>
        <v>0</v>
      </c>
      <c r="DH43" s="194">
        <f t="shared" si="131"/>
        <v>0</v>
      </c>
      <c r="DI43" s="194">
        <f t="shared" si="131"/>
        <v>0</v>
      </c>
      <c r="DJ43" s="194">
        <f t="shared" si="131"/>
        <v>0</v>
      </c>
      <c r="DK43" s="194">
        <f t="shared" si="131"/>
        <v>0</v>
      </c>
      <c r="DL43" s="194">
        <f t="shared" si="131"/>
        <v>0</v>
      </c>
      <c r="DM43" s="194">
        <f t="shared" si="131"/>
        <v>0</v>
      </c>
      <c r="DN43" s="194">
        <f t="shared" si="131"/>
        <v>0</v>
      </c>
      <c r="DO43" s="195">
        <f>DN43</f>
        <v>0</v>
      </c>
    </row>
    <row r="44" spans="1:119" ht="12.75" hidden="1">
      <c r="A44" s="177" t="s">
        <v>78</v>
      </c>
      <c r="B44" s="284">
        <f>Исх!$C$43*12-Исх!$C$44</f>
        <v>75</v>
      </c>
      <c r="CP44" s="180"/>
      <c r="DB44" s="177"/>
      <c r="DO44" s="177"/>
    </row>
    <row r="45" spans="1:119" ht="12.75" hidden="1">
      <c r="A45" s="287" t="s">
        <v>253</v>
      </c>
      <c r="B45" s="288">
        <f>$T$43*$B$20/12/((1-(1+$B$20/12)^-$B44))</f>
        <v>0</v>
      </c>
      <c r="DB45" s="177"/>
      <c r="DO45" s="177"/>
    </row>
    <row r="46" spans="1:119" ht="6" customHeight="1" hidden="1">
      <c r="A46" s="285"/>
      <c r="B46" s="282"/>
      <c r="DB46" s="177"/>
      <c r="DO46" s="177"/>
    </row>
    <row r="47" spans="1:119" ht="12.75" hidden="1">
      <c r="A47" s="270" t="s">
        <v>241</v>
      </c>
      <c r="DB47" s="177"/>
      <c r="DO47" s="177"/>
    </row>
    <row r="48" spans="1:119" ht="12.75" hidden="1" outlineLevel="1">
      <c r="A48" s="271">
        <f>B38+B39-B41</f>
        <v>0</v>
      </c>
      <c r="DB48" s="177"/>
      <c r="DO48" s="177"/>
    </row>
    <row r="49" spans="1:119" ht="12.75" hidden="1" outlineLevel="1">
      <c r="A49" s="271">
        <f>B40-B39-B42</f>
        <v>0</v>
      </c>
      <c r="DB49" s="177"/>
      <c r="DO49" s="177"/>
    </row>
    <row r="50" ht="12.75" hidden="1" collapsed="1"/>
    <row r="51" spans="1:119" ht="12.75" hidden="1">
      <c r="A51" s="296" t="s">
        <v>271</v>
      </c>
      <c r="B51" s="297"/>
      <c r="DB51" s="177"/>
      <c r="DO51" s="177"/>
    </row>
    <row r="52" spans="1:119" ht="15.75" customHeight="1" hidden="1">
      <c r="A52" s="186" t="s">
        <v>11</v>
      </c>
      <c r="B52" s="286">
        <f>Исх!$C$42</f>
        <v>0.07</v>
      </c>
      <c r="C52" s="366">
        <v>2013</v>
      </c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>
        <v>2014</v>
      </c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>
        <v>2015</v>
      </c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>
        <v>2016</v>
      </c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>
        <v>2017</v>
      </c>
      <c r="BD52" s="366"/>
      <c r="BE52" s="366"/>
      <c r="BF52" s="366"/>
      <c r="BG52" s="366"/>
      <c r="BH52" s="366"/>
      <c r="BI52" s="366"/>
      <c r="BJ52" s="366"/>
      <c r="BK52" s="366"/>
      <c r="BL52" s="366"/>
      <c r="BM52" s="366"/>
      <c r="BN52" s="366"/>
      <c r="BO52" s="366"/>
      <c r="BP52" s="366">
        <v>2018</v>
      </c>
      <c r="BQ52" s="366"/>
      <c r="BR52" s="366"/>
      <c r="BS52" s="366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>
        <v>2019</v>
      </c>
      <c r="CD52" s="366"/>
      <c r="CE52" s="366"/>
      <c r="CF52" s="366"/>
      <c r="CG52" s="366"/>
      <c r="CH52" s="366"/>
      <c r="CI52" s="366"/>
      <c r="CJ52" s="366"/>
      <c r="CK52" s="366"/>
      <c r="CL52" s="366"/>
      <c r="CM52" s="366"/>
      <c r="CN52" s="366"/>
      <c r="CO52" s="366"/>
      <c r="CP52" s="366">
        <v>2020</v>
      </c>
      <c r="CQ52" s="366"/>
      <c r="CR52" s="366"/>
      <c r="CS52" s="366"/>
      <c r="CT52" s="366"/>
      <c r="CU52" s="366"/>
      <c r="CV52" s="366"/>
      <c r="CW52" s="366"/>
      <c r="CX52" s="366"/>
      <c r="CY52" s="366"/>
      <c r="CZ52" s="366"/>
      <c r="DA52" s="366"/>
      <c r="DB52" s="366"/>
      <c r="DC52" s="366">
        <v>2021</v>
      </c>
      <c r="DD52" s="366"/>
      <c r="DE52" s="366"/>
      <c r="DF52" s="366"/>
      <c r="DG52" s="366"/>
      <c r="DH52" s="366"/>
      <c r="DI52" s="366"/>
      <c r="DJ52" s="366"/>
      <c r="DK52" s="366"/>
      <c r="DL52" s="366"/>
      <c r="DM52" s="366"/>
      <c r="DN52" s="366"/>
      <c r="DO52" s="366"/>
    </row>
    <row r="53" spans="1:119" s="192" customFormat="1" ht="15" customHeight="1" hidden="1">
      <c r="A53" s="188" t="s">
        <v>9</v>
      </c>
      <c r="B53" s="189" t="s">
        <v>89</v>
      </c>
      <c r="C53" s="190">
        <v>1</v>
      </c>
      <c r="D53" s="190">
        <v>2</v>
      </c>
      <c r="E53" s="190">
        <f aca="true" t="shared" si="132" ref="E53:N53">D53+1</f>
        <v>3</v>
      </c>
      <c r="F53" s="190">
        <f t="shared" si="132"/>
        <v>4</v>
      </c>
      <c r="G53" s="190">
        <f t="shared" si="132"/>
        <v>5</v>
      </c>
      <c r="H53" s="190">
        <f t="shared" si="132"/>
        <v>6</v>
      </c>
      <c r="I53" s="190">
        <f t="shared" si="132"/>
        <v>7</v>
      </c>
      <c r="J53" s="190">
        <f t="shared" si="132"/>
        <v>8</v>
      </c>
      <c r="K53" s="190">
        <f t="shared" si="132"/>
        <v>9</v>
      </c>
      <c r="L53" s="190">
        <f t="shared" si="132"/>
        <v>10</v>
      </c>
      <c r="M53" s="190">
        <f t="shared" si="132"/>
        <v>11</v>
      </c>
      <c r="N53" s="190">
        <f t="shared" si="132"/>
        <v>12</v>
      </c>
      <c r="O53" s="191" t="str">
        <f>O37</f>
        <v>Итого</v>
      </c>
      <c r="P53" s="190">
        <v>1</v>
      </c>
      <c r="Q53" s="190">
        <v>2</v>
      </c>
      <c r="R53" s="190">
        <f aca="true" t="shared" si="133" ref="R53:AA53">Q53+1</f>
        <v>3</v>
      </c>
      <c r="S53" s="190">
        <f t="shared" si="133"/>
        <v>4</v>
      </c>
      <c r="T53" s="190">
        <f t="shared" si="133"/>
        <v>5</v>
      </c>
      <c r="U53" s="190">
        <f t="shared" si="133"/>
        <v>6</v>
      </c>
      <c r="V53" s="190">
        <f t="shared" si="133"/>
        <v>7</v>
      </c>
      <c r="W53" s="190">
        <f t="shared" si="133"/>
        <v>8</v>
      </c>
      <c r="X53" s="190">
        <f t="shared" si="133"/>
        <v>9</v>
      </c>
      <c r="Y53" s="190">
        <f t="shared" si="133"/>
        <v>10</v>
      </c>
      <c r="Z53" s="190">
        <f t="shared" si="133"/>
        <v>11</v>
      </c>
      <c r="AA53" s="190">
        <f t="shared" si="133"/>
        <v>12</v>
      </c>
      <c r="AB53" s="191" t="str">
        <f>AB37</f>
        <v>Итого</v>
      </c>
      <c r="AC53" s="190">
        <v>1</v>
      </c>
      <c r="AD53" s="190">
        <v>2</v>
      </c>
      <c r="AE53" s="190">
        <f aca="true" t="shared" si="134" ref="AE53:AN53">AD53+1</f>
        <v>3</v>
      </c>
      <c r="AF53" s="190">
        <f t="shared" si="134"/>
        <v>4</v>
      </c>
      <c r="AG53" s="190">
        <f t="shared" si="134"/>
        <v>5</v>
      </c>
      <c r="AH53" s="190">
        <f t="shared" si="134"/>
        <v>6</v>
      </c>
      <c r="AI53" s="190">
        <f t="shared" si="134"/>
        <v>7</v>
      </c>
      <c r="AJ53" s="190">
        <f t="shared" si="134"/>
        <v>8</v>
      </c>
      <c r="AK53" s="190">
        <f t="shared" si="134"/>
        <v>9</v>
      </c>
      <c r="AL53" s="190">
        <f t="shared" si="134"/>
        <v>10</v>
      </c>
      <c r="AM53" s="190">
        <f t="shared" si="134"/>
        <v>11</v>
      </c>
      <c r="AN53" s="190">
        <f t="shared" si="134"/>
        <v>12</v>
      </c>
      <c r="AO53" s="191" t="str">
        <f>AO37</f>
        <v>Итого</v>
      </c>
      <c r="AP53" s="190">
        <v>1</v>
      </c>
      <c r="AQ53" s="190">
        <v>2</v>
      </c>
      <c r="AR53" s="190">
        <f aca="true" t="shared" si="135" ref="AR53:BA53">AQ53+1</f>
        <v>3</v>
      </c>
      <c r="AS53" s="190">
        <f t="shared" si="135"/>
        <v>4</v>
      </c>
      <c r="AT53" s="190">
        <f t="shared" si="135"/>
        <v>5</v>
      </c>
      <c r="AU53" s="190">
        <f t="shared" si="135"/>
        <v>6</v>
      </c>
      <c r="AV53" s="190">
        <f t="shared" si="135"/>
        <v>7</v>
      </c>
      <c r="AW53" s="190">
        <f t="shared" si="135"/>
        <v>8</v>
      </c>
      <c r="AX53" s="190">
        <f t="shared" si="135"/>
        <v>9</v>
      </c>
      <c r="AY53" s="190">
        <f t="shared" si="135"/>
        <v>10</v>
      </c>
      <c r="AZ53" s="190">
        <f t="shared" si="135"/>
        <v>11</v>
      </c>
      <c r="BA53" s="190">
        <f t="shared" si="135"/>
        <v>12</v>
      </c>
      <c r="BB53" s="191" t="str">
        <f>BB37</f>
        <v>Итого</v>
      </c>
      <c r="BC53" s="190">
        <v>1</v>
      </c>
      <c r="BD53" s="190">
        <v>2</v>
      </c>
      <c r="BE53" s="190">
        <f aca="true" t="shared" si="136" ref="BE53:BN53">BD53+1</f>
        <v>3</v>
      </c>
      <c r="BF53" s="190">
        <f t="shared" si="136"/>
        <v>4</v>
      </c>
      <c r="BG53" s="190">
        <f t="shared" si="136"/>
        <v>5</v>
      </c>
      <c r="BH53" s="190">
        <f t="shared" si="136"/>
        <v>6</v>
      </c>
      <c r="BI53" s="190">
        <f t="shared" si="136"/>
        <v>7</v>
      </c>
      <c r="BJ53" s="190">
        <f t="shared" si="136"/>
        <v>8</v>
      </c>
      <c r="BK53" s="190">
        <f t="shared" si="136"/>
        <v>9</v>
      </c>
      <c r="BL53" s="190">
        <f t="shared" si="136"/>
        <v>10</v>
      </c>
      <c r="BM53" s="190">
        <f t="shared" si="136"/>
        <v>11</v>
      </c>
      <c r="BN53" s="190">
        <f t="shared" si="136"/>
        <v>12</v>
      </c>
      <c r="BO53" s="191" t="str">
        <f>BO37</f>
        <v>Итого</v>
      </c>
      <c r="BP53" s="190">
        <v>1</v>
      </c>
      <c r="BQ53" s="190">
        <v>2</v>
      </c>
      <c r="BR53" s="190">
        <f aca="true" t="shared" si="137" ref="BR53:CA53">BQ53+1</f>
        <v>3</v>
      </c>
      <c r="BS53" s="190">
        <f t="shared" si="137"/>
        <v>4</v>
      </c>
      <c r="BT53" s="190">
        <f t="shared" si="137"/>
        <v>5</v>
      </c>
      <c r="BU53" s="190">
        <f t="shared" si="137"/>
        <v>6</v>
      </c>
      <c r="BV53" s="190">
        <f t="shared" si="137"/>
        <v>7</v>
      </c>
      <c r="BW53" s="190">
        <f t="shared" si="137"/>
        <v>8</v>
      </c>
      <c r="BX53" s="190">
        <f t="shared" si="137"/>
        <v>9</v>
      </c>
      <c r="BY53" s="190">
        <f t="shared" si="137"/>
        <v>10</v>
      </c>
      <c r="BZ53" s="190">
        <f t="shared" si="137"/>
        <v>11</v>
      </c>
      <c r="CA53" s="190">
        <f t="shared" si="137"/>
        <v>12</v>
      </c>
      <c r="CB53" s="191" t="str">
        <f>CB37</f>
        <v>Итого</v>
      </c>
      <c r="CC53" s="190">
        <v>1</v>
      </c>
      <c r="CD53" s="190">
        <v>2</v>
      </c>
      <c r="CE53" s="190">
        <f aca="true" t="shared" si="138" ref="CE53:CN53">CD53+1</f>
        <v>3</v>
      </c>
      <c r="CF53" s="190">
        <f t="shared" si="138"/>
        <v>4</v>
      </c>
      <c r="CG53" s="190">
        <f t="shared" si="138"/>
        <v>5</v>
      </c>
      <c r="CH53" s="190">
        <f t="shared" si="138"/>
        <v>6</v>
      </c>
      <c r="CI53" s="190">
        <f t="shared" si="138"/>
        <v>7</v>
      </c>
      <c r="CJ53" s="190">
        <f t="shared" si="138"/>
        <v>8</v>
      </c>
      <c r="CK53" s="190">
        <f t="shared" si="138"/>
        <v>9</v>
      </c>
      <c r="CL53" s="190">
        <f t="shared" si="138"/>
        <v>10</v>
      </c>
      <c r="CM53" s="190">
        <f t="shared" si="138"/>
        <v>11</v>
      </c>
      <c r="CN53" s="190">
        <f t="shared" si="138"/>
        <v>12</v>
      </c>
      <c r="CO53" s="191" t="str">
        <f>CO37</f>
        <v>Итого</v>
      </c>
      <c r="CP53" s="190">
        <v>1</v>
      </c>
      <c r="CQ53" s="190">
        <f aca="true" t="shared" si="139" ref="CQ53:DA53">CP53+1</f>
        <v>2</v>
      </c>
      <c r="CR53" s="190">
        <f t="shared" si="139"/>
        <v>3</v>
      </c>
      <c r="CS53" s="190">
        <f t="shared" si="139"/>
        <v>4</v>
      </c>
      <c r="CT53" s="190">
        <f t="shared" si="139"/>
        <v>5</v>
      </c>
      <c r="CU53" s="190">
        <f t="shared" si="139"/>
        <v>6</v>
      </c>
      <c r="CV53" s="190">
        <f t="shared" si="139"/>
        <v>7</v>
      </c>
      <c r="CW53" s="190">
        <f t="shared" si="139"/>
        <v>8</v>
      </c>
      <c r="CX53" s="190">
        <f t="shared" si="139"/>
        <v>9</v>
      </c>
      <c r="CY53" s="190">
        <f t="shared" si="139"/>
        <v>10</v>
      </c>
      <c r="CZ53" s="190">
        <f t="shared" si="139"/>
        <v>11</v>
      </c>
      <c r="DA53" s="190">
        <f t="shared" si="139"/>
        <v>12</v>
      </c>
      <c r="DB53" s="191" t="str">
        <f>DB37</f>
        <v>Итого</v>
      </c>
      <c r="DC53" s="190">
        <v>1</v>
      </c>
      <c r="DD53" s="190">
        <f aca="true" t="shared" si="140" ref="DD53:DN53">DC53+1</f>
        <v>2</v>
      </c>
      <c r="DE53" s="190">
        <f t="shared" si="140"/>
        <v>3</v>
      </c>
      <c r="DF53" s="190">
        <f t="shared" si="140"/>
        <v>4</v>
      </c>
      <c r="DG53" s="190">
        <f t="shared" si="140"/>
        <v>5</v>
      </c>
      <c r="DH53" s="190">
        <f t="shared" si="140"/>
        <v>6</v>
      </c>
      <c r="DI53" s="190">
        <f t="shared" si="140"/>
        <v>7</v>
      </c>
      <c r="DJ53" s="190">
        <f t="shared" si="140"/>
        <v>8</v>
      </c>
      <c r="DK53" s="190">
        <f t="shared" si="140"/>
        <v>9</v>
      </c>
      <c r="DL53" s="190">
        <f t="shared" si="140"/>
        <v>10</v>
      </c>
      <c r="DM53" s="190">
        <f t="shared" si="140"/>
        <v>11</v>
      </c>
      <c r="DN53" s="190">
        <f t="shared" si="140"/>
        <v>12</v>
      </c>
      <c r="DO53" s="191" t="s">
        <v>0</v>
      </c>
    </row>
    <row r="54" spans="1:119" ht="12.75" hidden="1">
      <c r="A54" s="188" t="s">
        <v>106</v>
      </c>
      <c r="B54" s="193">
        <f>O54+AB54+AO54+BB54+BO54+CB54+CO54+DB54+DO54</f>
        <v>0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5">
        <f>SUM(C54:N54)</f>
        <v>0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>
        <f>SUM(P54:AA54)</f>
        <v>0</v>
      </c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>
        <f>SUM(AC54:AN54)</f>
        <v>0</v>
      </c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</row>
    <row r="55" spans="1:119" s="197" customFormat="1" ht="20.25" customHeight="1" hidden="1">
      <c r="A55" s="188" t="s">
        <v>31</v>
      </c>
      <c r="B55" s="193">
        <f>O55+AB55+AO55+BB55+BO55+CB55+CO55+DB55+DO55</f>
        <v>0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5">
        <f>SUM(C55:N55)</f>
        <v>0</v>
      </c>
      <c r="P55" s="194"/>
      <c r="Q55" s="194"/>
      <c r="R55" s="194"/>
      <c r="S55" s="194"/>
      <c r="T55" s="194"/>
      <c r="U55" s="194">
        <f>SUM(O56:U56)</f>
        <v>0</v>
      </c>
      <c r="V55" s="194"/>
      <c r="W55" s="194"/>
      <c r="X55" s="194"/>
      <c r="Y55" s="194"/>
      <c r="Z55" s="194"/>
      <c r="AA55" s="194"/>
      <c r="AB55" s="195">
        <f>SUM(P55:AA55)</f>
        <v>0</v>
      </c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5">
        <f>SUM(AC55:AN55)</f>
        <v>0</v>
      </c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5">
        <f>SUM(AP55:BA55)</f>
        <v>0</v>
      </c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5">
        <f>SUM(BC55:BN55)</f>
        <v>0</v>
      </c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5">
        <f>SUM(BP55:CA55)</f>
        <v>0</v>
      </c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5">
        <f>SUM(CC55:CN55)</f>
        <v>0</v>
      </c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5">
        <f>SUM(CP55:DA55)</f>
        <v>0</v>
      </c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5">
        <f>SUM(DC55:DN55)</f>
        <v>0</v>
      </c>
    </row>
    <row r="56" spans="1:119" s="197" customFormat="1" ht="12.75" hidden="1">
      <c r="A56" s="198" t="s">
        <v>13</v>
      </c>
      <c r="B56" s="193">
        <f>O56+AB56+AO56+BB56+BO56+CB56+CO56+DB56+DO56</f>
        <v>0</v>
      </c>
      <c r="C56" s="194"/>
      <c r="D56" s="194">
        <f aca="true" t="shared" si="141" ref="D56:N56">C59*$B52/12</f>
        <v>0</v>
      </c>
      <c r="E56" s="194">
        <f t="shared" si="141"/>
        <v>0</v>
      </c>
      <c r="F56" s="194">
        <f t="shared" si="141"/>
        <v>0</v>
      </c>
      <c r="G56" s="194">
        <f t="shared" si="141"/>
        <v>0</v>
      </c>
      <c r="H56" s="194">
        <f t="shared" si="141"/>
        <v>0</v>
      </c>
      <c r="I56" s="194">
        <f t="shared" si="141"/>
        <v>0</v>
      </c>
      <c r="J56" s="194">
        <f t="shared" si="141"/>
        <v>0</v>
      </c>
      <c r="K56" s="194">
        <f t="shared" si="141"/>
        <v>0</v>
      </c>
      <c r="L56" s="194">
        <f t="shared" si="141"/>
        <v>0</v>
      </c>
      <c r="M56" s="194">
        <f t="shared" si="141"/>
        <v>0</v>
      </c>
      <c r="N56" s="194">
        <f t="shared" si="141"/>
        <v>0</v>
      </c>
      <c r="O56" s="195">
        <f>SUM(C56:N56)</f>
        <v>0</v>
      </c>
      <c r="P56" s="194">
        <f aca="true" t="shared" si="142" ref="P56:AA56">O59*$B52/12</f>
        <v>0</v>
      </c>
      <c r="Q56" s="194">
        <f t="shared" si="142"/>
        <v>0</v>
      </c>
      <c r="R56" s="194">
        <f t="shared" si="142"/>
        <v>0</v>
      </c>
      <c r="S56" s="194">
        <f t="shared" si="142"/>
        <v>0</v>
      </c>
      <c r="T56" s="194">
        <f t="shared" si="142"/>
        <v>0</v>
      </c>
      <c r="U56" s="194">
        <f t="shared" si="142"/>
        <v>0</v>
      </c>
      <c r="V56" s="194">
        <f t="shared" si="142"/>
        <v>0</v>
      </c>
      <c r="W56" s="194">
        <f t="shared" si="142"/>
        <v>0</v>
      </c>
      <c r="X56" s="194">
        <f t="shared" si="142"/>
        <v>0</v>
      </c>
      <c r="Y56" s="194">
        <f t="shared" si="142"/>
        <v>0</v>
      </c>
      <c r="Z56" s="194">
        <f t="shared" si="142"/>
        <v>0</v>
      </c>
      <c r="AA56" s="194">
        <f t="shared" si="142"/>
        <v>0</v>
      </c>
      <c r="AB56" s="195">
        <f>SUM(P56:AA56)</f>
        <v>0</v>
      </c>
      <c r="AC56" s="194">
        <f aca="true" t="shared" si="143" ref="AC56:AN56">AB59*$B52/12</f>
        <v>0</v>
      </c>
      <c r="AD56" s="194">
        <f t="shared" si="143"/>
        <v>0</v>
      </c>
      <c r="AE56" s="194">
        <f t="shared" si="143"/>
        <v>0</v>
      </c>
      <c r="AF56" s="194">
        <f t="shared" si="143"/>
        <v>0</v>
      </c>
      <c r="AG56" s="194">
        <f t="shared" si="143"/>
        <v>0</v>
      </c>
      <c r="AH56" s="194">
        <f t="shared" si="143"/>
        <v>0</v>
      </c>
      <c r="AI56" s="194">
        <f t="shared" si="143"/>
        <v>0</v>
      </c>
      <c r="AJ56" s="194">
        <f t="shared" si="143"/>
        <v>0</v>
      </c>
      <c r="AK56" s="194">
        <f t="shared" si="143"/>
        <v>0</v>
      </c>
      <c r="AL56" s="194">
        <f t="shared" si="143"/>
        <v>0</v>
      </c>
      <c r="AM56" s="194">
        <f t="shared" si="143"/>
        <v>0</v>
      </c>
      <c r="AN56" s="194">
        <f t="shared" si="143"/>
        <v>0</v>
      </c>
      <c r="AO56" s="195">
        <f>SUM(AC56:AN56)</f>
        <v>0</v>
      </c>
      <c r="AP56" s="194">
        <f aca="true" t="shared" si="144" ref="AP56:BA56">AO59*$B52/12</f>
        <v>0</v>
      </c>
      <c r="AQ56" s="194">
        <f t="shared" si="144"/>
        <v>0</v>
      </c>
      <c r="AR56" s="194">
        <f t="shared" si="144"/>
        <v>0</v>
      </c>
      <c r="AS56" s="194">
        <f t="shared" si="144"/>
        <v>0</v>
      </c>
      <c r="AT56" s="194">
        <f t="shared" si="144"/>
        <v>0</v>
      </c>
      <c r="AU56" s="194">
        <f t="shared" si="144"/>
        <v>0</v>
      </c>
      <c r="AV56" s="194">
        <f t="shared" si="144"/>
        <v>0</v>
      </c>
      <c r="AW56" s="194">
        <f t="shared" si="144"/>
        <v>0</v>
      </c>
      <c r="AX56" s="194">
        <f t="shared" si="144"/>
        <v>0</v>
      </c>
      <c r="AY56" s="194">
        <f t="shared" si="144"/>
        <v>0</v>
      </c>
      <c r="AZ56" s="194">
        <f t="shared" si="144"/>
        <v>0</v>
      </c>
      <c r="BA56" s="194">
        <f t="shared" si="144"/>
        <v>0</v>
      </c>
      <c r="BB56" s="195">
        <f>SUM(AP56:BA56)</f>
        <v>0</v>
      </c>
      <c r="BC56" s="194">
        <f aca="true" t="shared" si="145" ref="BC56:BN56">BB59*$B52/12</f>
        <v>0</v>
      </c>
      <c r="BD56" s="194">
        <f t="shared" si="145"/>
        <v>0</v>
      </c>
      <c r="BE56" s="194">
        <f t="shared" si="145"/>
        <v>0</v>
      </c>
      <c r="BF56" s="194">
        <f t="shared" si="145"/>
        <v>0</v>
      </c>
      <c r="BG56" s="194">
        <f t="shared" si="145"/>
        <v>0</v>
      </c>
      <c r="BH56" s="194">
        <f t="shared" si="145"/>
        <v>0</v>
      </c>
      <c r="BI56" s="194">
        <f t="shared" si="145"/>
        <v>0</v>
      </c>
      <c r="BJ56" s="194">
        <f t="shared" si="145"/>
        <v>0</v>
      </c>
      <c r="BK56" s="194">
        <f t="shared" si="145"/>
        <v>0</v>
      </c>
      <c r="BL56" s="194">
        <f t="shared" si="145"/>
        <v>0</v>
      </c>
      <c r="BM56" s="194">
        <f t="shared" si="145"/>
        <v>0</v>
      </c>
      <c r="BN56" s="194">
        <f t="shared" si="145"/>
        <v>0</v>
      </c>
      <c r="BO56" s="195">
        <f>SUM(BC56:BN56)</f>
        <v>0</v>
      </c>
      <c r="BP56" s="194">
        <f aca="true" t="shared" si="146" ref="BP56:CA56">BO59*$B52/12</f>
        <v>0</v>
      </c>
      <c r="BQ56" s="194">
        <f t="shared" si="146"/>
        <v>0</v>
      </c>
      <c r="BR56" s="194">
        <f t="shared" si="146"/>
        <v>0</v>
      </c>
      <c r="BS56" s="194">
        <f t="shared" si="146"/>
        <v>0</v>
      </c>
      <c r="BT56" s="194">
        <f t="shared" si="146"/>
        <v>0</v>
      </c>
      <c r="BU56" s="194">
        <f t="shared" si="146"/>
        <v>0</v>
      </c>
      <c r="BV56" s="194">
        <f t="shared" si="146"/>
        <v>0</v>
      </c>
      <c r="BW56" s="194">
        <f t="shared" si="146"/>
        <v>0</v>
      </c>
      <c r="BX56" s="194">
        <f t="shared" si="146"/>
        <v>0</v>
      </c>
      <c r="BY56" s="194">
        <f t="shared" si="146"/>
        <v>0</v>
      </c>
      <c r="BZ56" s="194">
        <f t="shared" si="146"/>
        <v>0</v>
      </c>
      <c r="CA56" s="194">
        <f t="shared" si="146"/>
        <v>0</v>
      </c>
      <c r="CB56" s="195">
        <f>SUM(BP56:CA56)</f>
        <v>0</v>
      </c>
      <c r="CC56" s="194">
        <f aca="true" t="shared" si="147" ref="CC56:CN56">CB59*$B52/12</f>
        <v>0</v>
      </c>
      <c r="CD56" s="194">
        <f t="shared" si="147"/>
        <v>0</v>
      </c>
      <c r="CE56" s="194">
        <f t="shared" si="147"/>
        <v>0</v>
      </c>
      <c r="CF56" s="194">
        <f t="shared" si="147"/>
        <v>0</v>
      </c>
      <c r="CG56" s="194">
        <f t="shared" si="147"/>
        <v>0</v>
      </c>
      <c r="CH56" s="194">
        <f t="shared" si="147"/>
        <v>0</v>
      </c>
      <c r="CI56" s="194">
        <f t="shared" si="147"/>
        <v>0</v>
      </c>
      <c r="CJ56" s="194">
        <f t="shared" si="147"/>
        <v>0</v>
      </c>
      <c r="CK56" s="194">
        <f t="shared" si="147"/>
        <v>0</v>
      </c>
      <c r="CL56" s="194">
        <f t="shared" si="147"/>
        <v>0</v>
      </c>
      <c r="CM56" s="194">
        <f t="shared" si="147"/>
        <v>0</v>
      </c>
      <c r="CN56" s="194">
        <f t="shared" si="147"/>
        <v>0</v>
      </c>
      <c r="CO56" s="195">
        <f>SUM(CC56:CN56)</f>
        <v>0</v>
      </c>
      <c r="CP56" s="194">
        <f aca="true" t="shared" si="148" ref="CP56:DA56">CO59*$B52/12</f>
        <v>0</v>
      </c>
      <c r="CQ56" s="194">
        <f t="shared" si="148"/>
        <v>0</v>
      </c>
      <c r="CR56" s="194">
        <f t="shared" si="148"/>
        <v>0</v>
      </c>
      <c r="CS56" s="194">
        <f t="shared" si="148"/>
        <v>0</v>
      </c>
      <c r="CT56" s="194">
        <f t="shared" si="148"/>
        <v>0</v>
      </c>
      <c r="CU56" s="194">
        <f t="shared" si="148"/>
        <v>0</v>
      </c>
      <c r="CV56" s="194">
        <f t="shared" si="148"/>
        <v>0</v>
      </c>
      <c r="CW56" s="194">
        <f t="shared" si="148"/>
        <v>0</v>
      </c>
      <c r="CX56" s="194">
        <f t="shared" si="148"/>
        <v>0</v>
      </c>
      <c r="CY56" s="194">
        <f t="shared" si="148"/>
        <v>0</v>
      </c>
      <c r="CZ56" s="194">
        <f t="shared" si="148"/>
        <v>0</v>
      </c>
      <c r="DA56" s="194">
        <f t="shared" si="148"/>
        <v>0</v>
      </c>
      <c r="DB56" s="195">
        <f>SUM(CP56:DA56)</f>
        <v>0</v>
      </c>
      <c r="DC56" s="194">
        <f aca="true" t="shared" si="149" ref="DC56:DN56">DB59*$B52/12</f>
        <v>0</v>
      </c>
      <c r="DD56" s="194">
        <f t="shared" si="149"/>
        <v>0</v>
      </c>
      <c r="DE56" s="194">
        <f t="shared" si="149"/>
        <v>0</v>
      </c>
      <c r="DF56" s="194">
        <f t="shared" si="149"/>
        <v>0</v>
      </c>
      <c r="DG56" s="194">
        <f t="shared" si="149"/>
        <v>0</v>
      </c>
      <c r="DH56" s="194">
        <f t="shared" si="149"/>
        <v>0</v>
      </c>
      <c r="DI56" s="194">
        <f t="shared" si="149"/>
        <v>0</v>
      </c>
      <c r="DJ56" s="194">
        <f t="shared" si="149"/>
        <v>0</v>
      </c>
      <c r="DK56" s="194">
        <f t="shared" si="149"/>
        <v>0</v>
      </c>
      <c r="DL56" s="194">
        <f t="shared" si="149"/>
        <v>0</v>
      </c>
      <c r="DM56" s="194">
        <f t="shared" si="149"/>
        <v>0</v>
      </c>
      <c r="DN56" s="194">
        <f t="shared" si="149"/>
        <v>0</v>
      </c>
      <c r="DO56" s="195">
        <f>SUM(DC56:DN56)</f>
        <v>0</v>
      </c>
    </row>
    <row r="57" spans="1:119" ht="12.75" hidden="1">
      <c r="A57" s="188" t="s">
        <v>14</v>
      </c>
      <c r="B57" s="193">
        <f>O57+AB57+AO57+BB57+BO57+CB57+CO57+DB57+DO57</f>
        <v>0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9"/>
      <c r="M57" s="199"/>
      <c r="N57" s="199"/>
      <c r="O57" s="195">
        <f>SUM(C57:N57)</f>
        <v>0</v>
      </c>
      <c r="P57" s="199"/>
      <c r="Q57" s="199"/>
      <c r="R57" s="199"/>
      <c r="S57" s="199"/>
      <c r="T57" s="199"/>
      <c r="U57" s="199"/>
      <c r="V57" s="194">
        <f aca="true" t="shared" si="150" ref="V57:AA57">$B61-V56</f>
        <v>0</v>
      </c>
      <c r="W57" s="194">
        <f t="shared" si="150"/>
        <v>0</v>
      </c>
      <c r="X57" s="194">
        <f t="shared" si="150"/>
        <v>0</v>
      </c>
      <c r="Y57" s="194">
        <f t="shared" si="150"/>
        <v>0</v>
      </c>
      <c r="Z57" s="194">
        <f t="shared" si="150"/>
        <v>0</v>
      </c>
      <c r="AA57" s="194">
        <f t="shared" si="150"/>
        <v>0</v>
      </c>
      <c r="AB57" s="195">
        <f>SUM(P57:AA57)</f>
        <v>0</v>
      </c>
      <c r="AC57" s="194">
        <f aca="true" t="shared" si="151" ref="AC57:AN57">$B61-AC56</f>
        <v>0</v>
      </c>
      <c r="AD57" s="194">
        <f t="shared" si="151"/>
        <v>0</v>
      </c>
      <c r="AE57" s="194">
        <f t="shared" si="151"/>
        <v>0</v>
      </c>
      <c r="AF57" s="194">
        <f t="shared" si="151"/>
        <v>0</v>
      </c>
      <c r="AG57" s="194">
        <f t="shared" si="151"/>
        <v>0</v>
      </c>
      <c r="AH57" s="194">
        <f t="shared" si="151"/>
        <v>0</v>
      </c>
      <c r="AI57" s="194">
        <f t="shared" si="151"/>
        <v>0</v>
      </c>
      <c r="AJ57" s="194">
        <f t="shared" si="151"/>
        <v>0</v>
      </c>
      <c r="AK57" s="194">
        <f t="shared" si="151"/>
        <v>0</v>
      </c>
      <c r="AL57" s="194">
        <f t="shared" si="151"/>
        <v>0</v>
      </c>
      <c r="AM57" s="194">
        <f t="shared" si="151"/>
        <v>0</v>
      </c>
      <c r="AN57" s="194">
        <f t="shared" si="151"/>
        <v>0</v>
      </c>
      <c r="AO57" s="195">
        <f>SUM(AC57:AN57)</f>
        <v>0</v>
      </c>
      <c r="AP57" s="194">
        <f aca="true" t="shared" si="152" ref="AP57:BA57">$B61-AP56</f>
        <v>0</v>
      </c>
      <c r="AQ57" s="194">
        <f t="shared" si="152"/>
        <v>0</v>
      </c>
      <c r="AR57" s="194">
        <f t="shared" si="152"/>
        <v>0</v>
      </c>
      <c r="AS57" s="194">
        <f t="shared" si="152"/>
        <v>0</v>
      </c>
      <c r="AT57" s="194">
        <f t="shared" si="152"/>
        <v>0</v>
      </c>
      <c r="AU57" s="194">
        <f t="shared" si="152"/>
        <v>0</v>
      </c>
      <c r="AV57" s="194">
        <f t="shared" si="152"/>
        <v>0</v>
      </c>
      <c r="AW57" s="194">
        <f t="shared" si="152"/>
        <v>0</v>
      </c>
      <c r="AX57" s="194">
        <f t="shared" si="152"/>
        <v>0</v>
      </c>
      <c r="AY57" s="194">
        <f t="shared" si="152"/>
        <v>0</v>
      </c>
      <c r="AZ57" s="194">
        <f t="shared" si="152"/>
        <v>0</v>
      </c>
      <c r="BA57" s="194">
        <f t="shared" si="152"/>
        <v>0</v>
      </c>
      <c r="BB57" s="195">
        <f>SUM(AP57:BA57)</f>
        <v>0</v>
      </c>
      <c r="BC57" s="194">
        <f aca="true" t="shared" si="153" ref="BC57:BN57">$B61-BC56</f>
        <v>0</v>
      </c>
      <c r="BD57" s="194">
        <f t="shared" si="153"/>
        <v>0</v>
      </c>
      <c r="BE57" s="194">
        <f t="shared" si="153"/>
        <v>0</v>
      </c>
      <c r="BF57" s="194">
        <f t="shared" si="153"/>
        <v>0</v>
      </c>
      <c r="BG57" s="194">
        <f t="shared" si="153"/>
        <v>0</v>
      </c>
      <c r="BH57" s="194">
        <f t="shared" si="153"/>
        <v>0</v>
      </c>
      <c r="BI57" s="194">
        <f t="shared" si="153"/>
        <v>0</v>
      </c>
      <c r="BJ57" s="194">
        <f t="shared" si="153"/>
        <v>0</v>
      </c>
      <c r="BK57" s="194">
        <f t="shared" si="153"/>
        <v>0</v>
      </c>
      <c r="BL57" s="194">
        <f t="shared" si="153"/>
        <v>0</v>
      </c>
      <c r="BM57" s="194">
        <f t="shared" si="153"/>
        <v>0</v>
      </c>
      <c r="BN57" s="194">
        <f t="shared" si="153"/>
        <v>0</v>
      </c>
      <c r="BO57" s="195">
        <f>SUM(BC57:BN57)</f>
        <v>0</v>
      </c>
      <c r="BP57" s="194">
        <f aca="true" t="shared" si="154" ref="BP57:CA57">$B61-BP56</f>
        <v>0</v>
      </c>
      <c r="BQ57" s="194">
        <f t="shared" si="154"/>
        <v>0</v>
      </c>
      <c r="BR57" s="194">
        <f t="shared" si="154"/>
        <v>0</v>
      </c>
      <c r="BS57" s="194">
        <f t="shared" si="154"/>
        <v>0</v>
      </c>
      <c r="BT57" s="194">
        <f t="shared" si="154"/>
        <v>0</v>
      </c>
      <c r="BU57" s="194">
        <f t="shared" si="154"/>
        <v>0</v>
      </c>
      <c r="BV57" s="194">
        <f t="shared" si="154"/>
        <v>0</v>
      </c>
      <c r="BW57" s="194">
        <f t="shared" si="154"/>
        <v>0</v>
      </c>
      <c r="BX57" s="194">
        <f t="shared" si="154"/>
        <v>0</v>
      </c>
      <c r="BY57" s="194">
        <f t="shared" si="154"/>
        <v>0</v>
      </c>
      <c r="BZ57" s="194">
        <f t="shared" si="154"/>
        <v>0</v>
      </c>
      <c r="CA57" s="194">
        <f t="shared" si="154"/>
        <v>0</v>
      </c>
      <c r="CB57" s="195">
        <f>SUM(BP57:CA57)</f>
        <v>0</v>
      </c>
      <c r="CC57" s="194">
        <f aca="true" t="shared" si="155" ref="CC57:CN57">$B61-CC56</f>
        <v>0</v>
      </c>
      <c r="CD57" s="194">
        <f t="shared" si="155"/>
        <v>0</v>
      </c>
      <c r="CE57" s="194">
        <f t="shared" si="155"/>
        <v>0</v>
      </c>
      <c r="CF57" s="194">
        <f t="shared" si="155"/>
        <v>0</v>
      </c>
      <c r="CG57" s="194">
        <f t="shared" si="155"/>
        <v>0</v>
      </c>
      <c r="CH57" s="194">
        <f t="shared" si="155"/>
        <v>0</v>
      </c>
      <c r="CI57" s="194">
        <f t="shared" si="155"/>
        <v>0</v>
      </c>
      <c r="CJ57" s="194">
        <f t="shared" si="155"/>
        <v>0</v>
      </c>
      <c r="CK57" s="194">
        <f t="shared" si="155"/>
        <v>0</v>
      </c>
      <c r="CL57" s="194">
        <f t="shared" si="155"/>
        <v>0</v>
      </c>
      <c r="CM57" s="194">
        <f t="shared" si="155"/>
        <v>0</v>
      </c>
      <c r="CN57" s="194">
        <f t="shared" si="155"/>
        <v>0</v>
      </c>
      <c r="CO57" s="195">
        <f>SUM(CC57:CN57)</f>
        <v>0</v>
      </c>
      <c r="CP57" s="194">
        <f aca="true" t="shared" si="156" ref="CP57:CX57">$B61-CP56</f>
        <v>0</v>
      </c>
      <c r="CQ57" s="194">
        <f t="shared" si="156"/>
        <v>0</v>
      </c>
      <c r="CR57" s="194">
        <f t="shared" si="156"/>
        <v>0</v>
      </c>
      <c r="CS57" s="194">
        <f t="shared" si="156"/>
        <v>0</v>
      </c>
      <c r="CT57" s="194">
        <f t="shared" si="156"/>
        <v>0</v>
      </c>
      <c r="CU57" s="194">
        <f t="shared" si="156"/>
        <v>0</v>
      </c>
      <c r="CV57" s="194">
        <f t="shared" si="156"/>
        <v>0</v>
      </c>
      <c r="CW57" s="194">
        <f t="shared" si="156"/>
        <v>0</v>
      </c>
      <c r="CX57" s="194">
        <f t="shared" si="156"/>
        <v>0</v>
      </c>
      <c r="CY57" s="194"/>
      <c r="CZ57" s="194"/>
      <c r="DA57" s="194"/>
      <c r="DB57" s="195">
        <f>SUM(CP57:DA57)</f>
        <v>0</v>
      </c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5">
        <f>SUM(DC57:DN57)</f>
        <v>0</v>
      </c>
    </row>
    <row r="58" spans="1:119" ht="12.75" hidden="1">
      <c r="A58" s="188" t="s">
        <v>15</v>
      </c>
      <c r="B58" s="193">
        <f>O58+AB58+AO58+BB58+BO58+CB58+CO58+DB58+DO58</f>
        <v>0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9"/>
      <c r="M58" s="199"/>
      <c r="N58" s="199"/>
      <c r="O58" s="195">
        <f>SUM(C58:N58)</f>
        <v>0</v>
      </c>
      <c r="P58" s="199"/>
      <c r="Q58" s="199"/>
      <c r="R58" s="199"/>
      <c r="S58" s="199"/>
      <c r="T58" s="199"/>
      <c r="U58" s="199"/>
      <c r="V58" s="194">
        <f aca="true" t="shared" si="157" ref="V58:AA58">V56</f>
        <v>0</v>
      </c>
      <c r="W58" s="194">
        <f t="shared" si="157"/>
        <v>0</v>
      </c>
      <c r="X58" s="194">
        <f t="shared" si="157"/>
        <v>0</v>
      </c>
      <c r="Y58" s="194">
        <f t="shared" si="157"/>
        <v>0</v>
      </c>
      <c r="Z58" s="194">
        <f t="shared" si="157"/>
        <v>0</v>
      </c>
      <c r="AA58" s="194">
        <f t="shared" si="157"/>
        <v>0</v>
      </c>
      <c r="AB58" s="195">
        <f>SUM(P58:AA58)</f>
        <v>0</v>
      </c>
      <c r="AC58" s="194">
        <f aca="true" t="shared" si="158" ref="AC58:AK58">AC56</f>
        <v>0</v>
      </c>
      <c r="AD58" s="194">
        <f t="shared" si="158"/>
        <v>0</v>
      </c>
      <c r="AE58" s="194">
        <f t="shared" si="158"/>
        <v>0</v>
      </c>
      <c r="AF58" s="194">
        <f t="shared" si="158"/>
        <v>0</v>
      </c>
      <c r="AG58" s="194">
        <f t="shared" si="158"/>
        <v>0</v>
      </c>
      <c r="AH58" s="194">
        <f t="shared" si="158"/>
        <v>0</v>
      </c>
      <c r="AI58" s="194">
        <f t="shared" si="158"/>
        <v>0</v>
      </c>
      <c r="AJ58" s="194">
        <f t="shared" si="158"/>
        <v>0</v>
      </c>
      <c r="AK58" s="194">
        <f t="shared" si="158"/>
        <v>0</v>
      </c>
      <c r="AL58" s="194">
        <f>AL56</f>
        <v>0</v>
      </c>
      <c r="AM58" s="194">
        <f>AM56</f>
        <v>0</v>
      </c>
      <c r="AN58" s="194">
        <f>AN56</f>
        <v>0</v>
      </c>
      <c r="AO58" s="195">
        <f>SUM(AC58:AN58)</f>
        <v>0</v>
      </c>
      <c r="AP58" s="194">
        <f aca="true" t="shared" si="159" ref="AP58:BA58">AP56</f>
        <v>0</v>
      </c>
      <c r="AQ58" s="194">
        <f t="shared" si="159"/>
        <v>0</v>
      </c>
      <c r="AR58" s="194">
        <f t="shared" si="159"/>
        <v>0</v>
      </c>
      <c r="AS58" s="194">
        <f t="shared" si="159"/>
        <v>0</v>
      </c>
      <c r="AT58" s="194">
        <f t="shared" si="159"/>
        <v>0</v>
      </c>
      <c r="AU58" s="194">
        <f t="shared" si="159"/>
        <v>0</v>
      </c>
      <c r="AV58" s="194">
        <f t="shared" si="159"/>
        <v>0</v>
      </c>
      <c r="AW58" s="194">
        <f t="shared" si="159"/>
        <v>0</v>
      </c>
      <c r="AX58" s="194">
        <f t="shared" si="159"/>
        <v>0</v>
      </c>
      <c r="AY58" s="194">
        <f t="shared" si="159"/>
        <v>0</v>
      </c>
      <c r="AZ58" s="194">
        <f t="shared" si="159"/>
        <v>0</v>
      </c>
      <c r="BA58" s="194">
        <f t="shared" si="159"/>
        <v>0</v>
      </c>
      <c r="BB58" s="195">
        <f>SUM(AP58:BA58)</f>
        <v>0</v>
      </c>
      <c r="BC58" s="194">
        <f aca="true" t="shared" si="160" ref="BC58:BN58">BC56</f>
        <v>0</v>
      </c>
      <c r="BD58" s="194">
        <f t="shared" si="160"/>
        <v>0</v>
      </c>
      <c r="BE58" s="194">
        <f t="shared" si="160"/>
        <v>0</v>
      </c>
      <c r="BF58" s="194">
        <f t="shared" si="160"/>
        <v>0</v>
      </c>
      <c r="BG58" s="194">
        <f t="shared" si="160"/>
        <v>0</v>
      </c>
      <c r="BH58" s="194">
        <f t="shared" si="160"/>
        <v>0</v>
      </c>
      <c r="BI58" s="194">
        <f t="shared" si="160"/>
        <v>0</v>
      </c>
      <c r="BJ58" s="194">
        <f t="shared" si="160"/>
        <v>0</v>
      </c>
      <c r="BK58" s="194">
        <f t="shared" si="160"/>
        <v>0</v>
      </c>
      <c r="BL58" s="194">
        <f t="shared" si="160"/>
        <v>0</v>
      </c>
      <c r="BM58" s="194">
        <f t="shared" si="160"/>
        <v>0</v>
      </c>
      <c r="BN58" s="194">
        <f t="shared" si="160"/>
        <v>0</v>
      </c>
      <c r="BO58" s="195">
        <f>SUM(BC58:BN58)</f>
        <v>0</v>
      </c>
      <c r="BP58" s="194">
        <f aca="true" t="shared" si="161" ref="BP58:CA58">BP56</f>
        <v>0</v>
      </c>
      <c r="BQ58" s="194">
        <f t="shared" si="161"/>
        <v>0</v>
      </c>
      <c r="BR58" s="194">
        <f t="shared" si="161"/>
        <v>0</v>
      </c>
      <c r="BS58" s="194">
        <f t="shared" si="161"/>
        <v>0</v>
      </c>
      <c r="BT58" s="194">
        <f t="shared" si="161"/>
        <v>0</v>
      </c>
      <c r="BU58" s="194">
        <f t="shared" si="161"/>
        <v>0</v>
      </c>
      <c r="BV58" s="194">
        <f t="shared" si="161"/>
        <v>0</v>
      </c>
      <c r="BW58" s="194">
        <f t="shared" si="161"/>
        <v>0</v>
      </c>
      <c r="BX58" s="194">
        <f t="shared" si="161"/>
        <v>0</v>
      </c>
      <c r="BY58" s="194">
        <f t="shared" si="161"/>
        <v>0</v>
      </c>
      <c r="BZ58" s="194">
        <f t="shared" si="161"/>
        <v>0</v>
      </c>
      <c r="CA58" s="194">
        <f t="shared" si="161"/>
        <v>0</v>
      </c>
      <c r="CB58" s="195">
        <f>SUM(BP58:CA58)</f>
        <v>0</v>
      </c>
      <c r="CC58" s="194">
        <f aca="true" t="shared" si="162" ref="CC58:CN58">CC56</f>
        <v>0</v>
      </c>
      <c r="CD58" s="194">
        <f t="shared" si="162"/>
        <v>0</v>
      </c>
      <c r="CE58" s="194">
        <f t="shared" si="162"/>
        <v>0</v>
      </c>
      <c r="CF58" s="194">
        <f t="shared" si="162"/>
        <v>0</v>
      </c>
      <c r="CG58" s="194">
        <f t="shared" si="162"/>
        <v>0</v>
      </c>
      <c r="CH58" s="194">
        <f t="shared" si="162"/>
        <v>0</v>
      </c>
      <c r="CI58" s="194">
        <f t="shared" si="162"/>
        <v>0</v>
      </c>
      <c r="CJ58" s="194">
        <f t="shared" si="162"/>
        <v>0</v>
      </c>
      <c r="CK58" s="194">
        <f t="shared" si="162"/>
        <v>0</v>
      </c>
      <c r="CL58" s="194">
        <f t="shared" si="162"/>
        <v>0</v>
      </c>
      <c r="CM58" s="194">
        <f t="shared" si="162"/>
        <v>0</v>
      </c>
      <c r="CN58" s="194">
        <f t="shared" si="162"/>
        <v>0</v>
      </c>
      <c r="CO58" s="195">
        <f>SUM(CC58:CN58)</f>
        <v>0</v>
      </c>
      <c r="CP58" s="194">
        <f aca="true" t="shared" si="163" ref="CP58:DA58">CP56</f>
        <v>0</v>
      </c>
      <c r="CQ58" s="194">
        <f t="shared" si="163"/>
        <v>0</v>
      </c>
      <c r="CR58" s="194">
        <f t="shared" si="163"/>
        <v>0</v>
      </c>
      <c r="CS58" s="194">
        <f t="shared" si="163"/>
        <v>0</v>
      </c>
      <c r="CT58" s="194">
        <f t="shared" si="163"/>
        <v>0</v>
      </c>
      <c r="CU58" s="194">
        <f t="shared" si="163"/>
        <v>0</v>
      </c>
      <c r="CV58" s="194">
        <f t="shared" si="163"/>
        <v>0</v>
      </c>
      <c r="CW58" s="194">
        <f t="shared" si="163"/>
        <v>0</v>
      </c>
      <c r="CX58" s="194">
        <f t="shared" si="163"/>
        <v>0</v>
      </c>
      <c r="CY58" s="194">
        <f t="shared" si="163"/>
        <v>0</v>
      </c>
      <c r="CZ58" s="194">
        <f t="shared" si="163"/>
        <v>0</v>
      </c>
      <c r="DA58" s="194">
        <f t="shared" si="163"/>
        <v>0</v>
      </c>
      <c r="DB58" s="195">
        <f>SUM(CP58:DA58)</f>
        <v>0</v>
      </c>
      <c r="DC58" s="194">
        <f aca="true" t="shared" si="164" ref="DC58:DN58">DC56</f>
        <v>0</v>
      </c>
      <c r="DD58" s="194">
        <f t="shared" si="164"/>
        <v>0</v>
      </c>
      <c r="DE58" s="194">
        <f t="shared" si="164"/>
        <v>0</v>
      </c>
      <c r="DF58" s="194">
        <f t="shared" si="164"/>
        <v>0</v>
      </c>
      <c r="DG58" s="194">
        <f t="shared" si="164"/>
        <v>0</v>
      </c>
      <c r="DH58" s="194">
        <f t="shared" si="164"/>
        <v>0</v>
      </c>
      <c r="DI58" s="194">
        <f t="shared" si="164"/>
        <v>0</v>
      </c>
      <c r="DJ58" s="194">
        <f t="shared" si="164"/>
        <v>0</v>
      </c>
      <c r="DK58" s="194">
        <f t="shared" si="164"/>
        <v>0</v>
      </c>
      <c r="DL58" s="194">
        <f t="shared" si="164"/>
        <v>0</v>
      </c>
      <c r="DM58" s="194">
        <f t="shared" si="164"/>
        <v>0</v>
      </c>
      <c r="DN58" s="194">
        <f t="shared" si="164"/>
        <v>0</v>
      </c>
      <c r="DO58" s="195">
        <f>SUM(DC58:DN58)</f>
        <v>0</v>
      </c>
    </row>
    <row r="59" spans="1:119" ht="12.75" hidden="1">
      <c r="A59" s="188" t="s">
        <v>16</v>
      </c>
      <c r="B59" s="193">
        <f>DO59</f>
        <v>0</v>
      </c>
      <c r="C59" s="194">
        <f>C54</f>
        <v>0</v>
      </c>
      <c r="D59" s="194">
        <f aca="true" t="shared" si="165" ref="D59:N59">C59+D54-D57+D55</f>
        <v>0</v>
      </c>
      <c r="E59" s="194">
        <f t="shared" si="165"/>
        <v>0</v>
      </c>
      <c r="F59" s="194">
        <f t="shared" si="165"/>
        <v>0</v>
      </c>
      <c r="G59" s="194">
        <f t="shared" si="165"/>
        <v>0</v>
      </c>
      <c r="H59" s="194">
        <f t="shared" si="165"/>
        <v>0</v>
      </c>
      <c r="I59" s="194">
        <f t="shared" si="165"/>
        <v>0</v>
      </c>
      <c r="J59" s="194">
        <f t="shared" si="165"/>
        <v>0</v>
      </c>
      <c r="K59" s="194">
        <f t="shared" si="165"/>
        <v>0</v>
      </c>
      <c r="L59" s="194">
        <f t="shared" si="165"/>
        <v>0</v>
      </c>
      <c r="M59" s="194">
        <f t="shared" si="165"/>
        <v>0</v>
      </c>
      <c r="N59" s="194">
        <f t="shared" si="165"/>
        <v>0</v>
      </c>
      <c r="O59" s="195">
        <f>N59</f>
        <v>0</v>
      </c>
      <c r="P59" s="194">
        <f aca="true" t="shared" si="166" ref="P59:AA59">O59+P54-P57+P55</f>
        <v>0</v>
      </c>
      <c r="Q59" s="194">
        <f t="shared" si="166"/>
        <v>0</v>
      </c>
      <c r="R59" s="194">
        <f t="shared" si="166"/>
        <v>0</v>
      </c>
      <c r="S59" s="194">
        <f t="shared" si="166"/>
        <v>0</v>
      </c>
      <c r="T59" s="194">
        <f t="shared" si="166"/>
        <v>0</v>
      </c>
      <c r="U59" s="194">
        <f t="shared" si="166"/>
        <v>0</v>
      </c>
      <c r="V59" s="194">
        <f t="shared" si="166"/>
        <v>0</v>
      </c>
      <c r="W59" s="194">
        <f t="shared" si="166"/>
        <v>0</v>
      </c>
      <c r="X59" s="194">
        <f t="shared" si="166"/>
        <v>0</v>
      </c>
      <c r="Y59" s="194">
        <f t="shared" si="166"/>
        <v>0</v>
      </c>
      <c r="Z59" s="194">
        <f t="shared" si="166"/>
        <v>0</v>
      </c>
      <c r="AA59" s="194">
        <f t="shared" si="166"/>
        <v>0</v>
      </c>
      <c r="AB59" s="195">
        <f>AA59</f>
        <v>0</v>
      </c>
      <c r="AC59" s="194">
        <f aca="true" t="shared" si="167" ref="AC59:AN59">AB59+AC54-AC57+AC55</f>
        <v>0</v>
      </c>
      <c r="AD59" s="194">
        <f t="shared" si="167"/>
        <v>0</v>
      </c>
      <c r="AE59" s="194">
        <f t="shared" si="167"/>
        <v>0</v>
      </c>
      <c r="AF59" s="194">
        <f t="shared" si="167"/>
        <v>0</v>
      </c>
      <c r="AG59" s="194">
        <f t="shared" si="167"/>
        <v>0</v>
      </c>
      <c r="AH59" s="194">
        <f t="shared" si="167"/>
        <v>0</v>
      </c>
      <c r="AI59" s="194">
        <f t="shared" si="167"/>
        <v>0</v>
      </c>
      <c r="AJ59" s="194">
        <f t="shared" si="167"/>
        <v>0</v>
      </c>
      <c r="AK59" s="194">
        <f t="shared" si="167"/>
        <v>0</v>
      </c>
      <c r="AL59" s="194">
        <f t="shared" si="167"/>
        <v>0</v>
      </c>
      <c r="AM59" s="194">
        <f t="shared" si="167"/>
        <v>0</v>
      </c>
      <c r="AN59" s="194">
        <f t="shared" si="167"/>
        <v>0</v>
      </c>
      <c r="AO59" s="195">
        <f>AN59</f>
        <v>0</v>
      </c>
      <c r="AP59" s="194">
        <f aca="true" t="shared" si="168" ref="AP59:BA59">AO59+AP54-AP57+AP55</f>
        <v>0</v>
      </c>
      <c r="AQ59" s="194">
        <f t="shared" si="168"/>
        <v>0</v>
      </c>
      <c r="AR59" s="194">
        <f t="shared" si="168"/>
        <v>0</v>
      </c>
      <c r="AS59" s="194">
        <f t="shared" si="168"/>
        <v>0</v>
      </c>
      <c r="AT59" s="194">
        <f t="shared" si="168"/>
        <v>0</v>
      </c>
      <c r="AU59" s="194">
        <f t="shared" si="168"/>
        <v>0</v>
      </c>
      <c r="AV59" s="194">
        <f t="shared" si="168"/>
        <v>0</v>
      </c>
      <c r="AW59" s="194">
        <f t="shared" si="168"/>
        <v>0</v>
      </c>
      <c r="AX59" s="194">
        <f t="shared" si="168"/>
        <v>0</v>
      </c>
      <c r="AY59" s="194">
        <f t="shared" si="168"/>
        <v>0</v>
      </c>
      <c r="AZ59" s="194">
        <f t="shared" si="168"/>
        <v>0</v>
      </c>
      <c r="BA59" s="194">
        <f t="shared" si="168"/>
        <v>0</v>
      </c>
      <c r="BB59" s="195">
        <f>BA59</f>
        <v>0</v>
      </c>
      <c r="BC59" s="194">
        <f aca="true" t="shared" si="169" ref="BC59:BN59">BB59+BC54-BC57+BC55</f>
        <v>0</v>
      </c>
      <c r="BD59" s="194">
        <f t="shared" si="169"/>
        <v>0</v>
      </c>
      <c r="BE59" s="194">
        <f t="shared" si="169"/>
        <v>0</v>
      </c>
      <c r="BF59" s="194">
        <f t="shared" si="169"/>
        <v>0</v>
      </c>
      <c r="BG59" s="194">
        <f t="shared" si="169"/>
        <v>0</v>
      </c>
      <c r="BH59" s="194">
        <f t="shared" si="169"/>
        <v>0</v>
      </c>
      <c r="BI59" s="194">
        <f t="shared" si="169"/>
        <v>0</v>
      </c>
      <c r="BJ59" s="194">
        <f t="shared" si="169"/>
        <v>0</v>
      </c>
      <c r="BK59" s="194">
        <f t="shared" si="169"/>
        <v>0</v>
      </c>
      <c r="BL59" s="194">
        <f t="shared" si="169"/>
        <v>0</v>
      </c>
      <c r="BM59" s="194">
        <f t="shared" si="169"/>
        <v>0</v>
      </c>
      <c r="BN59" s="194">
        <f t="shared" si="169"/>
        <v>0</v>
      </c>
      <c r="BO59" s="195">
        <f>BN59</f>
        <v>0</v>
      </c>
      <c r="BP59" s="194">
        <f aca="true" t="shared" si="170" ref="BP59:CA59">BO59+BP54-BP57+BP55</f>
        <v>0</v>
      </c>
      <c r="BQ59" s="194">
        <f t="shared" si="170"/>
        <v>0</v>
      </c>
      <c r="BR59" s="194">
        <f t="shared" si="170"/>
        <v>0</v>
      </c>
      <c r="BS59" s="194">
        <f t="shared" si="170"/>
        <v>0</v>
      </c>
      <c r="BT59" s="194">
        <f t="shared" si="170"/>
        <v>0</v>
      </c>
      <c r="BU59" s="194">
        <f t="shared" si="170"/>
        <v>0</v>
      </c>
      <c r="BV59" s="194">
        <f t="shared" si="170"/>
        <v>0</v>
      </c>
      <c r="BW59" s="194">
        <f t="shared" si="170"/>
        <v>0</v>
      </c>
      <c r="BX59" s="194">
        <f t="shared" si="170"/>
        <v>0</v>
      </c>
      <c r="BY59" s="194">
        <f t="shared" si="170"/>
        <v>0</v>
      </c>
      <c r="BZ59" s="194">
        <f t="shared" si="170"/>
        <v>0</v>
      </c>
      <c r="CA59" s="194">
        <f t="shared" si="170"/>
        <v>0</v>
      </c>
      <c r="CB59" s="195">
        <f>CA59</f>
        <v>0</v>
      </c>
      <c r="CC59" s="194">
        <f aca="true" t="shared" si="171" ref="CC59:CN59">CB59+CC54-CC57+CC55</f>
        <v>0</v>
      </c>
      <c r="CD59" s="194">
        <f t="shared" si="171"/>
        <v>0</v>
      </c>
      <c r="CE59" s="194">
        <f t="shared" si="171"/>
        <v>0</v>
      </c>
      <c r="CF59" s="194">
        <f t="shared" si="171"/>
        <v>0</v>
      </c>
      <c r="CG59" s="194">
        <f t="shared" si="171"/>
        <v>0</v>
      </c>
      <c r="CH59" s="194">
        <f t="shared" si="171"/>
        <v>0</v>
      </c>
      <c r="CI59" s="194">
        <f t="shared" si="171"/>
        <v>0</v>
      </c>
      <c r="CJ59" s="194">
        <f t="shared" si="171"/>
        <v>0</v>
      </c>
      <c r="CK59" s="194">
        <f t="shared" si="171"/>
        <v>0</v>
      </c>
      <c r="CL59" s="194">
        <f t="shared" si="171"/>
        <v>0</v>
      </c>
      <c r="CM59" s="194">
        <f t="shared" si="171"/>
        <v>0</v>
      </c>
      <c r="CN59" s="194">
        <f t="shared" si="171"/>
        <v>0</v>
      </c>
      <c r="CO59" s="195">
        <f>CN59</f>
        <v>0</v>
      </c>
      <c r="CP59" s="194">
        <f aca="true" t="shared" si="172" ref="CP59:DA59">CO59+CP54-CP57+CP55</f>
        <v>0</v>
      </c>
      <c r="CQ59" s="194">
        <f t="shared" si="172"/>
        <v>0</v>
      </c>
      <c r="CR59" s="194">
        <f t="shared" si="172"/>
        <v>0</v>
      </c>
      <c r="CS59" s="194">
        <f t="shared" si="172"/>
        <v>0</v>
      </c>
      <c r="CT59" s="194">
        <f t="shared" si="172"/>
        <v>0</v>
      </c>
      <c r="CU59" s="194">
        <f t="shared" si="172"/>
        <v>0</v>
      </c>
      <c r="CV59" s="194">
        <f t="shared" si="172"/>
        <v>0</v>
      </c>
      <c r="CW59" s="194">
        <f t="shared" si="172"/>
        <v>0</v>
      </c>
      <c r="CX59" s="194">
        <f t="shared" si="172"/>
        <v>0</v>
      </c>
      <c r="CY59" s="194">
        <f t="shared" si="172"/>
        <v>0</v>
      </c>
      <c r="CZ59" s="194">
        <f t="shared" si="172"/>
        <v>0</v>
      </c>
      <c r="DA59" s="194">
        <f t="shared" si="172"/>
        <v>0</v>
      </c>
      <c r="DB59" s="195">
        <f>DA59</f>
        <v>0</v>
      </c>
      <c r="DC59" s="194">
        <f aca="true" t="shared" si="173" ref="DC59:DN59">DB59+DC54-DC57+DC55</f>
        <v>0</v>
      </c>
      <c r="DD59" s="194">
        <f t="shared" si="173"/>
        <v>0</v>
      </c>
      <c r="DE59" s="194">
        <f t="shared" si="173"/>
        <v>0</v>
      </c>
      <c r="DF59" s="194">
        <f t="shared" si="173"/>
        <v>0</v>
      </c>
      <c r="DG59" s="194">
        <f t="shared" si="173"/>
        <v>0</v>
      </c>
      <c r="DH59" s="194">
        <f t="shared" si="173"/>
        <v>0</v>
      </c>
      <c r="DI59" s="194">
        <f t="shared" si="173"/>
        <v>0</v>
      </c>
      <c r="DJ59" s="194">
        <f t="shared" si="173"/>
        <v>0</v>
      </c>
      <c r="DK59" s="194">
        <f t="shared" si="173"/>
        <v>0</v>
      </c>
      <c r="DL59" s="194">
        <f t="shared" si="173"/>
        <v>0</v>
      </c>
      <c r="DM59" s="194">
        <f t="shared" si="173"/>
        <v>0</v>
      </c>
      <c r="DN59" s="194">
        <f t="shared" si="173"/>
        <v>0</v>
      </c>
      <c r="DO59" s="195">
        <f>DN59</f>
        <v>0</v>
      </c>
    </row>
    <row r="60" spans="1:119" ht="12.75" hidden="1">
      <c r="A60" s="177" t="s">
        <v>78</v>
      </c>
      <c r="B60" s="284">
        <f>Исх!$C$43*12-Исх!$C$44</f>
        <v>75</v>
      </c>
      <c r="CP60" s="180"/>
      <c r="DB60" s="177"/>
      <c r="DO60" s="177"/>
    </row>
    <row r="61" spans="1:119" ht="12.75" hidden="1">
      <c r="A61" s="287" t="s">
        <v>253</v>
      </c>
      <c r="B61" s="288">
        <f>$U$59*$B$20/12/((1-(1+$B$20/12)^-$B60))</f>
        <v>0</v>
      </c>
      <c r="DB61" s="177"/>
      <c r="DO61" s="177"/>
    </row>
    <row r="62" spans="1:119" ht="6" customHeight="1" hidden="1">
      <c r="A62" s="285"/>
      <c r="B62" s="282"/>
      <c r="DB62" s="177"/>
      <c r="DO62" s="177"/>
    </row>
    <row r="63" spans="1:119" ht="12.75" hidden="1">
      <c r="A63" s="270" t="s">
        <v>241</v>
      </c>
      <c r="DB63" s="177"/>
      <c r="DO63" s="177"/>
    </row>
    <row r="64" spans="1:119" ht="12.75" hidden="1" outlineLevel="1">
      <c r="A64" s="271">
        <f>B54+B55-B57</f>
        <v>0</v>
      </c>
      <c r="DB64" s="177"/>
      <c r="DO64" s="177"/>
    </row>
    <row r="65" spans="1:119" ht="12.75" hidden="1" outlineLevel="1">
      <c r="A65" s="271">
        <f>B56-B55-B58</f>
        <v>0</v>
      </c>
      <c r="DB65" s="177"/>
      <c r="DO65" s="177"/>
    </row>
    <row r="66" ht="12.75" collapsed="1"/>
    <row r="67" spans="1:119" ht="12.75">
      <c r="A67" s="296" t="s">
        <v>270</v>
      </c>
      <c r="B67" s="297"/>
      <c r="DB67" s="177"/>
      <c r="DO67" s="177"/>
    </row>
    <row r="68" spans="1:119" ht="15.75" customHeight="1">
      <c r="A68" s="186" t="s">
        <v>11</v>
      </c>
      <c r="B68" s="286">
        <f>Исх!$C$42</f>
        <v>0.07</v>
      </c>
      <c r="C68" s="366">
        <v>2013</v>
      </c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>
        <v>2014</v>
      </c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>
        <v>2015</v>
      </c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>
        <v>2016</v>
      </c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  <c r="BC68" s="366">
        <v>2017</v>
      </c>
      <c r="BD68" s="366"/>
      <c r="BE68" s="366"/>
      <c r="BF68" s="366"/>
      <c r="BG68" s="366"/>
      <c r="BH68" s="366"/>
      <c r="BI68" s="366"/>
      <c r="BJ68" s="366"/>
      <c r="BK68" s="366"/>
      <c r="BL68" s="366"/>
      <c r="BM68" s="366"/>
      <c r="BN68" s="366"/>
      <c r="BO68" s="366"/>
      <c r="BP68" s="366">
        <v>2018</v>
      </c>
      <c r="BQ68" s="366"/>
      <c r="BR68" s="366"/>
      <c r="BS68" s="366"/>
      <c r="BT68" s="366"/>
      <c r="BU68" s="366"/>
      <c r="BV68" s="366"/>
      <c r="BW68" s="366"/>
      <c r="BX68" s="366"/>
      <c r="BY68" s="366"/>
      <c r="BZ68" s="366"/>
      <c r="CA68" s="366"/>
      <c r="CB68" s="366"/>
      <c r="CC68" s="366">
        <v>2019</v>
      </c>
      <c r="CD68" s="366"/>
      <c r="CE68" s="366"/>
      <c r="CF68" s="366"/>
      <c r="CG68" s="366"/>
      <c r="CH68" s="366"/>
      <c r="CI68" s="366"/>
      <c r="CJ68" s="366"/>
      <c r="CK68" s="366"/>
      <c r="CL68" s="366"/>
      <c r="CM68" s="366"/>
      <c r="CN68" s="366"/>
      <c r="CO68" s="366"/>
      <c r="CP68" s="366">
        <v>2020</v>
      </c>
      <c r="CQ68" s="366"/>
      <c r="CR68" s="366"/>
      <c r="CS68" s="366"/>
      <c r="CT68" s="366"/>
      <c r="CU68" s="366"/>
      <c r="CV68" s="366"/>
      <c r="CW68" s="366"/>
      <c r="CX68" s="366"/>
      <c r="CY68" s="366"/>
      <c r="CZ68" s="366"/>
      <c r="DA68" s="366"/>
      <c r="DB68" s="366"/>
      <c r="DC68" s="366">
        <v>2021</v>
      </c>
      <c r="DD68" s="366"/>
      <c r="DE68" s="366"/>
      <c r="DF68" s="366"/>
      <c r="DG68" s="366"/>
      <c r="DH68" s="366"/>
      <c r="DI68" s="366"/>
      <c r="DJ68" s="366"/>
      <c r="DK68" s="366"/>
      <c r="DL68" s="366"/>
      <c r="DM68" s="366"/>
      <c r="DN68" s="366"/>
      <c r="DO68" s="366"/>
    </row>
    <row r="69" spans="1:119" s="192" customFormat="1" ht="15" customHeight="1">
      <c r="A69" s="188" t="s">
        <v>9</v>
      </c>
      <c r="B69" s="189" t="s">
        <v>89</v>
      </c>
      <c r="C69" s="190">
        <v>1</v>
      </c>
      <c r="D69" s="190">
        <v>2</v>
      </c>
      <c r="E69" s="190">
        <f aca="true" t="shared" si="174" ref="E69:N69">D69+1</f>
        <v>3</v>
      </c>
      <c r="F69" s="190">
        <f t="shared" si="174"/>
        <v>4</v>
      </c>
      <c r="G69" s="190">
        <f t="shared" si="174"/>
        <v>5</v>
      </c>
      <c r="H69" s="190">
        <f t="shared" si="174"/>
        <v>6</v>
      </c>
      <c r="I69" s="190">
        <f t="shared" si="174"/>
        <v>7</v>
      </c>
      <c r="J69" s="190">
        <f t="shared" si="174"/>
        <v>8</v>
      </c>
      <c r="K69" s="190">
        <f t="shared" si="174"/>
        <v>9</v>
      </c>
      <c r="L69" s="190">
        <f t="shared" si="174"/>
        <v>10</v>
      </c>
      <c r="M69" s="190">
        <f t="shared" si="174"/>
        <v>11</v>
      </c>
      <c r="N69" s="190">
        <f t="shared" si="174"/>
        <v>12</v>
      </c>
      <c r="O69" s="191" t="str">
        <f>O53</f>
        <v>Итого</v>
      </c>
      <c r="P69" s="190">
        <v>1</v>
      </c>
      <c r="Q69" s="190">
        <v>2</v>
      </c>
      <c r="R69" s="190">
        <f aca="true" t="shared" si="175" ref="R69:AA69">Q69+1</f>
        <v>3</v>
      </c>
      <c r="S69" s="190">
        <f t="shared" si="175"/>
        <v>4</v>
      </c>
      <c r="T69" s="190">
        <f t="shared" si="175"/>
        <v>5</v>
      </c>
      <c r="U69" s="190">
        <f t="shared" si="175"/>
        <v>6</v>
      </c>
      <c r="V69" s="190">
        <f t="shared" si="175"/>
        <v>7</v>
      </c>
      <c r="W69" s="190">
        <f t="shared" si="175"/>
        <v>8</v>
      </c>
      <c r="X69" s="190">
        <f t="shared" si="175"/>
        <v>9</v>
      </c>
      <c r="Y69" s="190">
        <f t="shared" si="175"/>
        <v>10</v>
      </c>
      <c r="Z69" s="190">
        <f t="shared" si="175"/>
        <v>11</v>
      </c>
      <c r="AA69" s="190">
        <f t="shared" si="175"/>
        <v>12</v>
      </c>
      <c r="AB69" s="191" t="str">
        <f>AB53</f>
        <v>Итого</v>
      </c>
      <c r="AC69" s="190">
        <v>1</v>
      </c>
      <c r="AD69" s="190">
        <v>2</v>
      </c>
      <c r="AE69" s="190">
        <f aca="true" t="shared" si="176" ref="AE69:AN69">AD69+1</f>
        <v>3</v>
      </c>
      <c r="AF69" s="190">
        <f t="shared" si="176"/>
        <v>4</v>
      </c>
      <c r="AG69" s="190">
        <f t="shared" si="176"/>
        <v>5</v>
      </c>
      <c r="AH69" s="190">
        <f t="shared" si="176"/>
        <v>6</v>
      </c>
      <c r="AI69" s="190">
        <f t="shared" si="176"/>
        <v>7</v>
      </c>
      <c r="AJ69" s="190">
        <f t="shared" si="176"/>
        <v>8</v>
      </c>
      <c r="AK69" s="190">
        <f t="shared" si="176"/>
        <v>9</v>
      </c>
      <c r="AL69" s="190">
        <f t="shared" si="176"/>
        <v>10</v>
      </c>
      <c r="AM69" s="190">
        <f t="shared" si="176"/>
        <v>11</v>
      </c>
      <c r="AN69" s="190">
        <f t="shared" si="176"/>
        <v>12</v>
      </c>
      <c r="AO69" s="191" t="str">
        <f>AO53</f>
        <v>Итого</v>
      </c>
      <c r="AP69" s="190">
        <v>1</v>
      </c>
      <c r="AQ69" s="190">
        <v>2</v>
      </c>
      <c r="AR69" s="190">
        <f aca="true" t="shared" si="177" ref="AR69:BA69">AQ69+1</f>
        <v>3</v>
      </c>
      <c r="AS69" s="190">
        <f t="shared" si="177"/>
        <v>4</v>
      </c>
      <c r="AT69" s="190">
        <f t="shared" si="177"/>
        <v>5</v>
      </c>
      <c r="AU69" s="190">
        <f t="shared" si="177"/>
        <v>6</v>
      </c>
      <c r="AV69" s="190">
        <f t="shared" si="177"/>
        <v>7</v>
      </c>
      <c r="AW69" s="190">
        <f t="shared" si="177"/>
        <v>8</v>
      </c>
      <c r="AX69" s="190">
        <f t="shared" si="177"/>
        <v>9</v>
      </c>
      <c r="AY69" s="190">
        <f t="shared" si="177"/>
        <v>10</v>
      </c>
      <c r="AZ69" s="190">
        <f t="shared" si="177"/>
        <v>11</v>
      </c>
      <c r="BA69" s="190">
        <f t="shared" si="177"/>
        <v>12</v>
      </c>
      <c r="BB69" s="191" t="str">
        <f>BB53</f>
        <v>Итого</v>
      </c>
      <c r="BC69" s="190">
        <v>1</v>
      </c>
      <c r="BD69" s="190">
        <v>2</v>
      </c>
      <c r="BE69" s="190">
        <f aca="true" t="shared" si="178" ref="BE69:BN69">BD69+1</f>
        <v>3</v>
      </c>
      <c r="BF69" s="190">
        <f t="shared" si="178"/>
        <v>4</v>
      </c>
      <c r="BG69" s="190">
        <f t="shared" si="178"/>
        <v>5</v>
      </c>
      <c r="BH69" s="190">
        <f t="shared" si="178"/>
        <v>6</v>
      </c>
      <c r="BI69" s="190">
        <f t="shared" si="178"/>
        <v>7</v>
      </c>
      <c r="BJ69" s="190">
        <f t="shared" si="178"/>
        <v>8</v>
      </c>
      <c r="BK69" s="190">
        <f t="shared" si="178"/>
        <v>9</v>
      </c>
      <c r="BL69" s="190">
        <f t="shared" si="178"/>
        <v>10</v>
      </c>
      <c r="BM69" s="190">
        <f t="shared" si="178"/>
        <v>11</v>
      </c>
      <c r="BN69" s="190">
        <f t="shared" si="178"/>
        <v>12</v>
      </c>
      <c r="BO69" s="191" t="str">
        <f>BO53</f>
        <v>Итого</v>
      </c>
      <c r="BP69" s="190">
        <v>1</v>
      </c>
      <c r="BQ69" s="190">
        <v>2</v>
      </c>
      <c r="BR69" s="190">
        <f aca="true" t="shared" si="179" ref="BR69:CA69">BQ69+1</f>
        <v>3</v>
      </c>
      <c r="BS69" s="190">
        <f t="shared" si="179"/>
        <v>4</v>
      </c>
      <c r="BT69" s="190">
        <f t="shared" si="179"/>
        <v>5</v>
      </c>
      <c r="BU69" s="190">
        <f t="shared" si="179"/>
        <v>6</v>
      </c>
      <c r="BV69" s="190">
        <f t="shared" si="179"/>
        <v>7</v>
      </c>
      <c r="BW69" s="190">
        <f t="shared" si="179"/>
        <v>8</v>
      </c>
      <c r="BX69" s="190">
        <f t="shared" si="179"/>
        <v>9</v>
      </c>
      <c r="BY69" s="190">
        <f t="shared" si="179"/>
        <v>10</v>
      </c>
      <c r="BZ69" s="190">
        <f t="shared" si="179"/>
        <v>11</v>
      </c>
      <c r="CA69" s="190">
        <f t="shared" si="179"/>
        <v>12</v>
      </c>
      <c r="CB69" s="191" t="str">
        <f>CB53</f>
        <v>Итого</v>
      </c>
      <c r="CC69" s="190">
        <v>1</v>
      </c>
      <c r="CD69" s="190">
        <v>2</v>
      </c>
      <c r="CE69" s="190">
        <f aca="true" t="shared" si="180" ref="CE69:CN69">CD69+1</f>
        <v>3</v>
      </c>
      <c r="CF69" s="190">
        <f t="shared" si="180"/>
        <v>4</v>
      </c>
      <c r="CG69" s="190">
        <f t="shared" si="180"/>
        <v>5</v>
      </c>
      <c r="CH69" s="190">
        <f t="shared" si="180"/>
        <v>6</v>
      </c>
      <c r="CI69" s="190">
        <f t="shared" si="180"/>
        <v>7</v>
      </c>
      <c r="CJ69" s="190">
        <f t="shared" si="180"/>
        <v>8</v>
      </c>
      <c r="CK69" s="190">
        <f t="shared" si="180"/>
        <v>9</v>
      </c>
      <c r="CL69" s="190">
        <f t="shared" si="180"/>
        <v>10</v>
      </c>
      <c r="CM69" s="190">
        <f t="shared" si="180"/>
        <v>11</v>
      </c>
      <c r="CN69" s="190">
        <f t="shared" si="180"/>
        <v>12</v>
      </c>
      <c r="CO69" s="191" t="str">
        <f>CO53</f>
        <v>Итого</v>
      </c>
      <c r="CP69" s="190">
        <v>1</v>
      </c>
      <c r="CQ69" s="190">
        <f aca="true" t="shared" si="181" ref="CQ69:DA69">CP69+1</f>
        <v>2</v>
      </c>
      <c r="CR69" s="190">
        <f t="shared" si="181"/>
        <v>3</v>
      </c>
      <c r="CS69" s="190">
        <f t="shared" si="181"/>
        <v>4</v>
      </c>
      <c r="CT69" s="190">
        <f t="shared" si="181"/>
        <v>5</v>
      </c>
      <c r="CU69" s="190">
        <f t="shared" si="181"/>
        <v>6</v>
      </c>
      <c r="CV69" s="190">
        <f t="shared" si="181"/>
        <v>7</v>
      </c>
      <c r="CW69" s="190">
        <f t="shared" si="181"/>
        <v>8</v>
      </c>
      <c r="CX69" s="190">
        <f t="shared" si="181"/>
        <v>9</v>
      </c>
      <c r="CY69" s="190">
        <f t="shared" si="181"/>
        <v>10</v>
      </c>
      <c r="CZ69" s="190">
        <f t="shared" si="181"/>
        <v>11</v>
      </c>
      <c r="DA69" s="190">
        <f t="shared" si="181"/>
        <v>12</v>
      </c>
      <c r="DB69" s="191" t="str">
        <f>DB53</f>
        <v>Итого</v>
      </c>
      <c r="DC69" s="190">
        <v>1</v>
      </c>
      <c r="DD69" s="190">
        <f aca="true" t="shared" si="182" ref="DD69:DN69">DC69+1</f>
        <v>2</v>
      </c>
      <c r="DE69" s="190">
        <f t="shared" si="182"/>
        <v>3</v>
      </c>
      <c r="DF69" s="190">
        <f t="shared" si="182"/>
        <v>4</v>
      </c>
      <c r="DG69" s="190">
        <f t="shared" si="182"/>
        <v>5</v>
      </c>
      <c r="DH69" s="190">
        <f t="shared" si="182"/>
        <v>6</v>
      </c>
      <c r="DI69" s="190">
        <f t="shared" si="182"/>
        <v>7</v>
      </c>
      <c r="DJ69" s="190">
        <f t="shared" si="182"/>
        <v>8</v>
      </c>
      <c r="DK69" s="190">
        <f t="shared" si="182"/>
        <v>9</v>
      </c>
      <c r="DL69" s="190">
        <f t="shared" si="182"/>
        <v>10</v>
      </c>
      <c r="DM69" s="190">
        <f t="shared" si="182"/>
        <v>11</v>
      </c>
      <c r="DN69" s="190">
        <f t="shared" si="182"/>
        <v>12</v>
      </c>
      <c r="DO69" s="191" t="s">
        <v>0</v>
      </c>
    </row>
    <row r="70" spans="1:119" ht="12.75">
      <c r="A70" s="188" t="s">
        <v>106</v>
      </c>
      <c r="B70" s="193">
        <f>O70+AB70+AO70+BB70+BO70+CB70+CO70+DB70+DO70</f>
        <v>29092.800000000003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>
        <f>'1-Ф3'!M$28</f>
        <v>29092.800000000003</v>
      </c>
      <c r="M70" s="194"/>
      <c r="N70" s="194"/>
      <c r="O70" s="195">
        <f>SUM(C70:N70)</f>
        <v>29092.800000000003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>
        <f>SUM(P70:AA70)</f>
        <v>0</v>
      </c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>
        <f>SUM(AC70:AN70)</f>
        <v>0</v>
      </c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</row>
    <row r="71" spans="1:119" s="197" customFormat="1" ht="20.25" customHeight="1">
      <c r="A71" s="188" t="s">
        <v>31</v>
      </c>
      <c r="B71" s="193">
        <f>O71+AB71+AO71+BB71+BO71+CB71+CO71+DB71+DO71</f>
        <v>509.1240000000001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5">
        <f>SUM(C71:N71)</f>
        <v>0</v>
      </c>
      <c r="P71" s="194">
        <f>SUM(O72:P72)</f>
        <v>509.1240000000001</v>
      </c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5">
        <f>SUM(P71:AA71)</f>
        <v>509.1240000000001</v>
      </c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5">
        <f>SUM(AC71:AN71)</f>
        <v>0</v>
      </c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5">
        <f>SUM(AP71:BA71)</f>
        <v>0</v>
      </c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5">
        <f>SUM(BC71:BN71)</f>
        <v>0</v>
      </c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5">
        <f>SUM(BP71:CA71)</f>
        <v>0</v>
      </c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5">
        <f>SUM(CC71:CN71)</f>
        <v>0</v>
      </c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5">
        <f>SUM(CP71:DA71)</f>
        <v>0</v>
      </c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5">
        <f>SUM(DC71:DN71)</f>
        <v>0</v>
      </c>
    </row>
    <row r="72" spans="1:119" s="197" customFormat="1" ht="12.75">
      <c r="A72" s="198" t="s">
        <v>13</v>
      </c>
      <c r="B72" s="193">
        <f>O72+AB72+AO72+BB72+BO72+CB72+CO72+DB72+DO72</f>
        <v>8576.175314735969</v>
      </c>
      <c r="C72" s="194"/>
      <c r="D72" s="194">
        <f aca="true" t="shared" si="183" ref="D72:N72">C75*$B68/12</f>
        <v>0</v>
      </c>
      <c r="E72" s="194">
        <f t="shared" si="183"/>
        <v>0</v>
      </c>
      <c r="F72" s="194">
        <f t="shared" si="183"/>
        <v>0</v>
      </c>
      <c r="G72" s="194">
        <f t="shared" si="183"/>
        <v>0</v>
      </c>
      <c r="H72" s="194">
        <f t="shared" si="183"/>
        <v>0</v>
      </c>
      <c r="I72" s="194">
        <f t="shared" si="183"/>
        <v>0</v>
      </c>
      <c r="J72" s="194">
        <f t="shared" si="183"/>
        <v>0</v>
      </c>
      <c r="K72" s="194">
        <f t="shared" si="183"/>
        <v>0</v>
      </c>
      <c r="L72" s="194">
        <f t="shared" si="183"/>
        <v>0</v>
      </c>
      <c r="M72" s="194">
        <f t="shared" si="183"/>
        <v>169.70800000000003</v>
      </c>
      <c r="N72" s="194">
        <f t="shared" si="183"/>
        <v>169.70800000000003</v>
      </c>
      <c r="O72" s="195">
        <f>SUM(C72:N72)</f>
        <v>339.41600000000005</v>
      </c>
      <c r="P72" s="194">
        <f aca="true" t="shared" si="184" ref="P72:AA72">O75*$B68/12</f>
        <v>169.70800000000003</v>
      </c>
      <c r="Q72" s="194">
        <f t="shared" si="184"/>
        <v>172.67789000000005</v>
      </c>
      <c r="R72" s="194">
        <f t="shared" si="184"/>
        <v>172.67789000000005</v>
      </c>
      <c r="S72" s="194">
        <f t="shared" si="184"/>
        <v>172.67789000000005</v>
      </c>
      <c r="T72" s="194">
        <f t="shared" si="184"/>
        <v>172.67789000000005</v>
      </c>
      <c r="U72" s="194">
        <f t="shared" si="184"/>
        <v>172.67789000000005</v>
      </c>
      <c r="V72" s="194">
        <f t="shared" si="184"/>
        <v>172.67789000000005</v>
      </c>
      <c r="W72" s="194">
        <f t="shared" si="184"/>
        <v>172.67789000000005</v>
      </c>
      <c r="X72" s="194">
        <f t="shared" si="184"/>
        <v>170.8359515158539</v>
      </c>
      <c r="Y72" s="194">
        <f t="shared" si="184"/>
        <v>168.98326839055025</v>
      </c>
      <c r="Z72" s="194">
        <f t="shared" si="184"/>
        <v>167.11977794701568</v>
      </c>
      <c r="AA72" s="194">
        <f t="shared" si="184"/>
        <v>165.24541714256048</v>
      </c>
      <c r="AB72" s="195">
        <f>SUM(P72:AA72)</f>
        <v>2050.6376449959803</v>
      </c>
      <c r="AC72" s="194">
        <f aca="true" t="shared" si="185" ref="AC72:AN72">AB75*$B68/12</f>
        <v>163.36012256674596</v>
      </c>
      <c r="AD72" s="194">
        <f t="shared" si="185"/>
        <v>161.4638304392392</v>
      </c>
      <c r="AE72" s="194">
        <f t="shared" si="185"/>
        <v>159.5564766076553</v>
      </c>
      <c r="AF72" s="194">
        <f t="shared" si="185"/>
        <v>157.63799654538718</v>
      </c>
      <c r="AG72" s="194">
        <f t="shared" si="185"/>
        <v>155.7083253494225</v>
      </c>
      <c r="AH72" s="194">
        <f t="shared" si="185"/>
        <v>153.767397738148</v>
      </c>
      <c r="AI72" s="194">
        <f t="shared" si="185"/>
        <v>151.81514804914104</v>
      </c>
      <c r="AJ72" s="194">
        <f t="shared" si="185"/>
        <v>149.85151023694826</v>
      </c>
      <c r="AK72" s="194">
        <f t="shared" si="185"/>
        <v>147.876417870851</v>
      </c>
      <c r="AL72" s="194">
        <f t="shared" si="185"/>
        <v>145.88980413261814</v>
      </c>
      <c r="AM72" s="194">
        <f t="shared" si="185"/>
        <v>143.89160181424566</v>
      </c>
      <c r="AN72" s="194">
        <f t="shared" si="185"/>
        <v>141.88174331568263</v>
      </c>
      <c r="AO72" s="195">
        <f>SUM(AC72:AN72)</f>
        <v>1832.7003746660848</v>
      </c>
      <c r="AP72" s="194">
        <f aca="true" t="shared" si="186" ref="AP72:BA72">AO75*$B68/12</f>
        <v>139.86016064254466</v>
      </c>
      <c r="AQ72" s="194">
        <f t="shared" si="186"/>
        <v>137.82678540381337</v>
      </c>
      <c r="AR72" s="194">
        <f t="shared" si="186"/>
        <v>135.78154880952283</v>
      </c>
      <c r="AS72" s="194">
        <f t="shared" si="186"/>
        <v>133.72438166843227</v>
      </c>
      <c r="AT72" s="194">
        <f t="shared" si="186"/>
        <v>131.65521438568535</v>
      </c>
      <c r="AU72" s="194">
        <f t="shared" si="186"/>
        <v>129.57397696045572</v>
      </c>
      <c r="AV72" s="194">
        <f t="shared" si="186"/>
        <v>127.4805989835789</v>
      </c>
      <c r="AW72" s="194">
        <f t="shared" si="186"/>
        <v>125.37500963517033</v>
      </c>
      <c r="AX72" s="194">
        <f t="shared" si="186"/>
        <v>123.25713768222937</v>
      </c>
      <c r="AY72" s="194">
        <f t="shared" si="186"/>
        <v>121.12691147622958</v>
      </c>
      <c r="AZ72" s="194">
        <f t="shared" si="186"/>
        <v>118.98425895069481</v>
      </c>
      <c r="BA72" s="194">
        <f t="shared" si="186"/>
        <v>116.82910761876106</v>
      </c>
      <c r="BB72" s="195">
        <f>SUM(AP72:BA72)</f>
        <v>1541.4750922171183</v>
      </c>
      <c r="BC72" s="194">
        <f aca="true" t="shared" si="187" ref="BC72:BN72">BB75*$B68/12</f>
        <v>114.66138457072437</v>
      </c>
      <c r="BD72" s="194">
        <f t="shared" si="187"/>
        <v>112.48101647157414</v>
      </c>
      <c r="BE72" s="194">
        <f t="shared" si="187"/>
        <v>110.28792955851219</v>
      </c>
      <c r="BF72" s="194">
        <f t="shared" si="187"/>
        <v>108.0820496384574</v>
      </c>
      <c r="BG72" s="194">
        <f t="shared" si="187"/>
        <v>105.86330208553561</v>
      </c>
      <c r="BH72" s="194">
        <f t="shared" si="187"/>
        <v>103.6316118385551</v>
      </c>
      <c r="BI72" s="194">
        <f t="shared" si="187"/>
        <v>101.38690339846723</v>
      </c>
      <c r="BJ72" s="194">
        <f t="shared" si="187"/>
        <v>99.12910082581216</v>
      </c>
      <c r="BK72" s="194">
        <f t="shared" si="187"/>
        <v>96.85812773814996</v>
      </c>
      <c r="BL72" s="194">
        <f t="shared" si="187"/>
        <v>94.57390730747638</v>
      </c>
      <c r="BM72" s="194">
        <f t="shared" si="187"/>
        <v>92.27636225762387</v>
      </c>
      <c r="BN72" s="194">
        <f t="shared" si="187"/>
        <v>89.96541486164722</v>
      </c>
      <c r="BO72" s="195">
        <f>SUM(BC72:BN72)</f>
        <v>1229.1971105525358</v>
      </c>
      <c r="BP72" s="194">
        <f aca="true" t="shared" si="188" ref="BP72:CA72">BO75*$B68/12</f>
        <v>87.64098693919404</v>
      </c>
      <c r="BQ72" s="194">
        <f t="shared" si="188"/>
        <v>85.30299985385989</v>
      </c>
      <c r="BR72" s="194">
        <f t="shared" si="188"/>
        <v>82.95137451052796</v>
      </c>
      <c r="BS72" s="194">
        <f t="shared" si="188"/>
        <v>80.58603135269324</v>
      </c>
      <c r="BT72" s="194">
        <f t="shared" si="188"/>
        <v>78.20689035977117</v>
      </c>
      <c r="BU72" s="194">
        <f t="shared" si="188"/>
        <v>75.81387104439038</v>
      </c>
      <c r="BV72" s="194">
        <f t="shared" si="188"/>
        <v>73.40689244966987</v>
      </c>
      <c r="BW72" s="194">
        <f t="shared" si="188"/>
        <v>70.98587314648016</v>
      </c>
      <c r="BX72" s="194">
        <f t="shared" si="188"/>
        <v>68.5507312306885</v>
      </c>
      <c r="BY72" s="194">
        <f t="shared" si="188"/>
        <v>66.10138432038806</v>
      </c>
      <c r="BZ72" s="194">
        <f t="shared" si="188"/>
        <v>63.63774955311087</v>
      </c>
      <c r="CA72" s="194">
        <f t="shared" si="188"/>
        <v>61.15974358302457</v>
      </c>
      <c r="CB72" s="195">
        <f>SUM(BP72:CA72)</f>
        <v>894.3445283437987</v>
      </c>
      <c r="CC72" s="194">
        <f aca="true" t="shared" si="189" ref="CC72:CN72">CB75*$B68/12</f>
        <v>58.667282578112754</v>
      </c>
      <c r="CD72" s="194">
        <f t="shared" si="189"/>
        <v>56.16028221733896</v>
      </c>
      <c r="CE72" s="194">
        <f t="shared" si="189"/>
        <v>53.63865768779397</v>
      </c>
      <c r="CF72" s="194">
        <f t="shared" si="189"/>
        <v>51.102323681826654</v>
      </c>
      <c r="CG72" s="194">
        <f t="shared" si="189"/>
        <v>48.551194394157854</v>
      </c>
      <c r="CH72" s="194">
        <f t="shared" si="189"/>
        <v>45.98518351897766</v>
      </c>
      <c r="CI72" s="194">
        <f t="shared" si="189"/>
        <v>43.404204247025575</v>
      </c>
      <c r="CJ72" s="194">
        <f t="shared" si="189"/>
        <v>40.80816926265376</v>
      </c>
      <c r="CK72" s="194">
        <f t="shared" si="189"/>
        <v>38.19699074087312</v>
      </c>
      <c r="CL72" s="194">
        <f t="shared" si="189"/>
        <v>35.57058034438209</v>
      </c>
      <c r="CM72" s="194">
        <f t="shared" si="189"/>
        <v>32.92884922057819</v>
      </c>
      <c r="CN72" s="194">
        <f t="shared" si="189"/>
        <v>30.271707998552117</v>
      </c>
      <c r="CO72" s="195">
        <f>SUM(CC72:CN72)</f>
        <v>535.2854258922727</v>
      </c>
      <c r="CP72" s="194">
        <f aca="true" t="shared" si="190" ref="CP72:DA72">CO75*$B68/12</f>
        <v>27.599066786064213</v>
      </c>
      <c r="CQ72" s="194">
        <f t="shared" si="190"/>
        <v>24.910835166503464</v>
      </c>
      <c r="CR72" s="194">
        <f t="shared" si="190"/>
        <v>22.20692219582861</v>
      </c>
      <c r="CS72" s="194">
        <f t="shared" si="190"/>
        <v>19.48723639949149</v>
      </c>
      <c r="CT72" s="194">
        <f t="shared" si="190"/>
        <v>16.751685769342405</v>
      </c>
      <c r="CU72" s="194">
        <f t="shared" si="190"/>
        <v>14.000177760517445</v>
      </c>
      <c r="CV72" s="194">
        <f t="shared" si="190"/>
        <v>11.232619288307674</v>
      </c>
      <c r="CW72" s="194">
        <f t="shared" si="190"/>
        <v>8.448916725010013</v>
      </c>
      <c r="CX72" s="194">
        <f t="shared" si="190"/>
        <v>5.648975896759784</v>
      </c>
      <c r="CY72" s="194">
        <f t="shared" si="190"/>
        <v>2.832702080344761</v>
      </c>
      <c r="CZ72" s="194">
        <f t="shared" si="190"/>
        <v>6.495781690318837E-13</v>
      </c>
      <c r="DA72" s="194">
        <f t="shared" si="190"/>
        <v>6.495781690318837E-13</v>
      </c>
      <c r="DB72" s="195">
        <f>SUM(CP72:DA72)</f>
        <v>153.11913806817117</v>
      </c>
      <c r="DC72" s="194">
        <f aca="true" t="shared" si="191" ref="DC72:DN72">DB75*$B68/12</f>
        <v>6.495781690318837E-13</v>
      </c>
      <c r="DD72" s="194">
        <f t="shared" si="191"/>
        <v>6.495781690318837E-13</v>
      </c>
      <c r="DE72" s="194">
        <f t="shared" si="191"/>
        <v>6.495781690318837E-13</v>
      </c>
      <c r="DF72" s="194">
        <f t="shared" si="191"/>
        <v>6.495781690318837E-13</v>
      </c>
      <c r="DG72" s="194">
        <f t="shared" si="191"/>
        <v>6.495781690318837E-13</v>
      </c>
      <c r="DH72" s="194">
        <f t="shared" si="191"/>
        <v>6.495781690318837E-13</v>
      </c>
      <c r="DI72" s="194">
        <f t="shared" si="191"/>
        <v>6.495781690318837E-13</v>
      </c>
      <c r="DJ72" s="194">
        <f t="shared" si="191"/>
        <v>6.495781690318837E-13</v>
      </c>
      <c r="DK72" s="194">
        <f t="shared" si="191"/>
        <v>6.495781690318837E-13</v>
      </c>
      <c r="DL72" s="194">
        <f t="shared" si="191"/>
        <v>6.495781690318837E-13</v>
      </c>
      <c r="DM72" s="194">
        <f t="shared" si="191"/>
        <v>6.495781690318837E-13</v>
      </c>
      <c r="DN72" s="194">
        <f t="shared" si="191"/>
        <v>6.495781690318837E-13</v>
      </c>
      <c r="DO72" s="195">
        <f>SUM(DC72:DN72)</f>
        <v>7.794938028382606E-12</v>
      </c>
    </row>
    <row r="73" spans="1:119" ht="12.75">
      <c r="A73" s="188" t="s">
        <v>14</v>
      </c>
      <c r="B73" s="193">
        <f>O73+AB73+AO73+BB73+BO73+CB73+CO73+DB73+DO73</f>
        <v>29601.92399999989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9"/>
      <c r="N73" s="199"/>
      <c r="O73" s="195">
        <f>SUM(C73:N73)</f>
        <v>0</v>
      </c>
      <c r="P73" s="199"/>
      <c r="Q73" s="199"/>
      <c r="R73" s="199"/>
      <c r="S73" s="199"/>
      <c r="T73" s="199"/>
      <c r="U73" s="199"/>
      <c r="V73" s="199"/>
      <c r="W73" s="194">
        <f>$B77-W72</f>
        <v>315.76088299647796</v>
      </c>
      <c r="X73" s="194">
        <f>$B77-X72</f>
        <v>317.60282148062413</v>
      </c>
      <c r="Y73" s="194">
        <f>$B77-Y72</f>
        <v>319.4555046059278</v>
      </c>
      <c r="Z73" s="194">
        <f>$B77-Z72</f>
        <v>321.31899504946233</v>
      </c>
      <c r="AA73" s="194">
        <f>$B77-AA72</f>
        <v>323.1933558539175</v>
      </c>
      <c r="AB73" s="195">
        <f>SUM(P73:AA73)</f>
        <v>1597.33155998641</v>
      </c>
      <c r="AC73" s="194">
        <f aca="true" t="shared" si="192" ref="AC73:AN73">$B77-AC72</f>
        <v>325.0786504297321</v>
      </c>
      <c r="AD73" s="194">
        <f t="shared" si="192"/>
        <v>326.9749425572388</v>
      </c>
      <c r="AE73" s="194">
        <f t="shared" si="192"/>
        <v>328.88229638882274</v>
      </c>
      <c r="AF73" s="194">
        <f t="shared" si="192"/>
        <v>330.8007764510908</v>
      </c>
      <c r="AG73" s="194">
        <f t="shared" si="192"/>
        <v>332.7304476470555</v>
      </c>
      <c r="AH73" s="194">
        <f t="shared" si="192"/>
        <v>334.67137525833004</v>
      </c>
      <c r="AI73" s="194">
        <f t="shared" si="192"/>
        <v>336.62362494733696</v>
      </c>
      <c r="AJ73" s="194">
        <f t="shared" si="192"/>
        <v>338.5872627595297</v>
      </c>
      <c r="AK73" s="194">
        <f t="shared" si="192"/>
        <v>340.56235512562705</v>
      </c>
      <c r="AL73" s="194">
        <f t="shared" si="192"/>
        <v>342.54896886385984</v>
      </c>
      <c r="AM73" s="194">
        <f t="shared" si="192"/>
        <v>344.5471711822323</v>
      </c>
      <c r="AN73" s="194">
        <f t="shared" si="192"/>
        <v>346.5570296807954</v>
      </c>
      <c r="AO73" s="195">
        <f>SUM(AC73:AN73)</f>
        <v>4028.564901291652</v>
      </c>
      <c r="AP73" s="194">
        <f aca="true" t="shared" si="193" ref="AP73:BA73">$B77-AP72</f>
        <v>348.57861235393335</v>
      </c>
      <c r="AQ73" s="194">
        <f t="shared" si="193"/>
        <v>350.6119875926646</v>
      </c>
      <c r="AR73" s="194">
        <f t="shared" si="193"/>
        <v>352.6572241869552</v>
      </c>
      <c r="AS73" s="194">
        <f t="shared" si="193"/>
        <v>354.71439132804574</v>
      </c>
      <c r="AT73" s="194">
        <f t="shared" si="193"/>
        <v>356.7835586107926</v>
      </c>
      <c r="AU73" s="194">
        <f t="shared" si="193"/>
        <v>358.8647960360223</v>
      </c>
      <c r="AV73" s="194">
        <f t="shared" si="193"/>
        <v>360.9581740128991</v>
      </c>
      <c r="AW73" s="194">
        <f t="shared" si="193"/>
        <v>363.0637633613077</v>
      </c>
      <c r="AX73" s="194">
        <f t="shared" si="193"/>
        <v>365.18163531424864</v>
      </c>
      <c r="AY73" s="194">
        <f t="shared" si="193"/>
        <v>367.31186152024844</v>
      </c>
      <c r="AZ73" s="194">
        <f t="shared" si="193"/>
        <v>369.4545140457832</v>
      </c>
      <c r="BA73" s="194">
        <f t="shared" si="193"/>
        <v>371.60966537771696</v>
      </c>
      <c r="BB73" s="195">
        <f>SUM(AP73:BA73)</f>
        <v>4319.790183740618</v>
      </c>
      <c r="BC73" s="194">
        <f aca="true" t="shared" si="194" ref="BC73:BN73">$B77-BC72</f>
        <v>373.77738842575366</v>
      </c>
      <c r="BD73" s="194">
        <f t="shared" si="194"/>
        <v>375.95775652490386</v>
      </c>
      <c r="BE73" s="194">
        <f t="shared" si="194"/>
        <v>378.1508434379658</v>
      </c>
      <c r="BF73" s="194">
        <f t="shared" si="194"/>
        <v>380.3567233580206</v>
      </c>
      <c r="BG73" s="194">
        <f t="shared" si="194"/>
        <v>382.5754709109424</v>
      </c>
      <c r="BH73" s="194">
        <f t="shared" si="194"/>
        <v>384.8071611579229</v>
      </c>
      <c r="BI73" s="194">
        <f t="shared" si="194"/>
        <v>387.0518695980108</v>
      </c>
      <c r="BJ73" s="194">
        <f t="shared" si="194"/>
        <v>389.30967217066586</v>
      </c>
      <c r="BK73" s="194">
        <f t="shared" si="194"/>
        <v>391.58064525832805</v>
      </c>
      <c r="BL73" s="194">
        <f t="shared" si="194"/>
        <v>393.86486568900165</v>
      </c>
      <c r="BM73" s="194">
        <f t="shared" si="194"/>
        <v>396.16241073885413</v>
      </c>
      <c r="BN73" s="194">
        <f t="shared" si="194"/>
        <v>398.4733581348308</v>
      </c>
      <c r="BO73" s="195">
        <f>SUM(BC73:BN73)</f>
        <v>4632.0681654052005</v>
      </c>
      <c r="BP73" s="194">
        <f aca="true" t="shared" si="195" ref="BP73:CA73">$B77-BP72</f>
        <v>400.797786057284</v>
      </c>
      <c r="BQ73" s="194">
        <f t="shared" si="195"/>
        <v>403.1357731426181</v>
      </c>
      <c r="BR73" s="194">
        <f t="shared" si="195"/>
        <v>405.48739848595005</v>
      </c>
      <c r="BS73" s="194">
        <f t="shared" si="195"/>
        <v>407.8527416437848</v>
      </c>
      <c r="BT73" s="194">
        <f t="shared" si="195"/>
        <v>410.2318826367068</v>
      </c>
      <c r="BU73" s="194">
        <f t="shared" si="195"/>
        <v>412.6249019520876</v>
      </c>
      <c r="BV73" s="194">
        <f t="shared" si="195"/>
        <v>415.0318805468081</v>
      </c>
      <c r="BW73" s="194">
        <f t="shared" si="195"/>
        <v>417.45289984999783</v>
      </c>
      <c r="BX73" s="194">
        <f t="shared" si="195"/>
        <v>419.8880417657895</v>
      </c>
      <c r="BY73" s="194">
        <f t="shared" si="195"/>
        <v>422.33738867609</v>
      </c>
      <c r="BZ73" s="194">
        <f t="shared" si="195"/>
        <v>424.8010234433671</v>
      </c>
      <c r="CA73" s="194">
        <f t="shared" si="195"/>
        <v>427.27902941345343</v>
      </c>
      <c r="CB73" s="195">
        <f>SUM(BP73:CA73)</f>
        <v>4966.920747613937</v>
      </c>
      <c r="CC73" s="194">
        <f aca="true" t="shared" si="196" ref="CC73:CN73">$B77-CC72</f>
        <v>429.77149041836526</v>
      </c>
      <c r="CD73" s="194">
        <f t="shared" si="196"/>
        <v>432.278490779139</v>
      </c>
      <c r="CE73" s="194">
        <f t="shared" si="196"/>
        <v>434.80011530868404</v>
      </c>
      <c r="CF73" s="194">
        <f t="shared" si="196"/>
        <v>437.33644931465136</v>
      </c>
      <c r="CG73" s="194">
        <f t="shared" si="196"/>
        <v>439.88757860232016</v>
      </c>
      <c r="CH73" s="194">
        <f t="shared" si="196"/>
        <v>442.4535894775004</v>
      </c>
      <c r="CI73" s="194">
        <f t="shared" si="196"/>
        <v>445.03456874945243</v>
      </c>
      <c r="CJ73" s="194">
        <f t="shared" si="196"/>
        <v>447.6306037338243</v>
      </c>
      <c r="CK73" s="194">
        <f t="shared" si="196"/>
        <v>450.2417822556049</v>
      </c>
      <c r="CL73" s="194">
        <f t="shared" si="196"/>
        <v>452.8681926520959</v>
      </c>
      <c r="CM73" s="194">
        <f t="shared" si="196"/>
        <v>455.50992377589984</v>
      </c>
      <c r="CN73" s="194">
        <f t="shared" si="196"/>
        <v>458.1670649979259</v>
      </c>
      <c r="CO73" s="195">
        <f>SUM(CC73:CN73)</f>
        <v>5325.979850065463</v>
      </c>
      <c r="CP73" s="194">
        <f aca="true" t="shared" si="197" ref="CP73:CY73">$B77-CP72</f>
        <v>460.8397062104138</v>
      </c>
      <c r="CQ73" s="194">
        <f t="shared" si="197"/>
        <v>463.5279378299745</v>
      </c>
      <c r="CR73" s="194">
        <f t="shared" si="197"/>
        <v>466.2318508006494</v>
      </c>
      <c r="CS73" s="194">
        <f t="shared" si="197"/>
        <v>468.9515365969865</v>
      </c>
      <c r="CT73" s="194">
        <f t="shared" si="197"/>
        <v>471.6870872271356</v>
      </c>
      <c r="CU73" s="194">
        <f t="shared" si="197"/>
        <v>474.4385952359606</v>
      </c>
      <c r="CV73" s="194">
        <f t="shared" si="197"/>
        <v>477.20615370817035</v>
      </c>
      <c r="CW73" s="194">
        <f t="shared" si="197"/>
        <v>479.989856271468</v>
      </c>
      <c r="CX73" s="194">
        <f t="shared" si="197"/>
        <v>482.7897970997182</v>
      </c>
      <c r="CY73" s="194">
        <f t="shared" si="197"/>
        <v>485.60607091613326</v>
      </c>
      <c r="CZ73" s="194"/>
      <c r="DA73" s="194"/>
      <c r="DB73" s="195">
        <f>SUM(CP73:DA73)</f>
        <v>4731.26859189661</v>
      </c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5">
        <f>SUM(DC73:DN73)</f>
        <v>0</v>
      </c>
    </row>
    <row r="74" spans="1:119" ht="12.75">
      <c r="A74" s="188" t="s">
        <v>15</v>
      </c>
      <c r="B74" s="193">
        <f>O74+AB74+AO74+BB74+BO74+CB74+CO74+DB74+DO74</f>
        <v>8067.05131473597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9"/>
      <c r="N74" s="199"/>
      <c r="O74" s="195">
        <f>SUM(C74:N74)</f>
        <v>0</v>
      </c>
      <c r="P74" s="199"/>
      <c r="Q74" s="194">
        <f aca="true" t="shared" si="198" ref="Q74:V74">Q72</f>
        <v>172.67789000000005</v>
      </c>
      <c r="R74" s="194">
        <f t="shared" si="198"/>
        <v>172.67789000000005</v>
      </c>
      <c r="S74" s="194">
        <f t="shared" si="198"/>
        <v>172.67789000000005</v>
      </c>
      <c r="T74" s="194">
        <f t="shared" si="198"/>
        <v>172.67789000000005</v>
      </c>
      <c r="U74" s="194">
        <f t="shared" si="198"/>
        <v>172.67789000000005</v>
      </c>
      <c r="V74" s="194">
        <f t="shared" si="198"/>
        <v>172.67789000000005</v>
      </c>
      <c r="W74" s="194">
        <f>W72</f>
        <v>172.67789000000005</v>
      </c>
      <c r="X74" s="194">
        <f>X72</f>
        <v>170.8359515158539</v>
      </c>
      <c r="Y74" s="194">
        <f>Y72</f>
        <v>168.98326839055025</v>
      </c>
      <c r="Z74" s="194">
        <f>Z72</f>
        <v>167.11977794701568</v>
      </c>
      <c r="AA74" s="194">
        <f>AA72</f>
        <v>165.24541714256048</v>
      </c>
      <c r="AB74" s="195">
        <f>SUM(P74:AA74)</f>
        <v>1880.9296449959804</v>
      </c>
      <c r="AC74" s="194">
        <f aca="true" t="shared" si="199" ref="AC74:AK74">AC72</f>
        <v>163.36012256674596</v>
      </c>
      <c r="AD74" s="194">
        <f t="shared" si="199"/>
        <v>161.4638304392392</v>
      </c>
      <c r="AE74" s="194">
        <f t="shared" si="199"/>
        <v>159.5564766076553</v>
      </c>
      <c r="AF74" s="194">
        <f t="shared" si="199"/>
        <v>157.63799654538718</v>
      </c>
      <c r="AG74" s="194">
        <f t="shared" si="199"/>
        <v>155.7083253494225</v>
      </c>
      <c r="AH74" s="194">
        <f t="shared" si="199"/>
        <v>153.767397738148</v>
      </c>
      <c r="AI74" s="194">
        <f t="shared" si="199"/>
        <v>151.81514804914104</v>
      </c>
      <c r="AJ74" s="194">
        <f t="shared" si="199"/>
        <v>149.85151023694826</v>
      </c>
      <c r="AK74" s="194">
        <f t="shared" si="199"/>
        <v>147.876417870851</v>
      </c>
      <c r="AL74" s="194">
        <f>AL72</f>
        <v>145.88980413261814</v>
      </c>
      <c r="AM74" s="194">
        <f>AM72</f>
        <v>143.89160181424566</v>
      </c>
      <c r="AN74" s="194">
        <f>AN72</f>
        <v>141.88174331568263</v>
      </c>
      <c r="AO74" s="195">
        <f>SUM(AC74:AN74)</f>
        <v>1832.7003746660848</v>
      </c>
      <c r="AP74" s="194">
        <f aca="true" t="shared" si="200" ref="AP74:BA74">AP72</f>
        <v>139.86016064254466</v>
      </c>
      <c r="AQ74" s="194">
        <f t="shared" si="200"/>
        <v>137.82678540381337</v>
      </c>
      <c r="AR74" s="194">
        <f t="shared" si="200"/>
        <v>135.78154880952283</v>
      </c>
      <c r="AS74" s="194">
        <f t="shared" si="200"/>
        <v>133.72438166843227</v>
      </c>
      <c r="AT74" s="194">
        <f t="shared" si="200"/>
        <v>131.65521438568535</v>
      </c>
      <c r="AU74" s="194">
        <f t="shared" si="200"/>
        <v>129.57397696045572</v>
      </c>
      <c r="AV74" s="194">
        <f t="shared" si="200"/>
        <v>127.4805989835789</v>
      </c>
      <c r="AW74" s="194">
        <f t="shared" si="200"/>
        <v>125.37500963517033</v>
      </c>
      <c r="AX74" s="194">
        <f t="shared" si="200"/>
        <v>123.25713768222937</v>
      </c>
      <c r="AY74" s="194">
        <f t="shared" si="200"/>
        <v>121.12691147622958</v>
      </c>
      <c r="AZ74" s="194">
        <f t="shared" si="200"/>
        <v>118.98425895069481</v>
      </c>
      <c r="BA74" s="194">
        <f t="shared" si="200"/>
        <v>116.82910761876106</v>
      </c>
      <c r="BB74" s="195">
        <f>SUM(AP74:BA74)</f>
        <v>1541.4750922171183</v>
      </c>
      <c r="BC74" s="194">
        <f aca="true" t="shared" si="201" ref="BC74:BN74">BC72</f>
        <v>114.66138457072437</v>
      </c>
      <c r="BD74" s="194">
        <f t="shared" si="201"/>
        <v>112.48101647157414</v>
      </c>
      <c r="BE74" s="194">
        <f t="shared" si="201"/>
        <v>110.28792955851219</v>
      </c>
      <c r="BF74" s="194">
        <f t="shared" si="201"/>
        <v>108.0820496384574</v>
      </c>
      <c r="BG74" s="194">
        <f t="shared" si="201"/>
        <v>105.86330208553561</v>
      </c>
      <c r="BH74" s="194">
        <f t="shared" si="201"/>
        <v>103.6316118385551</v>
      </c>
      <c r="BI74" s="194">
        <f t="shared" si="201"/>
        <v>101.38690339846723</v>
      </c>
      <c r="BJ74" s="194">
        <f t="shared" si="201"/>
        <v>99.12910082581216</v>
      </c>
      <c r="BK74" s="194">
        <f t="shared" si="201"/>
        <v>96.85812773814996</v>
      </c>
      <c r="BL74" s="194">
        <f t="shared" si="201"/>
        <v>94.57390730747638</v>
      </c>
      <c r="BM74" s="194">
        <f t="shared" si="201"/>
        <v>92.27636225762387</v>
      </c>
      <c r="BN74" s="194">
        <f t="shared" si="201"/>
        <v>89.96541486164722</v>
      </c>
      <c r="BO74" s="195">
        <f>SUM(BC74:BN74)</f>
        <v>1229.1971105525358</v>
      </c>
      <c r="BP74" s="194">
        <f aca="true" t="shared" si="202" ref="BP74:CA74">BP72</f>
        <v>87.64098693919404</v>
      </c>
      <c r="BQ74" s="194">
        <f t="shared" si="202"/>
        <v>85.30299985385989</v>
      </c>
      <c r="BR74" s="194">
        <f t="shared" si="202"/>
        <v>82.95137451052796</v>
      </c>
      <c r="BS74" s="194">
        <f t="shared" si="202"/>
        <v>80.58603135269324</v>
      </c>
      <c r="BT74" s="194">
        <f t="shared" si="202"/>
        <v>78.20689035977117</v>
      </c>
      <c r="BU74" s="194">
        <f t="shared" si="202"/>
        <v>75.81387104439038</v>
      </c>
      <c r="BV74" s="194">
        <f t="shared" si="202"/>
        <v>73.40689244966987</v>
      </c>
      <c r="BW74" s="194">
        <f t="shared" si="202"/>
        <v>70.98587314648016</v>
      </c>
      <c r="BX74" s="194">
        <f t="shared" si="202"/>
        <v>68.5507312306885</v>
      </c>
      <c r="BY74" s="194">
        <f t="shared" si="202"/>
        <v>66.10138432038806</v>
      </c>
      <c r="BZ74" s="194">
        <f t="shared" si="202"/>
        <v>63.63774955311087</v>
      </c>
      <c r="CA74" s="194">
        <f t="shared" si="202"/>
        <v>61.15974358302457</v>
      </c>
      <c r="CB74" s="195">
        <f>SUM(BP74:CA74)</f>
        <v>894.3445283437987</v>
      </c>
      <c r="CC74" s="194">
        <f aca="true" t="shared" si="203" ref="CC74:CN74">CC72</f>
        <v>58.667282578112754</v>
      </c>
      <c r="CD74" s="194">
        <f t="shared" si="203"/>
        <v>56.16028221733896</v>
      </c>
      <c r="CE74" s="194">
        <f t="shared" si="203"/>
        <v>53.63865768779397</v>
      </c>
      <c r="CF74" s="194">
        <f t="shared" si="203"/>
        <v>51.102323681826654</v>
      </c>
      <c r="CG74" s="194">
        <f t="shared" si="203"/>
        <v>48.551194394157854</v>
      </c>
      <c r="CH74" s="194">
        <f t="shared" si="203"/>
        <v>45.98518351897766</v>
      </c>
      <c r="CI74" s="194">
        <f t="shared" si="203"/>
        <v>43.404204247025575</v>
      </c>
      <c r="CJ74" s="194">
        <f t="shared" si="203"/>
        <v>40.80816926265376</v>
      </c>
      <c r="CK74" s="194">
        <f t="shared" si="203"/>
        <v>38.19699074087312</v>
      </c>
      <c r="CL74" s="194">
        <f t="shared" si="203"/>
        <v>35.57058034438209</v>
      </c>
      <c r="CM74" s="194">
        <f t="shared" si="203"/>
        <v>32.92884922057819</v>
      </c>
      <c r="CN74" s="194">
        <f t="shared" si="203"/>
        <v>30.271707998552117</v>
      </c>
      <c r="CO74" s="195">
        <f>SUM(CC74:CN74)</f>
        <v>535.2854258922727</v>
      </c>
      <c r="CP74" s="194">
        <f aca="true" t="shared" si="204" ref="CP74:DA74">CP72</f>
        <v>27.599066786064213</v>
      </c>
      <c r="CQ74" s="194">
        <f t="shared" si="204"/>
        <v>24.910835166503464</v>
      </c>
      <c r="CR74" s="194">
        <f t="shared" si="204"/>
        <v>22.20692219582861</v>
      </c>
      <c r="CS74" s="194">
        <f t="shared" si="204"/>
        <v>19.48723639949149</v>
      </c>
      <c r="CT74" s="194">
        <f t="shared" si="204"/>
        <v>16.751685769342405</v>
      </c>
      <c r="CU74" s="194">
        <f t="shared" si="204"/>
        <v>14.000177760517445</v>
      </c>
      <c r="CV74" s="194">
        <f t="shared" si="204"/>
        <v>11.232619288307674</v>
      </c>
      <c r="CW74" s="194">
        <f t="shared" si="204"/>
        <v>8.448916725010013</v>
      </c>
      <c r="CX74" s="194">
        <f t="shared" si="204"/>
        <v>5.648975896759784</v>
      </c>
      <c r="CY74" s="194">
        <f t="shared" si="204"/>
        <v>2.832702080344761</v>
      </c>
      <c r="CZ74" s="194">
        <f t="shared" si="204"/>
        <v>6.495781690318837E-13</v>
      </c>
      <c r="DA74" s="194">
        <f t="shared" si="204"/>
        <v>6.495781690318837E-13</v>
      </c>
      <c r="DB74" s="195">
        <f>SUM(CP74:DA74)</f>
        <v>153.11913806817117</v>
      </c>
      <c r="DC74" s="194">
        <f aca="true" t="shared" si="205" ref="DC74:DN74">DC72</f>
        <v>6.495781690318837E-13</v>
      </c>
      <c r="DD74" s="194">
        <f t="shared" si="205"/>
        <v>6.495781690318837E-13</v>
      </c>
      <c r="DE74" s="194">
        <f t="shared" si="205"/>
        <v>6.495781690318837E-13</v>
      </c>
      <c r="DF74" s="194">
        <f t="shared" si="205"/>
        <v>6.495781690318837E-13</v>
      </c>
      <c r="DG74" s="194">
        <f t="shared" si="205"/>
        <v>6.495781690318837E-13</v>
      </c>
      <c r="DH74" s="194">
        <f t="shared" si="205"/>
        <v>6.495781690318837E-13</v>
      </c>
      <c r="DI74" s="194">
        <f t="shared" si="205"/>
        <v>6.495781690318837E-13</v>
      </c>
      <c r="DJ74" s="194">
        <f t="shared" si="205"/>
        <v>6.495781690318837E-13</v>
      </c>
      <c r="DK74" s="194">
        <f t="shared" si="205"/>
        <v>6.495781690318837E-13</v>
      </c>
      <c r="DL74" s="194">
        <f t="shared" si="205"/>
        <v>6.495781690318837E-13</v>
      </c>
      <c r="DM74" s="194">
        <f t="shared" si="205"/>
        <v>6.495781690318837E-13</v>
      </c>
      <c r="DN74" s="194">
        <f t="shared" si="205"/>
        <v>6.495781690318837E-13</v>
      </c>
      <c r="DO74" s="195">
        <f>SUM(DC74:DN74)</f>
        <v>7.794938028382606E-12</v>
      </c>
    </row>
    <row r="75" spans="1:119" ht="12.75">
      <c r="A75" s="188" t="s">
        <v>16</v>
      </c>
      <c r="B75" s="193">
        <f>DO75</f>
        <v>1.113562575483229E-10</v>
      </c>
      <c r="C75" s="194">
        <f>C70</f>
        <v>0</v>
      </c>
      <c r="D75" s="194">
        <f aca="true" t="shared" si="206" ref="D75:N75">C75+D70-D73+D71</f>
        <v>0</v>
      </c>
      <c r="E75" s="194">
        <f t="shared" si="206"/>
        <v>0</v>
      </c>
      <c r="F75" s="194">
        <f t="shared" si="206"/>
        <v>0</v>
      </c>
      <c r="G75" s="194">
        <f t="shared" si="206"/>
        <v>0</v>
      </c>
      <c r="H75" s="194">
        <f t="shared" si="206"/>
        <v>0</v>
      </c>
      <c r="I75" s="194">
        <f t="shared" si="206"/>
        <v>0</v>
      </c>
      <c r="J75" s="194">
        <f t="shared" si="206"/>
        <v>0</v>
      </c>
      <c r="K75" s="194">
        <f t="shared" si="206"/>
        <v>0</v>
      </c>
      <c r="L75" s="194">
        <f t="shared" si="206"/>
        <v>29092.800000000003</v>
      </c>
      <c r="M75" s="194">
        <f t="shared" si="206"/>
        <v>29092.800000000003</v>
      </c>
      <c r="N75" s="194">
        <f t="shared" si="206"/>
        <v>29092.800000000003</v>
      </c>
      <c r="O75" s="195">
        <f>N75</f>
        <v>29092.800000000003</v>
      </c>
      <c r="P75" s="194">
        <f aca="true" t="shared" si="207" ref="P75:AA75">O75+P70-P73+P71</f>
        <v>29601.924000000003</v>
      </c>
      <c r="Q75" s="194">
        <f t="shared" si="207"/>
        <v>29601.924000000003</v>
      </c>
      <c r="R75" s="194">
        <f t="shared" si="207"/>
        <v>29601.924000000003</v>
      </c>
      <c r="S75" s="194">
        <f t="shared" si="207"/>
        <v>29601.924000000003</v>
      </c>
      <c r="T75" s="194">
        <f t="shared" si="207"/>
        <v>29601.924000000003</v>
      </c>
      <c r="U75" s="194">
        <f t="shared" si="207"/>
        <v>29601.924000000003</v>
      </c>
      <c r="V75" s="194">
        <f t="shared" si="207"/>
        <v>29601.924000000003</v>
      </c>
      <c r="W75" s="194">
        <f t="shared" si="207"/>
        <v>29286.163117003525</v>
      </c>
      <c r="X75" s="194">
        <f t="shared" si="207"/>
        <v>28968.5602955229</v>
      </c>
      <c r="Y75" s="194">
        <f t="shared" si="207"/>
        <v>28649.104790916972</v>
      </c>
      <c r="Z75" s="194">
        <f t="shared" si="207"/>
        <v>28327.78579586751</v>
      </c>
      <c r="AA75" s="194">
        <f t="shared" si="207"/>
        <v>28004.592440013592</v>
      </c>
      <c r="AB75" s="195">
        <f>AA75</f>
        <v>28004.592440013592</v>
      </c>
      <c r="AC75" s="194">
        <f aca="true" t="shared" si="208" ref="AC75:AN75">AB75+AC70-AC73+AC71</f>
        <v>27679.51378958386</v>
      </c>
      <c r="AD75" s="194">
        <f t="shared" si="208"/>
        <v>27352.538847026623</v>
      </c>
      <c r="AE75" s="194">
        <f t="shared" si="208"/>
        <v>27023.6565506378</v>
      </c>
      <c r="AF75" s="194">
        <f t="shared" si="208"/>
        <v>26692.855774186708</v>
      </c>
      <c r="AG75" s="194">
        <f t="shared" si="208"/>
        <v>26360.12532653965</v>
      </c>
      <c r="AH75" s="194">
        <f t="shared" si="208"/>
        <v>26025.45395128132</v>
      </c>
      <c r="AI75" s="194">
        <f t="shared" si="208"/>
        <v>25688.830326333984</v>
      </c>
      <c r="AJ75" s="194">
        <f t="shared" si="208"/>
        <v>25350.243063574453</v>
      </c>
      <c r="AK75" s="194">
        <f t="shared" si="208"/>
        <v>25009.680708448825</v>
      </c>
      <c r="AL75" s="194">
        <f t="shared" si="208"/>
        <v>24667.131739584966</v>
      </c>
      <c r="AM75" s="194">
        <f t="shared" si="208"/>
        <v>24322.584568402734</v>
      </c>
      <c r="AN75" s="194">
        <f t="shared" si="208"/>
        <v>23976.027538721937</v>
      </c>
      <c r="AO75" s="195">
        <f>AN75</f>
        <v>23976.027538721937</v>
      </c>
      <c r="AP75" s="194">
        <f aca="true" t="shared" si="209" ref="AP75:BA75">AO75+AP70-AP73+AP71</f>
        <v>23627.448926368004</v>
      </c>
      <c r="AQ75" s="194">
        <f t="shared" si="209"/>
        <v>23276.83693877534</v>
      </c>
      <c r="AR75" s="194">
        <f t="shared" si="209"/>
        <v>22924.179714588387</v>
      </c>
      <c r="AS75" s="194">
        <f t="shared" si="209"/>
        <v>22569.46532326034</v>
      </c>
      <c r="AT75" s="194">
        <f t="shared" si="209"/>
        <v>22212.681764649547</v>
      </c>
      <c r="AU75" s="194">
        <f t="shared" si="209"/>
        <v>21853.816968613526</v>
      </c>
      <c r="AV75" s="194">
        <f t="shared" si="209"/>
        <v>21492.858794600626</v>
      </c>
      <c r="AW75" s="194">
        <f t="shared" si="209"/>
        <v>21129.79503123932</v>
      </c>
      <c r="AX75" s="194">
        <f t="shared" si="209"/>
        <v>20764.61339592507</v>
      </c>
      <c r="AY75" s="194">
        <f t="shared" si="209"/>
        <v>20397.30153440482</v>
      </c>
      <c r="AZ75" s="194">
        <f t="shared" si="209"/>
        <v>20027.847020359037</v>
      </c>
      <c r="BA75" s="194">
        <f t="shared" si="209"/>
        <v>19656.23735498132</v>
      </c>
      <c r="BB75" s="195">
        <f>BA75</f>
        <v>19656.23735498132</v>
      </c>
      <c r="BC75" s="194">
        <f aca="true" t="shared" si="210" ref="BC75:BN75">BB75+BC70-BC73+BC71</f>
        <v>19282.459966555565</v>
      </c>
      <c r="BD75" s="194">
        <f t="shared" si="210"/>
        <v>18906.50221003066</v>
      </c>
      <c r="BE75" s="194">
        <f t="shared" si="210"/>
        <v>18528.351366592695</v>
      </c>
      <c r="BF75" s="194">
        <f t="shared" si="210"/>
        <v>18147.994643234673</v>
      </c>
      <c r="BG75" s="194">
        <f t="shared" si="210"/>
        <v>17765.41917232373</v>
      </c>
      <c r="BH75" s="194">
        <f t="shared" si="210"/>
        <v>17380.61201116581</v>
      </c>
      <c r="BI75" s="194">
        <f t="shared" si="210"/>
        <v>16993.5601415678</v>
      </c>
      <c r="BJ75" s="194">
        <f t="shared" si="210"/>
        <v>16604.250469397135</v>
      </c>
      <c r="BK75" s="194">
        <f t="shared" si="210"/>
        <v>16212.669824138808</v>
      </c>
      <c r="BL75" s="194">
        <f t="shared" si="210"/>
        <v>15818.804958449806</v>
      </c>
      <c r="BM75" s="194">
        <f t="shared" si="210"/>
        <v>15422.642547710951</v>
      </c>
      <c r="BN75" s="194">
        <f t="shared" si="210"/>
        <v>15024.169189576121</v>
      </c>
      <c r="BO75" s="195">
        <f>BN75</f>
        <v>15024.169189576121</v>
      </c>
      <c r="BP75" s="194">
        <f aca="true" t="shared" si="211" ref="BP75:CA75">BO75+BP70-BP73+BP71</f>
        <v>14623.371403518837</v>
      </c>
      <c r="BQ75" s="194">
        <f t="shared" si="211"/>
        <v>14220.235630376219</v>
      </c>
      <c r="BR75" s="194">
        <f t="shared" si="211"/>
        <v>13814.74823189027</v>
      </c>
      <c r="BS75" s="194">
        <f t="shared" si="211"/>
        <v>13406.895490246485</v>
      </c>
      <c r="BT75" s="194">
        <f t="shared" si="211"/>
        <v>12996.663607609778</v>
      </c>
      <c r="BU75" s="194">
        <f t="shared" si="211"/>
        <v>12584.038705657691</v>
      </c>
      <c r="BV75" s="194">
        <f t="shared" si="211"/>
        <v>12169.006825110882</v>
      </c>
      <c r="BW75" s="194">
        <f t="shared" si="211"/>
        <v>11751.553925260885</v>
      </c>
      <c r="BX75" s="194">
        <f t="shared" si="211"/>
        <v>11331.665883495096</v>
      </c>
      <c r="BY75" s="194">
        <f t="shared" si="211"/>
        <v>10909.328494819007</v>
      </c>
      <c r="BZ75" s="194">
        <f t="shared" si="211"/>
        <v>10484.527471375639</v>
      </c>
      <c r="CA75" s="194">
        <f t="shared" si="211"/>
        <v>10057.248441962185</v>
      </c>
      <c r="CB75" s="195">
        <f>CA75</f>
        <v>10057.248441962185</v>
      </c>
      <c r="CC75" s="194">
        <f aca="true" t="shared" si="212" ref="CC75:CN75">CB75+CC70-CC73+CC71</f>
        <v>9627.47695154382</v>
      </c>
      <c r="CD75" s="194">
        <f t="shared" si="212"/>
        <v>9195.198460764681</v>
      </c>
      <c r="CE75" s="194">
        <f t="shared" si="212"/>
        <v>8760.398345455997</v>
      </c>
      <c r="CF75" s="194">
        <f t="shared" si="212"/>
        <v>8323.061896141346</v>
      </c>
      <c r="CG75" s="194">
        <f t="shared" si="212"/>
        <v>7883.174317539026</v>
      </c>
      <c r="CH75" s="194">
        <f t="shared" si="212"/>
        <v>7440.720728061526</v>
      </c>
      <c r="CI75" s="194">
        <f t="shared" si="212"/>
        <v>6995.686159312073</v>
      </c>
      <c r="CJ75" s="194">
        <f t="shared" si="212"/>
        <v>6548.0555555782485</v>
      </c>
      <c r="CK75" s="194">
        <f t="shared" si="212"/>
        <v>6097.813773322643</v>
      </c>
      <c r="CL75" s="194">
        <f t="shared" si="212"/>
        <v>5644.945580670547</v>
      </c>
      <c r="CM75" s="194">
        <f t="shared" si="212"/>
        <v>5189.435656894648</v>
      </c>
      <c r="CN75" s="194">
        <f t="shared" si="212"/>
        <v>4731.268591896722</v>
      </c>
      <c r="CO75" s="195">
        <f>CN75</f>
        <v>4731.268591896722</v>
      </c>
      <c r="CP75" s="194">
        <f aca="true" t="shared" si="213" ref="CP75:DA75">CO75+CP70-CP73+CP71</f>
        <v>4270.428885686308</v>
      </c>
      <c r="CQ75" s="194">
        <f t="shared" si="213"/>
        <v>3806.900947856333</v>
      </c>
      <c r="CR75" s="194">
        <f t="shared" si="213"/>
        <v>3340.669097055684</v>
      </c>
      <c r="CS75" s="194">
        <f t="shared" si="213"/>
        <v>2871.7175604586973</v>
      </c>
      <c r="CT75" s="194">
        <f t="shared" si="213"/>
        <v>2400.0304732315617</v>
      </c>
      <c r="CU75" s="194">
        <f t="shared" si="213"/>
        <v>1925.5918779956012</v>
      </c>
      <c r="CV75" s="194">
        <f t="shared" si="213"/>
        <v>1448.3857242874308</v>
      </c>
      <c r="CW75" s="194">
        <f t="shared" si="213"/>
        <v>968.3958680159628</v>
      </c>
      <c r="CX75" s="194">
        <f t="shared" si="213"/>
        <v>485.6060709162446</v>
      </c>
      <c r="CY75" s="194">
        <f t="shared" si="213"/>
        <v>1.113562575483229E-10</v>
      </c>
      <c r="CZ75" s="194">
        <f t="shared" si="213"/>
        <v>1.113562575483229E-10</v>
      </c>
      <c r="DA75" s="194">
        <f t="shared" si="213"/>
        <v>1.113562575483229E-10</v>
      </c>
      <c r="DB75" s="195">
        <f>DA75</f>
        <v>1.113562575483229E-10</v>
      </c>
      <c r="DC75" s="194">
        <f aca="true" t="shared" si="214" ref="DC75:DN75">DB75+DC70-DC73+DC71</f>
        <v>1.113562575483229E-10</v>
      </c>
      <c r="DD75" s="194">
        <f t="shared" si="214"/>
        <v>1.113562575483229E-10</v>
      </c>
      <c r="DE75" s="194">
        <f t="shared" si="214"/>
        <v>1.113562575483229E-10</v>
      </c>
      <c r="DF75" s="194">
        <f t="shared" si="214"/>
        <v>1.113562575483229E-10</v>
      </c>
      <c r="DG75" s="194">
        <f t="shared" si="214"/>
        <v>1.113562575483229E-10</v>
      </c>
      <c r="DH75" s="194">
        <f t="shared" si="214"/>
        <v>1.113562575483229E-10</v>
      </c>
      <c r="DI75" s="194">
        <f t="shared" si="214"/>
        <v>1.113562575483229E-10</v>
      </c>
      <c r="DJ75" s="194">
        <f t="shared" si="214"/>
        <v>1.113562575483229E-10</v>
      </c>
      <c r="DK75" s="194">
        <f t="shared" si="214"/>
        <v>1.113562575483229E-10</v>
      </c>
      <c r="DL75" s="194">
        <f t="shared" si="214"/>
        <v>1.113562575483229E-10</v>
      </c>
      <c r="DM75" s="194">
        <f t="shared" si="214"/>
        <v>1.113562575483229E-10</v>
      </c>
      <c r="DN75" s="194">
        <f t="shared" si="214"/>
        <v>1.113562575483229E-10</v>
      </c>
      <c r="DO75" s="195">
        <f>DN75</f>
        <v>1.113562575483229E-10</v>
      </c>
    </row>
    <row r="76" spans="1:119" ht="12.75">
      <c r="A76" s="177" t="s">
        <v>78</v>
      </c>
      <c r="B76" s="284">
        <f>Исх!$C$43*12-Исх!$C$44</f>
        <v>75</v>
      </c>
      <c r="CP76" s="180"/>
      <c r="DB76" s="177"/>
      <c r="DO76" s="177"/>
    </row>
    <row r="77" spans="1:119" ht="12.75">
      <c r="A77" s="287" t="s">
        <v>253</v>
      </c>
      <c r="B77" s="288">
        <f>$V$75*$B$20/12/((1-(1+$B$20/12)^-$B76))</f>
        <v>488.438772996478</v>
      </c>
      <c r="DB77" s="177"/>
      <c r="DO77" s="177"/>
    </row>
    <row r="78" spans="1:119" ht="6" customHeight="1">
      <c r="A78" s="285"/>
      <c r="B78" s="282"/>
      <c r="DB78" s="177"/>
      <c r="DO78" s="177"/>
    </row>
    <row r="79" spans="1:119" ht="12.75">
      <c r="A79" s="270" t="s">
        <v>241</v>
      </c>
      <c r="DB79" s="177"/>
      <c r="DO79" s="177"/>
    </row>
    <row r="80" spans="1:119" ht="12.75" hidden="1" outlineLevel="1">
      <c r="A80" s="271">
        <f>B70+B71-B73</f>
        <v>1.127773430198431E-10</v>
      </c>
      <c r="DB80" s="177"/>
      <c r="DO80" s="177"/>
    </row>
    <row r="81" spans="1:119" ht="12.75" hidden="1" outlineLevel="1">
      <c r="A81" s="271">
        <f>B72-B71-B74</f>
        <v>0</v>
      </c>
      <c r="DB81" s="177"/>
      <c r="DO81" s="177"/>
    </row>
    <row r="82" ht="12.75" collapsed="1"/>
    <row r="83" spans="1:119" ht="12.75">
      <c r="A83" s="296" t="s">
        <v>271</v>
      </c>
      <c r="B83" s="297"/>
      <c r="DB83" s="177"/>
      <c r="DO83" s="177"/>
    </row>
    <row r="84" spans="1:119" ht="15.75" customHeight="1">
      <c r="A84" s="186" t="s">
        <v>11</v>
      </c>
      <c r="B84" s="286">
        <f>Исх!$C$42</f>
        <v>0.07</v>
      </c>
      <c r="C84" s="366">
        <v>2013</v>
      </c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>
        <v>2014</v>
      </c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>
        <v>2015</v>
      </c>
      <c r="AD84" s="366"/>
      <c r="AE84" s="366"/>
      <c r="AF84" s="366"/>
      <c r="AG84" s="366"/>
      <c r="AH84" s="366"/>
      <c r="AI84" s="366"/>
      <c r="AJ84" s="366"/>
      <c r="AK84" s="366"/>
      <c r="AL84" s="366"/>
      <c r="AM84" s="366"/>
      <c r="AN84" s="366"/>
      <c r="AO84" s="366"/>
      <c r="AP84" s="366">
        <v>2016</v>
      </c>
      <c r="AQ84" s="366"/>
      <c r="AR84" s="366"/>
      <c r="AS84" s="366"/>
      <c r="AT84" s="366"/>
      <c r="AU84" s="366"/>
      <c r="AV84" s="366"/>
      <c r="AW84" s="366"/>
      <c r="AX84" s="366"/>
      <c r="AY84" s="366"/>
      <c r="AZ84" s="366"/>
      <c r="BA84" s="366"/>
      <c r="BB84" s="366"/>
      <c r="BC84" s="366">
        <v>2017</v>
      </c>
      <c r="BD84" s="366"/>
      <c r="BE84" s="366"/>
      <c r="BF84" s="366"/>
      <c r="BG84" s="366"/>
      <c r="BH84" s="366"/>
      <c r="BI84" s="366"/>
      <c r="BJ84" s="366"/>
      <c r="BK84" s="366"/>
      <c r="BL84" s="366"/>
      <c r="BM84" s="366"/>
      <c r="BN84" s="366"/>
      <c r="BO84" s="366"/>
      <c r="BP84" s="366">
        <v>2018</v>
      </c>
      <c r="BQ84" s="366"/>
      <c r="BR84" s="366"/>
      <c r="BS84" s="366"/>
      <c r="BT84" s="366"/>
      <c r="BU84" s="366"/>
      <c r="BV84" s="366"/>
      <c r="BW84" s="366"/>
      <c r="BX84" s="366"/>
      <c r="BY84" s="366"/>
      <c r="BZ84" s="366"/>
      <c r="CA84" s="366"/>
      <c r="CB84" s="366"/>
      <c r="CC84" s="366">
        <v>2019</v>
      </c>
      <c r="CD84" s="366"/>
      <c r="CE84" s="366"/>
      <c r="CF84" s="366"/>
      <c r="CG84" s="366"/>
      <c r="CH84" s="366"/>
      <c r="CI84" s="366"/>
      <c r="CJ84" s="366"/>
      <c r="CK84" s="366"/>
      <c r="CL84" s="366"/>
      <c r="CM84" s="366"/>
      <c r="CN84" s="366"/>
      <c r="CO84" s="366"/>
      <c r="CP84" s="366">
        <v>2020</v>
      </c>
      <c r="CQ84" s="366"/>
      <c r="CR84" s="366"/>
      <c r="CS84" s="366"/>
      <c r="CT84" s="366"/>
      <c r="CU84" s="366"/>
      <c r="CV84" s="366"/>
      <c r="CW84" s="366"/>
      <c r="CX84" s="366"/>
      <c r="CY84" s="366"/>
      <c r="CZ84" s="366"/>
      <c r="DA84" s="366"/>
      <c r="DB84" s="366"/>
      <c r="DC84" s="366">
        <v>2021</v>
      </c>
      <c r="DD84" s="366"/>
      <c r="DE84" s="366"/>
      <c r="DF84" s="366"/>
      <c r="DG84" s="366"/>
      <c r="DH84" s="366"/>
      <c r="DI84" s="366"/>
      <c r="DJ84" s="366"/>
      <c r="DK84" s="366"/>
      <c r="DL84" s="366"/>
      <c r="DM84" s="366"/>
      <c r="DN84" s="366"/>
      <c r="DO84" s="366"/>
    </row>
    <row r="85" spans="1:119" s="192" customFormat="1" ht="15" customHeight="1">
      <c r="A85" s="188" t="s">
        <v>9</v>
      </c>
      <c r="B85" s="189" t="s">
        <v>89</v>
      </c>
      <c r="C85" s="190">
        <v>1</v>
      </c>
      <c r="D85" s="190">
        <v>2</v>
      </c>
      <c r="E85" s="190">
        <f aca="true" t="shared" si="215" ref="E85:N85">D85+1</f>
        <v>3</v>
      </c>
      <c r="F85" s="190">
        <f t="shared" si="215"/>
        <v>4</v>
      </c>
      <c r="G85" s="190">
        <f t="shared" si="215"/>
        <v>5</v>
      </c>
      <c r="H85" s="190">
        <f t="shared" si="215"/>
        <v>6</v>
      </c>
      <c r="I85" s="190">
        <f t="shared" si="215"/>
        <v>7</v>
      </c>
      <c r="J85" s="190">
        <f t="shared" si="215"/>
        <v>8</v>
      </c>
      <c r="K85" s="190">
        <f t="shared" si="215"/>
        <v>9</v>
      </c>
      <c r="L85" s="190">
        <f t="shared" si="215"/>
        <v>10</v>
      </c>
      <c r="M85" s="190">
        <f t="shared" si="215"/>
        <v>11</v>
      </c>
      <c r="N85" s="190">
        <f t="shared" si="215"/>
        <v>12</v>
      </c>
      <c r="O85" s="191" t="str">
        <f>O69</f>
        <v>Итого</v>
      </c>
      <c r="P85" s="190">
        <v>1</v>
      </c>
      <c r="Q85" s="190">
        <v>2</v>
      </c>
      <c r="R85" s="190">
        <f aca="true" t="shared" si="216" ref="R85:AA85">Q85+1</f>
        <v>3</v>
      </c>
      <c r="S85" s="190">
        <f t="shared" si="216"/>
        <v>4</v>
      </c>
      <c r="T85" s="190">
        <f t="shared" si="216"/>
        <v>5</v>
      </c>
      <c r="U85" s="190">
        <f t="shared" si="216"/>
        <v>6</v>
      </c>
      <c r="V85" s="190">
        <f t="shared" si="216"/>
        <v>7</v>
      </c>
      <c r="W85" s="190">
        <f t="shared" si="216"/>
        <v>8</v>
      </c>
      <c r="X85" s="190">
        <f t="shared" si="216"/>
        <v>9</v>
      </c>
      <c r="Y85" s="190">
        <f t="shared" si="216"/>
        <v>10</v>
      </c>
      <c r="Z85" s="190">
        <f t="shared" si="216"/>
        <v>11</v>
      </c>
      <c r="AA85" s="190">
        <f t="shared" si="216"/>
        <v>12</v>
      </c>
      <c r="AB85" s="191" t="str">
        <f>AB69</f>
        <v>Итого</v>
      </c>
      <c r="AC85" s="190">
        <v>1</v>
      </c>
      <c r="AD85" s="190">
        <v>2</v>
      </c>
      <c r="AE85" s="190">
        <f aca="true" t="shared" si="217" ref="AE85:AN85">AD85+1</f>
        <v>3</v>
      </c>
      <c r="AF85" s="190">
        <f t="shared" si="217"/>
        <v>4</v>
      </c>
      <c r="AG85" s="190">
        <f t="shared" si="217"/>
        <v>5</v>
      </c>
      <c r="AH85" s="190">
        <f t="shared" si="217"/>
        <v>6</v>
      </c>
      <c r="AI85" s="190">
        <f t="shared" si="217"/>
        <v>7</v>
      </c>
      <c r="AJ85" s="190">
        <f t="shared" si="217"/>
        <v>8</v>
      </c>
      <c r="AK85" s="190">
        <f t="shared" si="217"/>
        <v>9</v>
      </c>
      <c r="AL85" s="190">
        <f t="shared" si="217"/>
        <v>10</v>
      </c>
      <c r="AM85" s="190">
        <f t="shared" si="217"/>
        <v>11</v>
      </c>
      <c r="AN85" s="190">
        <f t="shared" si="217"/>
        <v>12</v>
      </c>
      <c r="AO85" s="191" t="str">
        <f>AO69</f>
        <v>Итого</v>
      </c>
      <c r="AP85" s="190">
        <v>1</v>
      </c>
      <c r="AQ85" s="190">
        <v>2</v>
      </c>
      <c r="AR85" s="190">
        <f aca="true" t="shared" si="218" ref="AR85:BA85">AQ85+1</f>
        <v>3</v>
      </c>
      <c r="AS85" s="190">
        <f t="shared" si="218"/>
        <v>4</v>
      </c>
      <c r="AT85" s="190">
        <f t="shared" si="218"/>
        <v>5</v>
      </c>
      <c r="AU85" s="190">
        <f t="shared" si="218"/>
        <v>6</v>
      </c>
      <c r="AV85" s="190">
        <f t="shared" si="218"/>
        <v>7</v>
      </c>
      <c r="AW85" s="190">
        <f t="shared" si="218"/>
        <v>8</v>
      </c>
      <c r="AX85" s="190">
        <f t="shared" si="218"/>
        <v>9</v>
      </c>
      <c r="AY85" s="190">
        <f t="shared" si="218"/>
        <v>10</v>
      </c>
      <c r="AZ85" s="190">
        <f t="shared" si="218"/>
        <v>11</v>
      </c>
      <c r="BA85" s="190">
        <f t="shared" si="218"/>
        <v>12</v>
      </c>
      <c r="BB85" s="191" t="str">
        <f>BB69</f>
        <v>Итого</v>
      </c>
      <c r="BC85" s="190">
        <v>1</v>
      </c>
      <c r="BD85" s="190">
        <v>2</v>
      </c>
      <c r="BE85" s="190">
        <f aca="true" t="shared" si="219" ref="BE85:BN85">BD85+1</f>
        <v>3</v>
      </c>
      <c r="BF85" s="190">
        <f t="shared" si="219"/>
        <v>4</v>
      </c>
      <c r="BG85" s="190">
        <f t="shared" si="219"/>
        <v>5</v>
      </c>
      <c r="BH85" s="190">
        <f t="shared" si="219"/>
        <v>6</v>
      </c>
      <c r="BI85" s="190">
        <f t="shared" si="219"/>
        <v>7</v>
      </c>
      <c r="BJ85" s="190">
        <f t="shared" si="219"/>
        <v>8</v>
      </c>
      <c r="BK85" s="190">
        <f t="shared" si="219"/>
        <v>9</v>
      </c>
      <c r="BL85" s="190">
        <f t="shared" si="219"/>
        <v>10</v>
      </c>
      <c r="BM85" s="190">
        <f t="shared" si="219"/>
        <v>11</v>
      </c>
      <c r="BN85" s="190">
        <f t="shared" si="219"/>
        <v>12</v>
      </c>
      <c r="BO85" s="191" t="str">
        <f>BO69</f>
        <v>Итого</v>
      </c>
      <c r="BP85" s="190">
        <v>1</v>
      </c>
      <c r="BQ85" s="190">
        <v>2</v>
      </c>
      <c r="BR85" s="190">
        <f aca="true" t="shared" si="220" ref="BR85:CA85">BQ85+1</f>
        <v>3</v>
      </c>
      <c r="BS85" s="190">
        <f t="shared" si="220"/>
        <v>4</v>
      </c>
      <c r="BT85" s="190">
        <f t="shared" si="220"/>
        <v>5</v>
      </c>
      <c r="BU85" s="190">
        <f t="shared" si="220"/>
        <v>6</v>
      </c>
      <c r="BV85" s="190">
        <f t="shared" si="220"/>
        <v>7</v>
      </c>
      <c r="BW85" s="190">
        <f t="shared" si="220"/>
        <v>8</v>
      </c>
      <c r="BX85" s="190">
        <f t="shared" si="220"/>
        <v>9</v>
      </c>
      <c r="BY85" s="190">
        <f t="shared" si="220"/>
        <v>10</v>
      </c>
      <c r="BZ85" s="190">
        <f t="shared" si="220"/>
        <v>11</v>
      </c>
      <c r="CA85" s="190">
        <f t="shared" si="220"/>
        <v>12</v>
      </c>
      <c r="CB85" s="191" t="str">
        <f>CB69</f>
        <v>Итого</v>
      </c>
      <c r="CC85" s="190">
        <v>1</v>
      </c>
      <c r="CD85" s="190">
        <v>2</v>
      </c>
      <c r="CE85" s="190">
        <f aca="true" t="shared" si="221" ref="CE85:CN85">CD85+1</f>
        <v>3</v>
      </c>
      <c r="CF85" s="190">
        <f t="shared" si="221"/>
        <v>4</v>
      </c>
      <c r="CG85" s="190">
        <f t="shared" si="221"/>
        <v>5</v>
      </c>
      <c r="CH85" s="190">
        <f t="shared" si="221"/>
        <v>6</v>
      </c>
      <c r="CI85" s="190">
        <f t="shared" si="221"/>
        <v>7</v>
      </c>
      <c r="CJ85" s="190">
        <f t="shared" si="221"/>
        <v>8</v>
      </c>
      <c r="CK85" s="190">
        <f t="shared" si="221"/>
        <v>9</v>
      </c>
      <c r="CL85" s="190">
        <f t="shared" si="221"/>
        <v>10</v>
      </c>
      <c r="CM85" s="190">
        <f t="shared" si="221"/>
        <v>11</v>
      </c>
      <c r="CN85" s="190">
        <f t="shared" si="221"/>
        <v>12</v>
      </c>
      <c r="CO85" s="191" t="str">
        <f>CO69</f>
        <v>Итого</v>
      </c>
      <c r="CP85" s="190">
        <v>1</v>
      </c>
      <c r="CQ85" s="190">
        <f aca="true" t="shared" si="222" ref="CQ85:DA85">CP85+1</f>
        <v>2</v>
      </c>
      <c r="CR85" s="190">
        <f t="shared" si="222"/>
        <v>3</v>
      </c>
      <c r="CS85" s="190">
        <f t="shared" si="222"/>
        <v>4</v>
      </c>
      <c r="CT85" s="190">
        <f t="shared" si="222"/>
        <v>5</v>
      </c>
      <c r="CU85" s="190">
        <f t="shared" si="222"/>
        <v>6</v>
      </c>
      <c r="CV85" s="190">
        <f t="shared" si="222"/>
        <v>7</v>
      </c>
      <c r="CW85" s="190">
        <f t="shared" si="222"/>
        <v>8</v>
      </c>
      <c r="CX85" s="190">
        <f t="shared" si="222"/>
        <v>9</v>
      </c>
      <c r="CY85" s="190">
        <f t="shared" si="222"/>
        <v>10</v>
      </c>
      <c r="CZ85" s="190">
        <f t="shared" si="222"/>
        <v>11</v>
      </c>
      <c r="DA85" s="190">
        <f t="shared" si="222"/>
        <v>12</v>
      </c>
      <c r="DB85" s="191" t="str">
        <f>DB69</f>
        <v>Итого</v>
      </c>
      <c r="DC85" s="190">
        <v>1</v>
      </c>
      <c r="DD85" s="190">
        <f aca="true" t="shared" si="223" ref="DD85:DN85">DC85+1</f>
        <v>2</v>
      </c>
      <c r="DE85" s="190">
        <f t="shared" si="223"/>
        <v>3</v>
      </c>
      <c r="DF85" s="190">
        <f t="shared" si="223"/>
        <v>4</v>
      </c>
      <c r="DG85" s="190">
        <f t="shared" si="223"/>
        <v>5</v>
      </c>
      <c r="DH85" s="190">
        <f t="shared" si="223"/>
        <v>6</v>
      </c>
      <c r="DI85" s="190">
        <f t="shared" si="223"/>
        <v>7</v>
      </c>
      <c r="DJ85" s="190">
        <f t="shared" si="223"/>
        <v>8</v>
      </c>
      <c r="DK85" s="190">
        <f t="shared" si="223"/>
        <v>9</v>
      </c>
      <c r="DL85" s="190">
        <f t="shared" si="223"/>
        <v>10</v>
      </c>
      <c r="DM85" s="190">
        <f t="shared" si="223"/>
        <v>11</v>
      </c>
      <c r="DN85" s="190">
        <f t="shared" si="223"/>
        <v>12</v>
      </c>
      <c r="DO85" s="191" t="s">
        <v>0</v>
      </c>
    </row>
    <row r="86" spans="1:119" ht="12.75">
      <c r="A86" s="188" t="s">
        <v>106</v>
      </c>
      <c r="B86" s="193">
        <f>O86+AB86+AO86+BB86+BO86+CB86+CO86+DB86+DO86</f>
        <v>31763.120000000003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>
        <f>'1-Ф3'!N$28</f>
        <v>31763.120000000003</v>
      </c>
      <c r="N86" s="194"/>
      <c r="O86" s="195">
        <f>SUM(C86:N86)</f>
        <v>31763.120000000003</v>
      </c>
      <c r="P86" s="194"/>
      <c r="Q86" s="194"/>
      <c r="R86" s="194">
        <f>'1-Ф3'!S$28</f>
        <v>0</v>
      </c>
      <c r="S86" s="194"/>
      <c r="T86" s="194"/>
      <c r="U86" s="194"/>
      <c r="V86" s="194"/>
      <c r="W86" s="194"/>
      <c r="X86" s="194"/>
      <c r="Y86" s="194"/>
      <c r="Z86" s="194"/>
      <c r="AA86" s="194"/>
      <c r="AB86" s="194">
        <f>SUM(P86:AA86)</f>
        <v>0</v>
      </c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>
        <f>SUM(AC86:AN86)</f>
        <v>0</v>
      </c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</row>
    <row r="87" spans="1:119" s="197" customFormat="1" ht="20.25" customHeight="1">
      <c r="A87" s="188" t="s">
        <v>31</v>
      </c>
      <c r="B87" s="193">
        <f>O87+AB87+AO87+BB87+BO87+CB87+CO87+DB87+DO87</f>
        <v>555.8546000000001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5">
        <f>SUM(C87:N87)</f>
        <v>0</v>
      </c>
      <c r="P87" s="194"/>
      <c r="Q87" s="194">
        <f>SUM(O88:Q88)</f>
        <v>555.8546000000001</v>
      </c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5">
        <f>SUM(P87:AA87)</f>
        <v>555.8546000000001</v>
      </c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5">
        <f>SUM(AC87:AN87)</f>
        <v>0</v>
      </c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5">
        <f>SUM(AP87:BA87)</f>
        <v>0</v>
      </c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5">
        <f>SUM(BC87:BN87)</f>
        <v>0</v>
      </c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5">
        <f>SUM(BP87:CA87)</f>
        <v>0</v>
      </c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5">
        <f>SUM(CC87:CN87)</f>
        <v>0</v>
      </c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5">
        <f>SUM(CP87:DA87)</f>
        <v>0</v>
      </c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5">
        <f>SUM(DC87:DN87)</f>
        <v>0</v>
      </c>
    </row>
    <row r="88" spans="1:119" s="197" customFormat="1" ht="12.75">
      <c r="A88" s="198" t="s">
        <v>13</v>
      </c>
      <c r="B88" s="193">
        <f>O88+AB88+AO88+BB88+BO88+CB88+CO88+DB88+DO88</f>
        <v>9363.350576878005</v>
      </c>
      <c r="C88" s="194"/>
      <c r="D88" s="194">
        <f aca="true" t="shared" si="224" ref="D88:N88">C91*$B84/12</f>
        <v>0</v>
      </c>
      <c r="E88" s="194">
        <f t="shared" si="224"/>
        <v>0</v>
      </c>
      <c r="F88" s="194">
        <f t="shared" si="224"/>
        <v>0</v>
      </c>
      <c r="G88" s="194">
        <f t="shared" si="224"/>
        <v>0</v>
      </c>
      <c r="H88" s="194">
        <f t="shared" si="224"/>
        <v>0</v>
      </c>
      <c r="I88" s="194">
        <f t="shared" si="224"/>
        <v>0</v>
      </c>
      <c r="J88" s="194">
        <f t="shared" si="224"/>
        <v>0</v>
      </c>
      <c r="K88" s="194">
        <f t="shared" si="224"/>
        <v>0</v>
      </c>
      <c r="L88" s="194">
        <f t="shared" si="224"/>
        <v>0</v>
      </c>
      <c r="M88" s="194">
        <f t="shared" si="224"/>
        <v>0</v>
      </c>
      <c r="N88" s="194">
        <f t="shared" si="224"/>
        <v>185.28486666666672</v>
      </c>
      <c r="O88" s="195">
        <f>SUM(C88:N88)</f>
        <v>185.28486666666672</v>
      </c>
      <c r="P88" s="194">
        <f aca="true" t="shared" si="225" ref="P88:AA88">O91*$B84/12</f>
        <v>185.28486666666672</v>
      </c>
      <c r="Q88" s="194">
        <f t="shared" si="225"/>
        <v>185.28486666666672</v>
      </c>
      <c r="R88" s="194">
        <f t="shared" si="225"/>
        <v>188.52735183333334</v>
      </c>
      <c r="S88" s="194">
        <f t="shared" si="225"/>
        <v>188.52735183333334</v>
      </c>
      <c r="T88" s="194">
        <f t="shared" si="225"/>
        <v>188.52735183333334</v>
      </c>
      <c r="U88" s="194">
        <f t="shared" si="225"/>
        <v>188.52735183333334</v>
      </c>
      <c r="V88" s="194">
        <f t="shared" si="225"/>
        <v>188.52735183333334</v>
      </c>
      <c r="W88" s="194">
        <f t="shared" si="225"/>
        <v>188.52735183333334</v>
      </c>
      <c r="X88" s="194">
        <f t="shared" si="225"/>
        <v>188.52735183333334</v>
      </c>
      <c r="Y88" s="194">
        <f t="shared" si="225"/>
        <v>186.51634866057066</v>
      </c>
      <c r="Z88" s="194">
        <f t="shared" si="225"/>
        <v>184.4936146359668</v>
      </c>
      <c r="AA88" s="194">
        <f t="shared" si="225"/>
        <v>182.45908132955276</v>
      </c>
      <c r="AB88" s="195">
        <f>SUM(P88:AA88)</f>
        <v>2243.730240792757</v>
      </c>
      <c r="AC88" s="194">
        <f aca="true" t="shared" si="226" ref="AC88:AN88">AB91*$B84/12</f>
        <v>180.41267991218467</v>
      </c>
      <c r="AD88" s="194">
        <f t="shared" si="226"/>
        <v>178.35434115321524</v>
      </c>
      <c r="AE88" s="194">
        <f t="shared" si="226"/>
        <v>176.28399541815182</v>
      </c>
      <c r="AF88" s="194">
        <f t="shared" si="226"/>
        <v>174.20157266630054</v>
      </c>
      <c r="AG88" s="194">
        <f t="shared" si="226"/>
        <v>172.1070024483968</v>
      </c>
      <c r="AH88" s="194">
        <f t="shared" si="226"/>
        <v>170.00021390422194</v>
      </c>
      <c r="AI88" s="194">
        <f t="shared" si="226"/>
        <v>167.88113576020606</v>
      </c>
      <c r="AJ88" s="194">
        <f t="shared" si="226"/>
        <v>165.74969632701675</v>
      </c>
      <c r="AK88" s="194">
        <f t="shared" si="226"/>
        <v>163.60582349713385</v>
      </c>
      <c r="AL88" s="194">
        <f t="shared" si="226"/>
        <v>161.44944474240995</v>
      </c>
      <c r="AM88" s="194">
        <f t="shared" si="226"/>
        <v>159.28048711161685</v>
      </c>
      <c r="AN88" s="194">
        <f t="shared" si="226"/>
        <v>157.09887722797745</v>
      </c>
      <c r="AO88" s="195">
        <f>SUM(AC88:AN88)</f>
        <v>2026.4252701688315</v>
      </c>
      <c r="AP88" s="194">
        <f aca="true" t="shared" si="227" ref="AP88:BA88">AO91*$B84/12</f>
        <v>154.9045412866835</v>
      </c>
      <c r="AQ88" s="194">
        <f t="shared" si="227"/>
        <v>152.69740505239864</v>
      </c>
      <c r="AR88" s="194">
        <f t="shared" si="227"/>
        <v>150.47739385674714</v>
      </c>
      <c r="AS88" s="194">
        <f t="shared" si="227"/>
        <v>148.24443259578766</v>
      </c>
      <c r="AT88" s="194">
        <f t="shared" si="227"/>
        <v>145.99844572747259</v>
      </c>
      <c r="AU88" s="194">
        <f t="shared" si="227"/>
        <v>143.73935726909235</v>
      </c>
      <c r="AV88" s="194">
        <f t="shared" si="227"/>
        <v>141.4670907947049</v>
      </c>
      <c r="AW88" s="194">
        <f t="shared" si="227"/>
        <v>139.18156943255016</v>
      </c>
      <c r="AX88" s="194">
        <f t="shared" si="227"/>
        <v>136.88271586244954</v>
      </c>
      <c r="AY88" s="194">
        <f t="shared" si="227"/>
        <v>134.57045231319</v>
      </c>
      <c r="AZ88" s="194">
        <f t="shared" si="227"/>
        <v>132.24470055989312</v>
      </c>
      <c r="BA88" s="194">
        <f t="shared" si="227"/>
        <v>129.90538192136864</v>
      </c>
      <c r="BB88" s="195">
        <f>SUM(AP88:BA88)</f>
        <v>1710.3134866723378</v>
      </c>
      <c r="BC88" s="194">
        <f aca="true" t="shared" si="228" ref="BC88:BN88">BB91*$B84/12</f>
        <v>127.5524172574528</v>
      </c>
      <c r="BD88" s="194">
        <f t="shared" si="228"/>
        <v>125.18572696633078</v>
      </c>
      <c r="BE88" s="194">
        <f t="shared" si="228"/>
        <v>122.80523098184388</v>
      </c>
      <c r="BF88" s="194">
        <f t="shared" si="228"/>
        <v>120.41084877078079</v>
      </c>
      <c r="BG88" s="194">
        <f t="shared" si="228"/>
        <v>118.00249933015319</v>
      </c>
      <c r="BH88" s="194">
        <f t="shared" si="228"/>
        <v>115.58010118445524</v>
      </c>
      <c r="BI88" s="194">
        <f t="shared" si="228"/>
        <v>113.1435723829074</v>
      </c>
      <c r="BJ88" s="194">
        <f t="shared" si="228"/>
        <v>110.69283049668387</v>
      </c>
      <c r="BK88" s="194">
        <f t="shared" si="228"/>
        <v>108.22779261612402</v>
      </c>
      <c r="BL88" s="194">
        <f t="shared" si="228"/>
        <v>105.74837534792759</v>
      </c>
      <c r="BM88" s="194">
        <f t="shared" si="228"/>
        <v>103.25449481233333</v>
      </c>
      <c r="BN88" s="194">
        <f t="shared" si="228"/>
        <v>100.74606664028143</v>
      </c>
      <c r="BO88" s="195">
        <f>SUM(BC88:BN88)</f>
        <v>1371.3499567872743</v>
      </c>
      <c r="BP88" s="194">
        <f aca="true" t="shared" si="229" ref="BP88:CA88">BO91*$B84/12</f>
        <v>98.22300597055921</v>
      </c>
      <c r="BQ88" s="194">
        <f t="shared" si="229"/>
        <v>95.68522744693034</v>
      </c>
      <c r="BR88" s="194">
        <f t="shared" si="229"/>
        <v>93.13264521524694</v>
      </c>
      <c r="BS88" s="194">
        <f t="shared" si="229"/>
        <v>90.56517292054536</v>
      </c>
      <c r="BT88" s="194">
        <f t="shared" si="229"/>
        <v>87.98272370412472</v>
      </c>
      <c r="BU88" s="194">
        <f t="shared" si="229"/>
        <v>85.38521020060828</v>
      </c>
      <c r="BV88" s="194">
        <f t="shared" si="229"/>
        <v>82.772544534988</v>
      </c>
      <c r="BW88" s="194">
        <f t="shared" si="229"/>
        <v>80.14463831965159</v>
      </c>
      <c r="BX88" s="194">
        <f t="shared" si="229"/>
        <v>77.50140265139238</v>
      </c>
      <c r="BY88" s="194">
        <f t="shared" si="229"/>
        <v>74.84274810840168</v>
      </c>
      <c r="BZ88" s="194">
        <f t="shared" si="229"/>
        <v>72.16858474724351</v>
      </c>
      <c r="CA88" s="194">
        <f t="shared" si="229"/>
        <v>69.47882209981194</v>
      </c>
      <c r="CB88" s="195">
        <f>SUM(BP88:CA88)</f>
        <v>1007.882725919504</v>
      </c>
      <c r="CC88" s="194">
        <f aca="true" t="shared" si="230" ref="CC88:CN88">CB91*$B84/12</f>
        <v>66.77336917027033</v>
      </c>
      <c r="CD88" s="194">
        <f t="shared" si="230"/>
        <v>64.05213443197307</v>
      </c>
      <c r="CE88" s="194">
        <f t="shared" si="230"/>
        <v>61.31502582436908</v>
      </c>
      <c r="CF88" s="194">
        <f t="shared" si="230"/>
        <v>58.561950749887394</v>
      </c>
      <c r="CG88" s="194">
        <f t="shared" si="230"/>
        <v>55.79281607080458</v>
      </c>
      <c r="CH88" s="194">
        <f t="shared" si="230"/>
        <v>53.007528106093766</v>
      </c>
      <c r="CI88" s="194">
        <f t="shared" si="230"/>
        <v>50.20599262825548</v>
      </c>
      <c r="CJ88" s="194">
        <f t="shared" si="230"/>
        <v>47.388114860129804</v>
      </c>
      <c r="CK88" s="194">
        <f t="shared" si="230"/>
        <v>44.55379947169006</v>
      </c>
      <c r="CL88" s="194">
        <f t="shared" si="230"/>
        <v>41.702950576817756</v>
      </c>
      <c r="CM88" s="194">
        <f t="shared" si="230"/>
        <v>38.83547173005869</v>
      </c>
      <c r="CN88" s="194">
        <f t="shared" si="230"/>
        <v>35.951265923360204</v>
      </c>
      <c r="CO88" s="195">
        <f>SUM(CC88:CN88)</f>
        <v>618.1404195437102</v>
      </c>
      <c r="CP88" s="194">
        <f aca="true" t="shared" si="231" ref="CP88:DA88">CO91*$B84/12</f>
        <v>33.0502355827893</v>
      </c>
      <c r="CQ88" s="194">
        <f t="shared" si="231"/>
        <v>30.132282565231737</v>
      </c>
      <c r="CR88" s="194">
        <f t="shared" si="231"/>
        <v>27.197308155071752</v>
      </c>
      <c r="CS88" s="194">
        <f t="shared" si="231"/>
        <v>24.245213060852507</v>
      </c>
      <c r="CT88" s="194">
        <f t="shared" si="231"/>
        <v>21.275897411916976</v>
      </c>
      <c r="CU88" s="194">
        <f t="shared" si="231"/>
        <v>18.28926075502932</v>
      </c>
      <c r="CV88" s="194">
        <f t="shared" si="231"/>
        <v>15.285202050976494</v>
      </c>
      <c r="CW88" s="194">
        <f t="shared" si="231"/>
        <v>12.263619671150025</v>
      </c>
      <c r="CX88" s="194">
        <f t="shared" si="231"/>
        <v>9.224411394107898</v>
      </c>
      <c r="CY88" s="194">
        <f t="shared" si="231"/>
        <v>6.167474402116361</v>
      </c>
      <c r="CZ88" s="194">
        <f t="shared" si="231"/>
        <v>3.0927052776715396</v>
      </c>
      <c r="DA88" s="194">
        <f t="shared" si="231"/>
        <v>7.891761318508847E-13</v>
      </c>
      <c r="DB88" s="195">
        <f>SUM(CP88:DA88)</f>
        <v>200.22361032691472</v>
      </c>
      <c r="DC88" s="194">
        <f aca="true" t="shared" si="232" ref="DC88:DN88">DB91*$B84/12</f>
        <v>7.891761318508847E-13</v>
      </c>
      <c r="DD88" s="194">
        <f t="shared" si="232"/>
        <v>7.891761318508847E-13</v>
      </c>
      <c r="DE88" s="194">
        <f t="shared" si="232"/>
        <v>7.891761318508847E-13</v>
      </c>
      <c r="DF88" s="194">
        <f t="shared" si="232"/>
        <v>7.891761318508847E-13</v>
      </c>
      <c r="DG88" s="194">
        <f t="shared" si="232"/>
        <v>7.891761318508847E-13</v>
      </c>
      <c r="DH88" s="194">
        <f t="shared" si="232"/>
        <v>7.891761318508847E-13</v>
      </c>
      <c r="DI88" s="194">
        <f t="shared" si="232"/>
        <v>7.891761318508847E-13</v>
      </c>
      <c r="DJ88" s="194">
        <f t="shared" si="232"/>
        <v>7.891761318508847E-13</v>
      </c>
      <c r="DK88" s="194">
        <f t="shared" si="232"/>
        <v>7.891761318508847E-13</v>
      </c>
      <c r="DL88" s="194">
        <f t="shared" si="232"/>
        <v>7.891761318508847E-13</v>
      </c>
      <c r="DM88" s="194">
        <f t="shared" si="232"/>
        <v>7.891761318508847E-13</v>
      </c>
      <c r="DN88" s="194">
        <f t="shared" si="232"/>
        <v>7.891761318508847E-13</v>
      </c>
      <c r="DO88" s="195">
        <f>SUM(DC88:DN88)</f>
        <v>9.470113582210617E-12</v>
      </c>
    </row>
    <row r="89" spans="1:119" ht="12.75">
      <c r="A89" s="188" t="s">
        <v>14</v>
      </c>
      <c r="B89" s="193">
        <f>O89+AB89+AO89+BB89+BO89+CB89+CO89+DB89+DO89</f>
        <v>32318.974599999863</v>
      </c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9"/>
      <c r="O89" s="195">
        <f>SUM(C89:N89)</f>
        <v>0</v>
      </c>
      <c r="P89" s="199"/>
      <c r="Q89" s="199"/>
      <c r="R89" s="199"/>
      <c r="S89" s="199"/>
      <c r="T89" s="199"/>
      <c r="U89" s="199"/>
      <c r="V89" s="199"/>
      <c r="W89" s="199"/>
      <c r="X89" s="194">
        <f>$B93-X88</f>
        <v>344.7434010450381</v>
      </c>
      <c r="Y89" s="194">
        <f>$B93-Y88</f>
        <v>346.7544042178008</v>
      </c>
      <c r="Z89" s="194">
        <f>$B93-Z88</f>
        <v>348.7771382424047</v>
      </c>
      <c r="AA89" s="194">
        <f>$B93-AA88</f>
        <v>350.8116715488187</v>
      </c>
      <c r="AB89" s="195">
        <f>SUM(P89:AA89)</f>
        <v>1391.0866150540623</v>
      </c>
      <c r="AC89" s="194">
        <f aca="true" t="shared" si="233" ref="AC89:AN89">$B93-AC88</f>
        <v>352.8580729661868</v>
      </c>
      <c r="AD89" s="194">
        <f t="shared" si="233"/>
        <v>354.9164117251562</v>
      </c>
      <c r="AE89" s="194">
        <f t="shared" si="233"/>
        <v>356.9867574602197</v>
      </c>
      <c r="AF89" s="194">
        <f t="shared" si="233"/>
        <v>359.06918021207093</v>
      </c>
      <c r="AG89" s="194">
        <f t="shared" si="233"/>
        <v>361.1637504299747</v>
      </c>
      <c r="AH89" s="194">
        <f t="shared" si="233"/>
        <v>363.27053897414953</v>
      </c>
      <c r="AI89" s="194">
        <f t="shared" si="233"/>
        <v>365.3896171181654</v>
      </c>
      <c r="AJ89" s="194">
        <f t="shared" si="233"/>
        <v>367.5210565513547</v>
      </c>
      <c r="AK89" s="194">
        <f t="shared" si="233"/>
        <v>369.6649293812376</v>
      </c>
      <c r="AL89" s="194">
        <f t="shared" si="233"/>
        <v>371.82130813596154</v>
      </c>
      <c r="AM89" s="194">
        <f t="shared" si="233"/>
        <v>373.99026576675465</v>
      </c>
      <c r="AN89" s="194">
        <f t="shared" si="233"/>
        <v>376.171875650394</v>
      </c>
      <c r="AO89" s="195">
        <f>SUM(AC89:AN89)</f>
        <v>4372.823764371626</v>
      </c>
      <c r="AP89" s="194">
        <f aca="true" t="shared" si="234" ref="AP89:BA89">$B93-AP88</f>
        <v>378.36621159168794</v>
      </c>
      <c r="AQ89" s="194">
        <f t="shared" si="234"/>
        <v>380.57334782597286</v>
      </c>
      <c r="AR89" s="194">
        <f t="shared" si="234"/>
        <v>382.7933590216243</v>
      </c>
      <c r="AS89" s="194">
        <f t="shared" si="234"/>
        <v>385.0263202825838</v>
      </c>
      <c r="AT89" s="194">
        <f t="shared" si="234"/>
        <v>387.2723071508989</v>
      </c>
      <c r="AU89" s="194">
        <f t="shared" si="234"/>
        <v>389.5313956092791</v>
      </c>
      <c r="AV89" s="194">
        <f t="shared" si="234"/>
        <v>391.8036620836666</v>
      </c>
      <c r="AW89" s="194">
        <f t="shared" si="234"/>
        <v>394.0891834458213</v>
      </c>
      <c r="AX89" s="194">
        <f t="shared" si="234"/>
        <v>396.3880370159219</v>
      </c>
      <c r="AY89" s="194">
        <f t="shared" si="234"/>
        <v>398.70030056518146</v>
      </c>
      <c r="AZ89" s="194">
        <f t="shared" si="234"/>
        <v>401.0260523184784</v>
      </c>
      <c r="BA89" s="194">
        <f t="shared" si="234"/>
        <v>403.3653709570028</v>
      </c>
      <c r="BB89" s="195">
        <f>SUM(AP89:BA89)</f>
        <v>4688.935547868119</v>
      </c>
      <c r="BC89" s="194">
        <f aca="true" t="shared" si="235" ref="BC89:BN89">$B93-BC88</f>
        <v>405.71833562091865</v>
      </c>
      <c r="BD89" s="194">
        <f t="shared" si="235"/>
        <v>408.0850259120407</v>
      </c>
      <c r="BE89" s="194">
        <f t="shared" si="235"/>
        <v>410.4655218965276</v>
      </c>
      <c r="BF89" s="194">
        <f t="shared" si="235"/>
        <v>412.8599041075907</v>
      </c>
      <c r="BG89" s="194">
        <f t="shared" si="235"/>
        <v>415.2682535482183</v>
      </c>
      <c r="BH89" s="194">
        <f t="shared" si="235"/>
        <v>417.6906516939162</v>
      </c>
      <c r="BI89" s="194">
        <f t="shared" si="235"/>
        <v>420.1271804954641</v>
      </c>
      <c r="BJ89" s="194">
        <f t="shared" si="235"/>
        <v>422.5779223816876</v>
      </c>
      <c r="BK89" s="194">
        <f t="shared" si="235"/>
        <v>425.04296026224745</v>
      </c>
      <c r="BL89" s="194">
        <f t="shared" si="235"/>
        <v>427.52237753044386</v>
      </c>
      <c r="BM89" s="194">
        <f t="shared" si="235"/>
        <v>430.0162580660381</v>
      </c>
      <c r="BN89" s="194">
        <f t="shared" si="235"/>
        <v>432.52468623809006</v>
      </c>
      <c r="BO89" s="195">
        <f>SUM(BC89:BN89)</f>
        <v>5027.899077753183</v>
      </c>
      <c r="BP89" s="194">
        <f aca="true" t="shared" si="236" ref="BP89:CA89">$B93-BP88</f>
        <v>435.04774690781227</v>
      </c>
      <c r="BQ89" s="194">
        <f t="shared" si="236"/>
        <v>437.5855254314411</v>
      </c>
      <c r="BR89" s="194">
        <f t="shared" si="236"/>
        <v>440.1381076631245</v>
      </c>
      <c r="BS89" s="194">
        <f t="shared" si="236"/>
        <v>442.7055799578261</v>
      </c>
      <c r="BT89" s="194">
        <f t="shared" si="236"/>
        <v>445.28802917424673</v>
      </c>
      <c r="BU89" s="194">
        <f t="shared" si="236"/>
        <v>447.88554267776317</v>
      </c>
      <c r="BV89" s="194">
        <f t="shared" si="236"/>
        <v>450.49820834338345</v>
      </c>
      <c r="BW89" s="194">
        <f t="shared" si="236"/>
        <v>453.1261145587199</v>
      </c>
      <c r="BX89" s="194">
        <f t="shared" si="236"/>
        <v>455.7693502269791</v>
      </c>
      <c r="BY89" s="194">
        <f t="shared" si="236"/>
        <v>458.4280047699698</v>
      </c>
      <c r="BZ89" s="194">
        <f t="shared" si="236"/>
        <v>461.10216813112794</v>
      </c>
      <c r="CA89" s="194">
        <f t="shared" si="236"/>
        <v>463.7919307785595</v>
      </c>
      <c r="CB89" s="195">
        <f>SUM(BP89:CA89)</f>
        <v>5391.3663086209535</v>
      </c>
      <c r="CC89" s="194">
        <f aca="true" t="shared" si="237" ref="CC89:CN89">$B93-CC88</f>
        <v>466.49738370810115</v>
      </c>
      <c r="CD89" s="194">
        <f t="shared" si="237"/>
        <v>469.2186184463984</v>
      </c>
      <c r="CE89" s="194">
        <f t="shared" si="237"/>
        <v>471.9557270540024</v>
      </c>
      <c r="CF89" s="194">
        <f t="shared" si="237"/>
        <v>474.7088021284841</v>
      </c>
      <c r="CG89" s="194">
        <f t="shared" si="237"/>
        <v>477.4779368075669</v>
      </c>
      <c r="CH89" s="194">
        <f t="shared" si="237"/>
        <v>480.2632247722777</v>
      </c>
      <c r="CI89" s="194">
        <f t="shared" si="237"/>
        <v>483.06476025011597</v>
      </c>
      <c r="CJ89" s="194">
        <f t="shared" si="237"/>
        <v>485.88263801824166</v>
      </c>
      <c r="CK89" s="194">
        <f t="shared" si="237"/>
        <v>488.7169534066814</v>
      </c>
      <c r="CL89" s="194">
        <f t="shared" si="237"/>
        <v>491.5678023015537</v>
      </c>
      <c r="CM89" s="194">
        <f t="shared" si="237"/>
        <v>494.43528114831275</v>
      </c>
      <c r="CN89" s="194">
        <f t="shared" si="237"/>
        <v>497.31948695501126</v>
      </c>
      <c r="CO89" s="195">
        <f>SUM(CC89:CN89)</f>
        <v>5781.108614996748</v>
      </c>
      <c r="CP89" s="194">
        <f aca="true" t="shared" si="238" ref="CP89:CZ89">$B93-CP88</f>
        <v>500.22051729558217</v>
      </c>
      <c r="CQ89" s="194">
        <f t="shared" si="238"/>
        <v>503.13847031313975</v>
      </c>
      <c r="CR89" s="194">
        <f t="shared" si="238"/>
        <v>506.0734447232997</v>
      </c>
      <c r="CS89" s="194">
        <f t="shared" si="238"/>
        <v>509.02553981751896</v>
      </c>
      <c r="CT89" s="194">
        <f t="shared" si="238"/>
        <v>511.9948554664545</v>
      </c>
      <c r="CU89" s="194">
        <f t="shared" si="238"/>
        <v>514.9814921233422</v>
      </c>
      <c r="CV89" s="194">
        <f t="shared" si="238"/>
        <v>517.985550827395</v>
      </c>
      <c r="CW89" s="194">
        <f t="shared" si="238"/>
        <v>521.0071332072214</v>
      </c>
      <c r="CX89" s="194">
        <f t="shared" si="238"/>
        <v>524.0463414842636</v>
      </c>
      <c r="CY89" s="194">
        <f t="shared" si="238"/>
        <v>527.1032784762551</v>
      </c>
      <c r="CZ89" s="194">
        <f t="shared" si="238"/>
        <v>530.1780476007</v>
      </c>
      <c r="DA89" s="194"/>
      <c r="DB89" s="195">
        <f>SUM(CP89:DA89)</f>
        <v>5665.754671335172</v>
      </c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5">
        <f>SUM(DC89:DN89)</f>
        <v>0</v>
      </c>
    </row>
    <row r="90" spans="1:119" ht="12.75">
      <c r="A90" s="188" t="s">
        <v>15</v>
      </c>
      <c r="B90" s="193">
        <f>O90+AB90+AO90+BB90+BO90+CB90+CO90+DB90+DO90</f>
        <v>8807.495976878006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9"/>
      <c r="O90" s="195">
        <f>SUM(C90:N90)</f>
        <v>0</v>
      </c>
      <c r="P90" s="199"/>
      <c r="Q90" s="199"/>
      <c r="R90" s="194">
        <f aca="true" t="shared" si="239" ref="R90:W90">R88</f>
        <v>188.52735183333334</v>
      </c>
      <c r="S90" s="194">
        <f t="shared" si="239"/>
        <v>188.52735183333334</v>
      </c>
      <c r="T90" s="194">
        <f t="shared" si="239"/>
        <v>188.52735183333334</v>
      </c>
      <c r="U90" s="194">
        <f t="shared" si="239"/>
        <v>188.52735183333334</v>
      </c>
      <c r="V90" s="194">
        <f t="shared" si="239"/>
        <v>188.52735183333334</v>
      </c>
      <c r="W90" s="194">
        <f t="shared" si="239"/>
        <v>188.52735183333334</v>
      </c>
      <c r="X90" s="194">
        <f>X88</f>
        <v>188.52735183333334</v>
      </c>
      <c r="Y90" s="194">
        <f>Y88</f>
        <v>186.51634866057066</v>
      </c>
      <c r="Z90" s="194">
        <f>Z88</f>
        <v>184.4936146359668</v>
      </c>
      <c r="AA90" s="194">
        <f>AA88</f>
        <v>182.45908132955276</v>
      </c>
      <c r="AB90" s="195">
        <f>SUM(P90:AA90)</f>
        <v>1873.1605074594236</v>
      </c>
      <c r="AC90" s="194">
        <f aca="true" t="shared" si="240" ref="AC90:AK90">AC88</f>
        <v>180.41267991218467</v>
      </c>
      <c r="AD90" s="194">
        <f t="shared" si="240"/>
        <v>178.35434115321524</v>
      </c>
      <c r="AE90" s="194">
        <f t="shared" si="240"/>
        <v>176.28399541815182</v>
      </c>
      <c r="AF90" s="194">
        <f t="shared" si="240"/>
        <v>174.20157266630054</v>
      </c>
      <c r="AG90" s="194">
        <f t="shared" si="240"/>
        <v>172.1070024483968</v>
      </c>
      <c r="AH90" s="194">
        <f t="shared" si="240"/>
        <v>170.00021390422194</v>
      </c>
      <c r="AI90" s="194">
        <f t="shared" si="240"/>
        <v>167.88113576020606</v>
      </c>
      <c r="AJ90" s="194">
        <f t="shared" si="240"/>
        <v>165.74969632701675</v>
      </c>
      <c r="AK90" s="194">
        <f t="shared" si="240"/>
        <v>163.60582349713385</v>
      </c>
      <c r="AL90" s="194">
        <f>AL88</f>
        <v>161.44944474240995</v>
      </c>
      <c r="AM90" s="194">
        <f>AM88</f>
        <v>159.28048711161685</v>
      </c>
      <c r="AN90" s="194">
        <f>AN88</f>
        <v>157.09887722797745</v>
      </c>
      <c r="AO90" s="195">
        <f>SUM(AC90:AN90)</f>
        <v>2026.4252701688315</v>
      </c>
      <c r="AP90" s="194">
        <f aca="true" t="shared" si="241" ref="AP90:BA90">AP88</f>
        <v>154.9045412866835</v>
      </c>
      <c r="AQ90" s="194">
        <f t="shared" si="241"/>
        <v>152.69740505239864</v>
      </c>
      <c r="AR90" s="194">
        <f t="shared" si="241"/>
        <v>150.47739385674714</v>
      </c>
      <c r="AS90" s="194">
        <f t="shared" si="241"/>
        <v>148.24443259578766</v>
      </c>
      <c r="AT90" s="194">
        <f t="shared" si="241"/>
        <v>145.99844572747259</v>
      </c>
      <c r="AU90" s="194">
        <f t="shared" si="241"/>
        <v>143.73935726909235</v>
      </c>
      <c r="AV90" s="194">
        <f t="shared" si="241"/>
        <v>141.4670907947049</v>
      </c>
      <c r="AW90" s="194">
        <f t="shared" si="241"/>
        <v>139.18156943255016</v>
      </c>
      <c r="AX90" s="194">
        <f t="shared" si="241"/>
        <v>136.88271586244954</v>
      </c>
      <c r="AY90" s="194">
        <f t="shared" si="241"/>
        <v>134.57045231319</v>
      </c>
      <c r="AZ90" s="194">
        <f t="shared" si="241"/>
        <v>132.24470055989312</v>
      </c>
      <c r="BA90" s="194">
        <f t="shared" si="241"/>
        <v>129.90538192136864</v>
      </c>
      <c r="BB90" s="195">
        <f>SUM(AP90:BA90)</f>
        <v>1710.3134866723378</v>
      </c>
      <c r="BC90" s="194">
        <f aca="true" t="shared" si="242" ref="BC90:BN90">BC88</f>
        <v>127.5524172574528</v>
      </c>
      <c r="BD90" s="194">
        <f t="shared" si="242"/>
        <v>125.18572696633078</v>
      </c>
      <c r="BE90" s="194">
        <f t="shared" si="242"/>
        <v>122.80523098184388</v>
      </c>
      <c r="BF90" s="194">
        <f t="shared" si="242"/>
        <v>120.41084877078079</v>
      </c>
      <c r="BG90" s="194">
        <f t="shared" si="242"/>
        <v>118.00249933015319</v>
      </c>
      <c r="BH90" s="194">
        <f t="shared" si="242"/>
        <v>115.58010118445524</v>
      </c>
      <c r="BI90" s="194">
        <f t="shared" si="242"/>
        <v>113.1435723829074</v>
      </c>
      <c r="BJ90" s="194">
        <f t="shared" si="242"/>
        <v>110.69283049668387</v>
      </c>
      <c r="BK90" s="194">
        <f t="shared" si="242"/>
        <v>108.22779261612402</v>
      </c>
      <c r="BL90" s="194">
        <f t="shared" si="242"/>
        <v>105.74837534792759</v>
      </c>
      <c r="BM90" s="194">
        <f t="shared" si="242"/>
        <v>103.25449481233333</v>
      </c>
      <c r="BN90" s="194">
        <f t="shared" si="242"/>
        <v>100.74606664028143</v>
      </c>
      <c r="BO90" s="195">
        <f>SUM(BC90:BN90)</f>
        <v>1371.3499567872743</v>
      </c>
      <c r="BP90" s="194">
        <f aca="true" t="shared" si="243" ref="BP90:CA90">BP88</f>
        <v>98.22300597055921</v>
      </c>
      <c r="BQ90" s="194">
        <f t="shared" si="243"/>
        <v>95.68522744693034</v>
      </c>
      <c r="BR90" s="194">
        <f t="shared" si="243"/>
        <v>93.13264521524694</v>
      </c>
      <c r="BS90" s="194">
        <f t="shared" si="243"/>
        <v>90.56517292054536</v>
      </c>
      <c r="BT90" s="194">
        <f t="shared" si="243"/>
        <v>87.98272370412472</v>
      </c>
      <c r="BU90" s="194">
        <f t="shared" si="243"/>
        <v>85.38521020060828</v>
      </c>
      <c r="BV90" s="194">
        <f t="shared" si="243"/>
        <v>82.772544534988</v>
      </c>
      <c r="BW90" s="194">
        <f t="shared" si="243"/>
        <v>80.14463831965159</v>
      </c>
      <c r="BX90" s="194">
        <f t="shared" si="243"/>
        <v>77.50140265139238</v>
      </c>
      <c r="BY90" s="194">
        <f t="shared" si="243"/>
        <v>74.84274810840168</v>
      </c>
      <c r="BZ90" s="194">
        <f t="shared" si="243"/>
        <v>72.16858474724351</v>
      </c>
      <c r="CA90" s="194">
        <f t="shared" si="243"/>
        <v>69.47882209981194</v>
      </c>
      <c r="CB90" s="195">
        <f>SUM(BP90:CA90)</f>
        <v>1007.882725919504</v>
      </c>
      <c r="CC90" s="194">
        <f aca="true" t="shared" si="244" ref="CC90:CN90">CC88</f>
        <v>66.77336917027033</v>
      </c>
      <c r="CD90" s="194">
        <f t="shared" si="244"/>
        <v>64.05213443197307</v>
      </c>
      <c r="CE90" s="194">
        <f t="shared" si="244"/>
        <v>61.31502582436908</v>
      </c>
      <c r="CF90" s="194">
        <f t="shared" si="244"/>
        <v>58.561950749887394</v>
      </c>
      <c r="CG90" s="194">
        <f t="shared" si="244"/>
        <v>55.79281607080458</v>
      </c>
      <c r="CH90" s="194">
        <f t="shared" si="244"/>
        <v>53.007528106093766</v>
      </c>
      <c r="CI90" s="194">
        <f t="shared" si="244"/>
        <v>50.20599262825548</v>
      </c>
      <c r="CJ90" s="194">
        <f t="shared" si="244"/>
        <v>47.388114860129804</v>
      </c>
      <c r="CK90" s="194">
        <f t="shared" si="244"/>
        <v>44.55379947169006</v>
      </c>
      <c r="CL90" s="194">
        <f t="shared" si="244"/>
        <v>41.702950576817756</v>
      </c>
      <c r="CM90" s="194">
        <f t="shared" si="244"/>
        <v>38.83547173005869</v>
      </c>
      <c r="CN90" s="194">
        <f t="shared" si="244"/>
        <v>35.951265923360204</v>
      </c>
      <c r="CO90" s="195">
        <f>SUM(CC90:CN90)</f>
        <v>618.1404195437102</v>
      </c>
      <c r="CP90" s="194">
        <f aca="true" t="shared" si="245" ref="CP90:DA90">CP88</f>
        <v>33.0502355827893</v>
      </c>
      <c r="CQ90" s="194">
        <f t="shared" si="245"/>
        <v>30.132282565231737</v>
      </c>
      <c r="CR90" s="194">
        <f t="shared" si="245"/>
        <v>27.197308155071752</v>
      </c>
      <c r="CS90" s="194">
        <f t="shared" si="245"/>
        <v>24.245213060852507</v>
      </c>
      <c r="CT90" s="194">
        <f t="shared" si="245"/>
        <v>21.275897411916976</v>
      </c>
      <c r="CU90" s="194">
        <f t="shared" si="245"/>
        <v>18.28926075502932</v>
      </c>
      <c r="CV90" s="194">
        <f t="shared" si="245"/>
        <v>15.285202050976494</v>
      </c>
      <c r="CW90" s="194">
        <f t="shared" si="245"/>
        <v>12.263619671150025</v>
      </c>
      <c r="CX90" s="194">
        <f t="shared" si="245"/>
        <v>9.224411394107898</v>
      </c>
      <c r="CY90" s="194">
        <f t="shared" si="245"/>
        <v>6.167474402116361</v>
      </c>
      <c r="CZ90" s="194">
        <f t="shared" si="245"/>
        <v>3.0927052776715396</v>
      </c>
      <c r="DA90" s="194">
        <f t="shared" si="245"/>
        <v>7.891761318508847E-13</v>
      </c>
      <c r="DB90" s="195">
        <f>SUM(CP90:DA90)</f>
        <v>200.22361032691472</v>
      </c>
      <c r="DC90" s="194">
        <f aca="true" t="shared" si="246" ref="DC90:DN90">DC88</f>
        <v>7.891761318508847E-13</v>
      </c>
      <c r="DD90" s="194">
        <f t="shared" si="246"/>
        <v>7.891761318508847E-13</v>
      </c>
      <c r="DE90" s="194">
        <f t="shared" si="246"/>
        <v>7.891761318508847E-13</v>
      </c>
      <c r="DF90" s="194">
        <f t="shared" si="246"/>
        <v>7.891761318508847E-13</v>
      </c>
      <c r="DG90" s="194">
        <f t="shared" si="246"/>
        <v>7.891761318508847E-13</v>
      </c>
      <c r="DH90" s="194">
        <f t="shared" si="246"/>
        <v>7.891761318508847E-13</v>
      </c>
      <c r="DI90" s="194">
        <f t="shared" si="246"/>
        <v>7.891761318508847E-13</v>
      </c>
      <c r="DJ90" s="194">
        <f t="shared" si="246"/>
        <v>7.891761318508847E-13</v>
      </c>
      <c r="DK90" s="194">
        <f t="shared" si="246"/>
        <v>7.891761318508847E-13</v>
      </c>
      <c r="DL90" s="194">
        <f t="shared" si="246"/>
        <v>7.891761318508847E-13</v>
      </c>
      <c r="DM90" s="194">
        <f t="shared" si="246"/>
        <v>7.891761318508847E-13</v>
      </c>
      <c r="DN90" s="194">
        <f t="shared" si="246"/>
        <v>7.891761318508847E-13</v>
      </c>
      <c r="DO90" s="195">
        <f>SUM(DC90:DN90)</f>
        <v>9.470113582210617E-12</v>
      </c>
    </row>
    <row r="91" spans="1:119" ht="12.75">
      <c r="A91" s="188" t="s">
        <v>16</v>
      </c>
      <c r="B91" s="193">
        <f>DO91</f>
        <v>1.3528733688872308E-10</v>
      </c>
      <c r="C91" s="194">
        <f>C86</f>
        <v>0</v>
      </c>
      <c r="D91" s="194">
        <f aca="true" t="shared" si="247" ref="D91:N91">C91+D86-D89+D87</f>
        <v>0</v>
      </c>
      <c r="E91" s="194">
        <f t="shared" si="247"/>
        <v>0</v>
      </c>
      <c r="F91" s="194">
        <f t="shared" si="247"/>
        <v>0</v>
      </c>
      <c r="G91" s="194">
        <f t="shared" si="247"/>
        <v>0</v>
      </c>
      <c r="H91" s="194">
        <f t="shared" si="247"/>
        <v>0</v>
      </c>
      <c r="I91" s="194">
        <f t="shared" si="247"/>
        <v>0</v>
      </c>
      <c r="J91" s="194">
        <f t="shared" si="247"/>
        <v>0</v>
      </c>
      <c r="K91" s="194">
        <f t="shared" si="247"/>
        <v>0</v>
      </c>
      <c r="L91" s="194">
        <f t="shared" si="247"/>
        <v>0</v>
      </c>
      <c r="M91" s="194">
        <f t="shared" si="247"/>
        <v>31763.120000000003</v>
      </c>
      <c r="N91" s="194">
        <f t="shared" si="247"/>
        <v>31763.120000000003</v>
      </c>
      <c r="O91" s="195">
        <f>N91</f>
        <v>31763.120000000003</v>
      </c>
      <c r="P91" s="194">
        <f aca="true" t="shared" si="248" ref="P91:AA91">O91+P86-P89+P87</f>
        <v>31763.120000000003</v>
      </c>
      <c r="Q91" s="194">
        <f t="shared" si="248"/>
        <v>32318.9746</v>
      </c>
      <c r="R91" s="194">
        <f t="shared" si="248"/>
        <v>32318.9746</v>
      </c>
      <c r="S91" s="194">
        <f t="shared" si="248"/>
        <v>32318.9746</v>
      </c>
      <c r="T91" s="194">
        <f t="shared" si="248"/>
        <v>32318.9746</v>
      </c>
      <c r="U91" s="194">
        <f t="shared" si="248"/>
        <v>32318.9746</v>
      </c>
      <c r="V91" s="194">
        <f t="shared" si="248"/>
        <v>32318.9746</v>
      </c>
      <c r="W91" s="194">
        <f t="shared" si="248"/>
        <v>32318.9746</v>
      </c>
      <c r="X91" s="194">
        <f t="shared" si="248"/>
        <v>31974.231198954963</v>
      </c>
      <c r="Y91" s="194">
        <f t="shared" si="248"/>
        <v>31627.476794737162</v>
      </c>
      <c r="Z91" s="194">
        <f t="shared" si="248"/>
        <v>31278.69965649476</v>
      </c>
      <c r="AA91" s="194">
        <f t="shared" si="248"/>
        <v>30927.88798494594</v>
      </c>
      <c r="AB91" s="195">
        <f>AA91</f>
        <v>30927.88798494594</v>
      </c>
      <c r="AC91" s="194">
        <f aca="true" t="shared" si="249" ref="AC91:AN91">AB91+AC86-AC89+AC87</f>
        <v>30575.029911979753</v>
      </c>
      <c r="AD91" s="194">
        <f t="shared" si="249"/>
        <v>30220.113500254596</v>
      </c>
      <c r="AE91" s="194">
        <f t="shared" si="249"/>
        <v>29863.126742794375</v>
      </c>
      <c r="AF91" s="194">
        <f t="shared" si="249"/>
        <v>29504.057562582304</v>
      </c>
      <c r="AG91" s="194">
        <f t="shared" si="249"/>
        <v>29142.893812152328</v>
      </c>
      <c r="AH91" s="194">
        <f t="shared" si="249"/>
        <v>28779.62327317818</v>
      </c>
      <c r="AI91" s="194">
        <f t="shared" si="249"/>
        <v>28414.233656060012</v>
      </c>
      <c r="AJ91" s="194">
        <f t="shared" si="249"/>
        <v>28046.712599508657</v>
      </c>
      <c r="AK91" s="194">
        <f t="shared" si="249"/>
        <v>27677.04767012742</v>
      </c>
      <c r="AL91" s="194">
        <f t="shared" si="249"/>
        <v>27305.22636199146</v>
      </c>
      <c r="AM91" s="194">
        <f t="shared" si="249"/>
        <v>26931.236096224704</v>
      </c>
      <c r="AN91" s="194">
        <f t="shared" si="249"/>
        <v>26555.06422057431</v>
      </c>
      <c r="AO91" s="195">
        <f>AN91</f>
        <v>26555.06422057431</v>
      </c>
      <c r="AP91" s="194">
        <f aca="true" t="shared" si="250" ref="AP91:BA91">AO91+AP86-AP89+AP87</f>
        <v>26176.69800898262</v>
      </c>
      <c r="AQ91" s="194">
        <f t="shared" si="250"/>
        <v>25796.12466115665</v>
      </c>
      <c r="AR91" s="194">
        <f t="shared" si="250"/>
        <v>25413.331302135026</v>
      </c>
      <c r="AS91" s="194">
        <f t="shared" si="250"/>
        <v>25028.30498185244</v>
      </c>
      <c r="AT91" s="194">
        <f t="shared" si="250"/>
        <v>24641.032674701542</v>
      </c>
      <c r="AU91" s="194">
        <f t="shared" si="250"/>
        <v>24251.501279092263</v>
      </c>
      <c r="AV91" s="194">
        <f t="shared" si="250"/>
        <v>23859.697617008595</v>
      </c>
      <c r="AW91" s="194">
        <f t="shared" si="250"/>
        <v>23465.608433562775</v>
      </c>
      <c r="AX91" s="194">
        <f t="shared" si="250"/>
        <v>23069.220396546854</v>
      </c>
      <c r="AY91" s="194">
        <f t="shared" si="250"/>
        <v>22670.520095981672</v>
      </c>
      <c r="AZ91" s="194">
        <f t="shared" si="250"/>
        <v>22269.494043663195</v>
      </c>
      <c r="BA91" s="194">
        <f t="shared" si="250"/>
        <v>21866.128672706192</v>
      </c>
      <c r="BB91" s="195">
        <f>BA91</f>
        <v>21866.128672706192</v>
      </c>
      <c r="BC91" s="194">
        <f aca="true" t="shared" si="251" ref="BC91:BN91">BB91+BC86-BC89+BC87</f>
        <v>21460.410337085275</v>
      </c>
      <c r="BD91" s="194">
        <f t="shared" si="251"/>
        <v>21052.325311173234</v>
      </c>
      <c r="BE91" s="194">
        <f t="shared" si="251"/>
        <v>20641.859789276707</v>
      </c>
      <c r="BF91" s="194">
        <f t="shared" si="251"/>
        <v>20228.999885169116</v>
      </c>
      <c r="BG91" s="194">
        <f t="shared" si="251"/>
        <v>19813.731631620896</v>
      </c>
      <c r="BH91" s="194">
        <f t="shared" si="251"/>
        <v>19396.04097992698</v>
      </c>
      <c r="BI91" s="194">
        <f t="shared" si="251"/>
        <v>18975.913799431517</v>
      </c>
      <c r="BJ91" s="194">
        <f t="shared" si="251"/>
        <v>18553.33587704983</v>
      </c>
      <c r="BK91" s="194">
        <f t="shared" si="251"/>
        <v>18128.292916787585</v>
      </c>
      <c r="BL91" s="194">
        <f t="shared" si="251"/>
        <v>17700.77053925714</v>
      </c>
      <c r="BM91" s="194">
        <f t="shared" si="251"/>
        <v>17270.7542811911</v>
      </c>
      <c r="BN91" s="194">
        <f t="shared" si="251"/>
        <v>16838.22959495301</v>
      </c>
      <c r="BO91" s="195">
        <f>BN91</f>
        <v>16838.22959495301</v>
      </c>
      <c r="BP91" s="194">
        <f aca="true" t="shared" si="252" ref="BP91:CA91">BO91+BP86-BP89+BP87</f>
        <v>16403.1818480452</v>
      </c>
      <c r="BQ91" s="194">
        <f t="shared" si="252"/>
        <v>15965.596322613757</v>
      </c>
      <c r="BR91" s="194">
        <f t="shared" si="252"/>
        <v>15525.458214950633</v>
      </c>
      <c r="BS91" s="194">
        <f t="shared" si="252"/>
        <v>15082.752634992807</v>
      </c>
      <c r="BT91" s="194">
        <f t="shared" si="252"/>
        <v>14637.46460581856</v>
      </c>
      <c r="BU91" s="194">
        <f t="shared" si="252"/>
        <v>14189.579063140798</v>
      </c>
      <c r="BV91" s="194">
        <f t="shared" si="252"/>
        <v>13739.080854797414</v>
      </c>
      <c r="BW91" s="194">
        <f t="shared" si="252"/>
        <v>13285.954740238694</v>
      </c>
      <c r="BX91" s="194">
        <f t="shared" si="252"/>
        <v>12830.185390011715</v>
      </c>
      <c r="BY91" s="194">
        <f t="shared" si="252"/>
        <v>12371.757385241744</v>
      </c>
      <c r="BZ91" s="194">
        <f t="shared" si="252"/>
        <v>11910.655217110616</v>
      </c>
      <c r="CA91" s="194">
        <f t="shared" si="252"/>
        <v>11446.863286332056</v>
      </c>
      <c r="CB91" s="195">
        <f>CA91</f>
        <v>11446.863286332056</v>
      </c>
      <c r="CC91" s="194">
        <f aca="true" t="shared" si="253" ref="CC91:CN91">CB91+CC86-CC89+CC87</f>
        <v>10980.365902623955</v>
      </c>
      <c r="CD91" s="194">
        <f t="shared" si="253"/>
        <v>10511.147284177556</v>
      </c>
      <c r="CE91" s="194">
        <f t="shared" si="253"/>
        <v>10039.191557123553</v>
      </c>
      <c r="CF91" s="194">
        <f t="shared" si="253"/>
        <v>9564.48275499507</v>
      </c>
      <c r="CG91" s="194">
        <f t="shared" si="253"/>
        <v>9087.004818187503</v>
      </c>
      <c r="CH91" s="194">
        <f t="shared" si="253"/>
        <v>8606.741593415225</v>
      </c>
      <c r="CI91" s="194">
        <f t="shared" si="253"/>
        <v>8123.676833165109</v>
      </c>
      <c r="CJ91" s="194">
        <f t="shared" si="253"/>
        <v>7637.794195146867</v>
      </c>
      <c r="CK91" s="194">
        <f t="shared" si="253"/>
        <v>7149.077241740186</v>
      </c>
      <c r="CL91" s="194">
        <f t="shared" si="253"/>
        <v>6657.509439438632</v>
      </c>
      <c r="CM91" s="194">
        <f t="shared" si="253"/>
        <v>6163.074158290319</v>
      </c>
      <c r="CN91" s="194">
        <f t="shared" si="253"/>
        <v>5665.754671335308</v>
      </c>
      <c r="CO91" s="195">
        <f>CN91</f>
        <v>5665.754671335308</v>
      </c>
      <c r="CP91" s="194">
        <f aca="true" t="shared" si="254" ref="CP91:DA91">CO91+CP86-CP89+CP87</f>
        <v>5165.534154039726</v>
      </c>
      <c r="CQ91" s="194">
        <f t="shared" si="254"/>
        <v>4662.395683726586</v>
      </c>
      <c r="CR91" s="194">
        <f t="shared" si="254"/>
        <v>4156.322239003286</v>
      </c>
      <c r="CS91" s="194">
        <f t="shared" si="254"/>
        <v>3647.296699185767</v>
      </c>
      <c r="CT91" s="194">
        <f t="shared" si="254"/>
        <v>3135.3018437193123</v>
      </c>
      <c r="CU91" s="194">
        <f t="shared" si="254"/>
        <v>2620.3203515959704</v>
      </c>
      <c r="CV91" s="194">
        <f t="shared" si="254"/>
        <v>2102.3348007685754</v>
      </c>
      <c r="CW91" s="194">
        <f t="shared" si="254"/>
        <v>1581.327667561354</v>
      </c>
      <c r="CX91" s="194">
        <f t="shared" si="254"/>
        <v>1057.2813260770904</v>
      </c>
      <c r="CY91" s="194">
        <f t="shared" si="254"/>
        <v>530.1780476008353</v>
      </c>
      <c r="CZ91" s="194">
        <f t="shared" si="254"/>
        <v>1.3528733688872308E-10</v>
      </c>
      <c r="DA91" s="194">
        <f t="shared" si="254"/>
        <v>1.3528733688872308E-10</v>
      </c>
      <c r="DB91" s="195">
        <f>DA91</f>
        <v>1.3528733688872308E-10</v>
      </c>
      <c r="DC91" s="194">
        <f aca="true" t="shared" si="255" ref="DC91:DN91">DB91+DC86-DC89+DC87</f>
        <v>1.3528733688872308E-10</v>
      </c>
      <c r="DD91" s="194">
        <f t="shared" si="255"/>
        <v>1.3528733688872308E-10</v>
      </c>
      <c r="DE91" s="194">
        <f t="shared" si="255"/>
        <v>1.3528733688872308E-10</v>
      </c>
      <c r="DF91" s="194">
        <f t="shared" si="255"/>
        <v>1.3528733688872308E-10</v>
      </c>
      <c r="DG91" s="194">
        <f t="shared" si="255"/>
        <v>1.3528733688872308E-10</v>
      </c>
      <c r="DH91" s="194">
        <f t="shared" si="255"/>
        <v>1.3528733688872308E-10</v>
      </c>
      <c r="DI91" s="194">
        <f t="shared" si="255"/>
        <v>1.3528733688872308E-10</v>
      </c>
      <c r="DJ91" s="194">
        <f t="shared" si="255"/>
        <v>1.3528733688872308E-10</v>
      </c>
      <c r="DK91" s="194">
        <f t="shared" si="255"/>
        <v>1.3528733688872308E-10</v>
      </c>
      <c r="DL91" s="194">
        <f t="shared" si="255"/>
        <v>1.3528733688872308E-10</v>
      </c>
      <c r="DM91" s="194">
        <f t="shared" si="255"/>
        <v>1.3528733688872308E-10</v>
      </c>
      <c r="DN91" s="194">
        <f t="shared" si="255"/>
        <v>1.3528733688872308E-10</v>
      </c>
      <c r="DO91" s="195">
        <f>DN91</f>
        <v>1.3528733688872308E-10</v>
      </c>
    </row>
    <row r="92" spans="1:119" ht="12.75">
      <c r="A92" s="177" t="s">
        <v>78</v>
      </c>
      <c r="B92" s="284">
        <f>Исх!$C$43*12-Исх!$C$44</f>
        <v>75</v>
      </c>
      <c r="CP92" s="180"/>
      <c r="DB92" s="177"/>
      <c r="DO92" s="177"/>
    </row>
    <row r="93" spans="1:119" ht="12.75">
      <c r="A93" s="287" t="s">
        <v>253</v>
      </c>
      <c r="B93" s="288">
        <f>$W$91*$B$20/12/((1-(1+$B$20/12)^-$B92))</f>
        <v>533.2707528783715</v>
      </c>
      <c r="DB93" s="177"/>
      <c r="DO93" s="177"/>
    </row>
    <row r="94" spans="1:119" ht="7.5" customHeight="1">
      <c r="A94" s="285"/>
      <c r="B94" s="282"/>
      <c r="DB94" s="177"/>
      <c r="DO94" s="177"/>
    </row>
    <row r="95" spans="1:119" ht="12.75">
      <c r="A95" s="270" t="s">
        <v>241</v>
      </c>
      <c r="DB95" s="177"/>
      <c r="DO95" s="177"/>
    </row>
    <row r="96" spans="1:119" ht="12.75" hidden="1" outlineLevel="1">
      <c r="A96" s="271">
        <f>B86+B87-B89</f>
        <v>1.382431946694851E-10</v>
      </c>
      <c r="DB96" s="177"/>
      <c r="DO96" s="177"/>
    </row>
    <row r="97" spans="1:119" ht="12.75" hidden="1" outlineLevel="1">
      <c r="A97" s="271">
        <f>B88-B87-B90</f>
        <v>0</v>
      </c>
      <c r="DB97" s="177"/>
      <c r="DO97" s="177"/>
    </row>
    <row r="98" ht="12.75" collapsed="1"/>
  </sheetData>
  <sheetProtection/>
  <mergeCells count="54">
    <mergeCell ref="CP20:DB20"/>
    <mergeCell ref="CC5:CO5"/>
    <mergeCell ref="C5:O5"/>
    <mergeCell ref="P5:AB5"/>
    <mergeCell ref="AC5:AO5"/>
    <mergeCell ref="AP5:BB5"/>
    <mergeCell ref="BC5:BO5"/>
    <mergeCell ref="BP5:CB5"/>
    <mergeCell ref="DC20:DO20"/>
    <mergeCell ref="CP5:DB5"/>
    <mergeCell ref="DC5:DO5"/>
    <mergeCell ref="C20:O20"/>
    <mergeCell ref="P20:AB20"/>
    <mergeCell ref="AC20:AO20"/>
    <mergeCell ref="AP20:BB20"/>
    <mergeCell ref="BC20:BO20"/>
    <mergeCell ref="BP20:CB20"/>
    <mergeCell ref="CC20:CO20"/>
    <mergeCell ref="C36:O36"/>
    <mergeCell ref="P36:AB36"/>
    <mergeCell ref="AC36:AO36"/>
    <mergeCell ref="AP36:BB36"/>
    <mergeCell ref="BC36:BO36"/>
    <mergeCell ref="BP36:CB36"/>
    <mergeCell ref="CC36:CO36"/>
    <mergeCell ref="CP36:DB36"/>
    <mergeCell ref="DC36:DO36"/>
    <mergeCell ref="C52:O52"/>
    <mergeCell ref="P52:AB52"/>
    <mergeCell ref="AC52:AO52"/>
    <mergeCell ref="AP52:BB52"/>
    <mergeCell ref="BC52:BO52"/>
    <mergeCell ref="BP52:CB52"/>
    <mergeCell ref="CC52:CO52"/>
    <mergeCell ref="CP52:DB52"/>
    <mergeCell ref="DC52:DO52"/>
    <mergeCell ref="C68:O68"/>
    <mergeCell ref="P68:AB68"/>
    <mergeCell ref="AC68:AO68"/>
    <mergeCell ref="AP68:BB68"/>
    <mergeCell ref="BC68:BO68"/>
    <mergeCell ref="BP68:CB68"/>
    <mergeCell ref="CC68:CO68"/>
    <mergeCell ref="CP68:DB68"/>
    <mergeCell ref="DC68:DO68"/>
    <mergeCell ref="C84:O84"/>
    <mergeCell ref="P84:AB84"/>
    <mergeCell ref="AC84:AO84"/>
    <mergeCell ref="AP84:BB84"/>
    <mergeCell ref="BC84:BO84"/>
    <mergeCell ref="BP84:CB84"/>
    <mergeCell ref="CC84:CO84"/>
    <mergeCell ref="CP84:DB84"/>
    <mergeCell ref="DC84:DO84"/>
  </mergeCells>
  <printOptions/>
  <pageMargins left="0.35433070866141736" right="0.1968503937007874" top="0.9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S28"/>
  <sheetViews>
    <sheetView showGridLine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1" sqref="C11"/>
    </sheetView>
  </sheetViews>
  <sheetFormatPr defaultColWidth="8.875" defaultRowHeight="12.75" outlineLevelRow="1" outlineLevelCol="1"/>
  <cols>
    <col min="1" max="1" width="35.75390625" style="78" customWidth="1"/>
    <col min="2" max="2" width="8.75390625" style="78" customWidth="1"/>
    <col min="3" max="3" width="8.00390625" style="78" customWidth="1"/>
    <col min="4" max="4" width="10.00390625" style="78" customWidth="1"/>
    <col min="5" max="11" width="4.75390625" style="78" customWidth="1" outlineLevel="1"/>
    <col min="12" max="12" width="6.625" style="78" bestFit="1" customWidth="1" outlineLevel="1"/>
    <col min="13" max="13" width="6.375" style="78" customWidth="1" outlineLevel="1"/>
    <col min="14" max="16" width="7.625" style="78" bestFit="1" customWidth="1" outlineLevel="1"/>
    <col min="17" max="17" width="10.125" style="78" customWidth="1"/>
    <col min="18" max="18" width="4.125" style="78" customWidth="1"/>
    <col min="19" max="19" width="16.00390625" style="78" customWidth="1"/>
    <col min="20" max="20" width="12.875" style="78" bestFit="1" customWidth="1"/>
    <col min="21" max="16384" width="8.875" style="78" customWidth="1"/>
  </cols>
  <sheetData>
    <row r="2" spans="1:19" ht="12.75">
      <c r="A2" s="62" t="s">
        <v>258</v>
      </c>
      <c r="B2" s="173"/>
      <c r="Q2" s="147"/>
      <c r="R2" s="201"/>
      <c r="S2" s="171"/>
    </row>
    <row r="3" spans="1:19" ht="17.25" customHeight="1">
      <c r="A3" s="367" t="s">
        <v>185</v>
      </c>
      <c r="B3" s="368" t="s">
        <v>155</v>
      </c>
      <c r="C3" s="368" t="s">
        <v>156</v>
      </c>
      <c r="D3" s="369" t="s">
        <v>189</v>
      </c>
      <c r="E3" s="321">
        <v>2013</v>
      </c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3"/>
      <c r="Q3" s="91" t="s">
        <v>0</v>
      </c>
      <c r="R3" s="201"/>
      <c r="S3" s="202"/>
    </row>
    <row r="4" spans="1:17" ht="12.75">
      <c r="A4" s="367"/>
      <c r="B4" s="368"/>
      <c r="C4" s="368"/>
      <c r="D4" s="369"/>
      <c r="E4" s="203">
        <v>1</v>
      </c>
      <c r="F4" s="203">
        <v>2</v>
      </c>
      <c r="G4" s="203">
        <v>3</v>
      </c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93">
        <v>2013</v>
      </c>
    </row>
    <row r="5" spans="1:19" s="62" customFormat="1" ht="12.75" hidden="1">
      <c r="A5" s="204" t="s">
        <v>184</v>
      </c>
      <c r="B5" s="205"/>
      <c r="C5" s="205"/>
      <c r="D5" s="144">
        <f aca="true" t="shared" si="0" ref="D5:Q5">SUM(D6:D7)</f>
        <v>0</v>
      </c>
      <c r="E5" s="144">
        <f t="shared" si="0"/>
        <v>0</v>
      </c>
      <c r="F5" s="144">
        <f t="shared" si="0"/>
        <v>0</v>
      </c>
      <c r="G5" s="144">
        <f t="shared" si="0"/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0</v>
      </c>
      <c r="O5" s="144">
        <f t="shared" si="0"/>
        <v>0</v>
      </c>
      <c r="P5" s="144">
        <f t="shared" si="0"/>
        <v>0</v>
      </c>
      <c r="Q5" s="144">
        <f t="shared" si="0"/>
        <v>0</v>
      </c>
      <c r="S5" s="78"/>
    </row>
    <row r="6" spans="1:17" ht="12.75" hidden="1" outlineLevel="1">
      <c r="A6" s="252"/>
      <c r="B6" s="243"/>
      <c r="C6" s="243"/>
      <c r="D6" s="154">
        <f>B6*C6</f>
        <v>0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>
        <f>SUM(E6:P6)</f>
        <v>0</v>
      </c>
    </row>
    <row r="7" spans="1:17" ht="12.75" hidden="1" outlineLevel="1">
      <c r="A7" s="252"/>
      <c r="B7" s="84"/>
      <c r="C7" s="145"/>
      <c r="D7" s="154">
        <f>B7*C7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>
        <f>SUM(E7:P7)</f>
        <v>0</v>
      </c>
    </row>
    <row r="8" spans="1:17" ht="12.75" collapsed="1">
      <c r="A8" s="204" t="s">
        <v>105</v>
      </c>
      <c r="B8" s="205"/>
      <c r="C8" s="205"/>
      <c r="D8" s="144">
        <f aca="true" t="shared" si="1" ref="D8:Q8">SUM(D9:D12)</f>
        <v>58185.600000000006</v>
      </c>
      <c r="E8" s="144">
        <f t="shared" si="1"/>
        <v>0</v>
      </c>
      <c r="F8" s="144">
        <f t="shared" si="1"/>
        <v>0</v>
      </c>
      <c r="G8" s="144">
        <f t="shared" si="1"/>
        <v>0</v>
      </c>
      <c r="H8" s="144">
        <f t="shared" si="1"/>
        <v>0</v>
      </c>
      <c r="I8" s="144">
        <f t="shared" si="1"/>
        <v>0</v>
      </c>
      <c r="J8" s="144">
        <f t="shared" si="1"/>
        <v>0</v>
      </c>
      <c r="K8" s="144">
        <f t="shared" si="1"/>
        <v>0</v>
      </c>
      <c r="L8" s="144">
        <f t="shared" si="1"/>
        <v>0</v>
      </c>
      <c r="M8" s="144">
        <f t="shared" si="1"/>
        <v>0</v>
      </c>
      <c r="N8" s="144">
        <f t="shared" si="1"/>
        <v>29092.800000000003</v>
      </c>
      <c r="O8" s="144">
        <f t="shared" si="1"/>
        <v>0</v>
      </c>
      <c r="P8" s="144">
        <f t="shared" si="1"/>
        <v>29092.800000000003</v>
      </c>
      <c r="Q8" s="144">
        <f t="shared" si="1"/>
        <v>58185.600000000006</v>
      </c>
    </row>
    <row r="9" spans="1:19" ht="12.75" outlineLevel="1">
      <c r="A9" s="252" t="s">
        <v>332</v>
      </c>
      <c r="B9" s="145">
        <v>1</v>
      </c>
      <c r="C9" s="145">
        <f>11000*Исх!$C$7*1.1</f>
        <v>56144.00000000001</v>
      </c>
      <c r="D9" s="154">
        <f>B9*C9</f>
        <v>56144.00000000001</v>
      </c>
      <c r="E9" s="154"/>
      <c r="F9" s="154"/>
      <c r="G9" s="154"/>
      <c r="H9" s="154"/>
      <c r="I9" s="154"/>
      <c r="J9" s="154"/>
      <c r="K9" s="154"/>
      <c r="L9" s="154"/>
      <c r="M9" s="154"/>
      <c r="N9" s="154">
        <f>$D9/2</f>
        <v>28072.000000000004</v>
      </c>
      <c r="O9" s="154"/>
      <c r="P9" s="154">
        <f>$D9/2</f>
        <v>28072.000000000004</v>
      </c>
      <c r="Q9" s="155">
        <f>SUM(E9:P9)</f>
        <v>56144.00000000001</v>
      </c>
      <c r="S9" s="290" t="s">
        <v>331</v>
      </c>
    </row>
    <row r="10" spans="1:17" ht="25.5" outlineLevel="1">
      <c r="A10" s="252" t="s">
        <v>333</v>
      </c>
      <c r="B10" s="145">
        <v>1</v>
      </c>
      <c r="C10" s="145">
        <f>400*Исх!$C$7*1.1</f>
        <v>2041.6</v>
      </c>
      <c r="D10" s="154">
        <f>B10*C10</f>
        <v>2041.6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>
        <f aca="true" t="shared" si="2" ref="N10:P12">$D10/2</f>
        <v>1020.8</v>
      </c>
      <c r="O10" s="154"/>
      <c r="P10" s="154">
        <f t="shared" si="2"/>
        <v>1020.8</v>
      </c>
      <c r="Q10" s="155">
        <f>SUM(E10:P10)</f>
        <v>2041.6</v>
      </c>
    </row>
    <row r="11" spans="1:17" ht="12.75" outlineLevel="1">
      <c r="A11" s="252"/>
      <c r="B11" s="145"/>
      <c r="C11" s="145"/>
      <c r="D11" s="154">
        <f>B11*C11</f>
        <v>0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>
        <f t="shared" si="2"/>
        <v>0</v>
      </c>
      <c r="O11" s="154"/>
      <c r="P11" s="154">
        <f t="shared" si="2"/>
        <v>0</v>
      </c>
      <c r="Q11" s="155">
        <f>SUM(E11:P11)</f>
        <v>0</v>
      </c>
    </row>
    <row r="12" spans="1:17" ht="12.75" outlineLevel="1">
      <c r="A12" s="252"/>
      <c r="B12" s="145"/>
      <c r="C12" s="145"/>
      <c r="D12" s="154">
        <f>B12*C12</f>
        <v>0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>
        <f t="shared" si="2"/>
        <v>0</v>
      </c>
      <c r="O12" s="154"/>
      <c r="P12" s="154">
        <f t="shared" si="2"/>
        <v>0</v>
      </c>
      <c r="Q12" s="155">
        <f>SUM(E12:P12)</f>
        <v>0</v>
      </c>
    </row>
    <row r="13" spans="1:17" ht="12.75">
      <c r="A13" s="204" t="s">
        <v>190</v>
      </c>
      <c r="B13" s="205"/>
      <c r="C13" s="205"/>
      <c r="D13" s="144">
        <f aca="true" t="shared" si="3" ref="D13:Q13">SUM(D14:D15)</f>
        <v>2670.3199999999997</v>
      </c>
      <c r="E13" s="144">
        <f t="shared" si="3"/>
        <v>0</v>
      </c>
      <c r="F13" s="144">
        <f t="shared" si="3"/>
        <v>0</v>
      </c>
      <c r="G13" s="144">
        <f t="shared" si="3"/>
        <v>0</v>
      </c>
      <c r="H13" s="144">
        <f t="shared" si="3"/>
        <v>0</v>
      </c>
      <c r="I13" s="144">
        <f t="shared" si="3"/>
        <v>0</v>
      </c>
      <c r="J13" s="144">
        <f t="shared" si="3"/>
        <v>0</v>
      </c>
      <c r="K13" s="144">
        <f t="shared" si="3"/>
        <v>0</v>
      </c>
      <c r="L13" s="144">
        <f t="shared" si="3"/>
        <v>0</v>
      </c>
      <c r="M13" s="144">
        <f t="shared" si="3"/>
        <v>0</v>
      </c>
      <c r="N13" s="144">
        <f t="shared" si="3"/>
        <v>0</v>
      </c>
      <c r="O13" s="144">
        <f t="shared" si="3"/>
        <v>0</v>
      </c>
      <c r="P13" s="144">
        <f t="shared" si="3"/>
        <v>2670.3199999999997</v>
      </c>
      <c r="Q13" s="144">
        <f t="shared" si="3"/>
        <v>2670.3199999999997</v>
      </c>
    </row>
    <row r="14" spans="1:19" ht="12.75" outlineLevel="1">
      <c r="A14" s="279" t="s">
        <v>335</v>
      </c>
      <c r="B14" s="145">
        <v>1</v>
      </c>
      <c r="C14" s="145">
        <f>575.5*Исх!$C$7</f>
        <v>2670.3199999999997</v>
      </c>
      <c r="D14" s="154">
        <f>B14*C14</f>
        <v>2670.3199999999997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>
        <f>D14</f>
        <v>2670.3199999999997</v>
      </c>
      <c r="Q14" s="155">
        <f>SUM(E14:P14)</f>
        <v>2670.3199999999997</v>
      </c>
      <c r="S14" s="290" t="s">
        <v>334</v>
      </c>
    </row>
    <row r="15" spans="1:17" ht="12.75" outlineLevel="1">
      <c r="A15" s="279"/>
      <c r="B15" s="145"/>
      <c r="C15" s="145"/>
      <c r="D15" s="154">
        <f>B15*C15</f>
        <v>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>
        <f>SUM(E15:P15)</f>
        <v>0</v>
      </c>
    </row>
    <row r="16" spans="1:17" ht="12.75">
      <c r="A16" s="141" t="s">
        <v>0</v>
      </c>
      <c r="B16" s="168"/>
      <c r="C16" s="168"/>
      <c r="D16" s="168">
        <f aca="true" t="shared" si="4" ref="D16:Q16">D5+D8+D13</f>
        <v>60855.920000000006</v>
      </c>
      <c r="E16" s="168">
        <f t="shared" si="4"/>
        <v>0</v>
      </c>
      <c r="F16" s="168">
        <f t="shared" si="4"/>
        <v>0</v>
      </c>
      <c r="G16" s="168">
        <f t="shared" si="4"/>
        <v>0</v>
      </c>
      <c r="H16" s="168">
        <f t="shared" si="4"/>
        <v>0</v>
      </c>
      <c r="I16" s="168">
        <f t="shared" si="4"/>
        <v>0</v>
      </c>
      <c r="J16" s="168">
        <f t="shared" si="4"/>
        <v>0</v>
      </c>
      <c r="K16" s="168">
        <f t="shared" si="4"/>
        <v>0</v>
      </c>
      <c r="L16" s="168">
        <f t="shared" si="4"/>
        <v>0</v>
      </c>
      <c r="M16" s="168">
        <f t="shared" si="4"/>
        <v>0</v>
      </c>
      <c r="N16" s="168">
        <f t="shared" si="4"/>
        <v>29092.800000000003</v>
      </c>
      <c r="O16" s="168">
        <f t="shared" si="4"/>
        <v>0</v>
      </c>
      <c r="P16" s="168">
        <f t="shared" si="4"/>
        <v>31763.120000000003</v>
      </c>
      <c r="Q16" s="168">
        <f t="shared" si="4"/>
        <v>60855.920000000006</v>
      </c>
    </row>
    <row r="17" ht="12.75">
      <c r="D17" s="201">
        <f>D16-Q16</f>
        <v>0</v>
      </c>
    </row>
    <row r="18" spans="2:4" ht="12.75">
      <c r="B18" s="147" t="s">
        <v>59</v>
      </c>
      <c r="C18" s="201" t="s">
        <v>43</v>
      </c>
      <c r="D18" s="206" t="s">
        <v>98</v>
      </c>
    </row>
    <row r="19" spans="1:4" ht="12.75">
      <c r="A19" s="78" t="s">
        <v>109</v>
      </c>
      <c r="B19" s="201">
        <f>D5</f>
        <v>0</v>
      </c>
      <c r="C19" s="201">
        <f>B19/Исх!$C$19</f>
        <v>0</v>
      </c>
      <c r="D19" s="169">
        <f>B19/Исх!$C$5</f>
        <v>0</v>
      </c>
    </row>
    <row r="20" spans="1:4" ht="12.75">
      <c r="A20" s="78" t="s">
        <v>105</v>
      </c>
      <c r="B20" s="201">
        <f>D8</f>
        <v>58185.600000000006</v>
      </c>
      <c r="C20" s="201">
        <f>B20/Исх!$C$19</f>
        <v>51951.42857142857</v>
      </c>
      <c r="D20" s="169">
        <f>B20/Исх!$C$5</f>
        <v>380.6712463199215</v>
      </c>
    </row>
    <row r="21" spans="1:12" ht="12.75">
      <c r="A21" s="78" t="s">
        <v>190</v>
      </c>
      <c r="B21" s="201">
        <f>D13</f>
        <v>2670.3199999999997</v>
      </c>
      <c r="C21" s="201">
        <f>B21/Исх!$C$19</f>
        <v>2384.2142857142853</v>
      </c>
      <c r="D21" s="169">
        <f>B21/Исх!$C$5</f>
        <v>17.470199542034674</v>
      </c>
      <c r="L21" s="173"/>
    </row>
    <row r="22" spans="1:4" ht="12.75">
      <c r="A22" s="62" t="s">
        <v>89</v>
      </c>
      <c r="B22" s="207">
        <f>SUM(B19:B21)</f>
        <v>60855.920000000006</v>
      </c>
      <c r="C22" s="207">
        <f>SUM(C19:C21)</f>
        <v>54335.642857142855</v>
      </c>
      <c r="D22" s="207">
        <f>SUM(D19:D21)</f>
        <v>398.1414458619562</v>
      </c>
    </row>
    <row r="25" spans="1:17" ht="12.75">
      <c r="A25" s="78" t="s">
        <v>252</v>
      </c>
      <c r="D25" s="201">
        <f>Q25</f>
        <v>0</v>
      </c>
      <c r="L25" s="201">
        <f>K25+L5</f>
        <v>0</v>
      </c>
      <c r="M25" s="201">
        <f>L25+M5</f>
        <v>0</v>
      </c>
      <c r="N25" s="201">
        <f>M25+N5</f>
        <v>0</v>
      </c>
      <c r="O25" s="201">
        <f>N25+O5</f>
        <v>0</v>
      </c>
      <c r="Q25" s="201">
        <f>P25</f>
        <v>0</v>
      </c>
    </row>
    <row r="26" spans="1:17" ht="12.75">
      <c r="A26" s="78" t="s">
        <v>267</v>
      </c>
      <c r="D26" s="201">
        <f>Q26</f>
        <v>0</v>
      </c>
      <c r="L26" s="201">
        <f>K26+L8</f>
        <v>0</v>
      </c>
      <c r="M26" s="201">
        <f>L26+M8</f>
        <v>0</v>
      </c>
      <c r="N26" s="201">
        <f>M26+N8</f>
        <v>29092.800000000003</v>
      </c>
      <c r="O26" s="201">
        <f>N26+O8</f>
        <v>29092.800000000003</v>
      </c>
      <c r="Q26" s="201">
        <f>P26</f>
        <v>0</v>
      </c>
    </row>
    <row r="27" spans="1:17" ht="12.75">
      <c r="A27" s="78" t="s">
        <v>268</v>
      </c>
      <c r="D27" s="201">
        <f>Q27</f>
        <v>60855.920000000006</v>
      </c>
      <c r="O27" s="201"/>
      <c r="P27" s="201">
        <f>D5+D8+D13</f>
        <v>60855.920000000006</v>
      </c>
      <c r="Q27" s="201">
        <f>SUM(E27:P27)</f>
        <v>60855.920000000006</v>
      </c>
    </row>
    <row r="28" spans="1:17" ht="12.75">
      <c r="A28" s="78" t="s">
        <v>301</v>
      </c>
      <c r="D28" s="201">
        <f>D27/Исх!$C$19</f>
        <v>54335.642857142855</v>
      </c>
      <c r="P28" s="201">
        <f>P27/Исх!$C$19</f>
        <v>54335.642857142855</v>
      </c>
      <c r="Q28" s="201">
        <f>Q27/Исх!$C$19</f>
        <v>54335.642857142855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S9" r:id="rId1" display="http://www.openbusiness.ru/html/dop10/proizvodstvo-kovrov.htm"/>
    <hyperlink ref="S14" r:id="rId2" display="http://www.avtogaz.ru/evroplatforma/"/>
  </hyperlinks>
  <printOptions/>
  <pageMargins left="0.3" right="0.2362204724409449" top="0.7086614173228347" bottom="0.2755905511811024" header="0.5118110236220472" footer="0.1968503937007874"/>
  <pageSetup horizontalDpi="600" verticalDpi="600" orientation="landscape" paperSize="9" scale="96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8" customWidth="1"/>
    <col min="2" max="2" width="7.875" style="78" hidden="1" customWidth="1"/>
    <col min="3" max="3" width="9.75390625" style="78" customWidth="1"/>
    <col min="4" max="16384" width="9.125" style="78" customWidth="1"/>
  </cols>
  <sheetData>
    <row r="1" spans="1:6" ht="12.75">
      <c r="A1" s="62" t="s">
        <v>74</v>
      </c>
      <c r="B1" s="62"/>
      <c r="C1" s="62"/>
      <c r="D1" s="62"/>
      <c r="E1" s="62"/>
      <c r="F1" s="62"/>
    </row>
    <row r="2" spans="1:9" ht="12.75">
      <c r="A2" s="208"/>
      <c r="B2" s="208"/>
      <c r="C2" s="208"/>
      <c r="D2" s="208"/>
      <c r="E2" s="208"/>
      <c r="F2" s="208"/>
      <c r="I2" s="147" t="str">
        <f>Исх!C10</f>
        <v>тыс.тг.</v>
      </c>
    </row>
    <row r="3" spans="1:9" ht="12.75">
      <c r="A3" s="217" t="s">
        <v>9</v>
      </c>
      <c r="B3" s="233">
        <v>2013</v>
      </c>
      <c r="C3" s="233">
        <f aca="true" t="shared" si="0" ref="C3:H3">B3+1</f>
        <v>2014</v>
      </c>
      <c r="D3" s="233">
        <f t="shared" si="0"/>
        <v>2015</v>
      </c>
      <c r="E3" s="233">
        <f t="shared" si="0"/>
        <v>2016</v>
      </c>
      <c r="F3" s="233">
        <f t="shared" si="0"/>
        <v>2017</v>
      </c>
      <c r="G3" s="233">
        <f t="shared" si="0"/>
        <v>2018</v>
      </c>
      <c r="H3" s="233">
        <f t="shared" si="0"/>
        <v>2019</v>
      </c>
      <c r="I3" s="233">
        <f>H3+1</f>
        <v>2020</v>
      </c>
    </row>
    <row r="4" spans="1:9" ht="12.75">
      <c r="A4" s="209" t="s">
        <v>367</v>
      </c>
      <c r="B4" s="210">
        <f>'2-ф2'!P5</f>
        <v>0</v>
      </c>
      <c r="C4" s="210">
        <f>'2-ф2'!AC5</f>
        <v>164858.203125</v>
      </c>
      <c r="D4" s="210">
        <f>'2-ф2'!AP5</f>
        <v>290688.75</v>
      </c>
      <c r="E4" s="210">
        <f>'2-ф2'!AQ5</f>
        <v>344520</v>
      </c>
      <c r="F4" s="210">
        <f>'2-ф2'!AR5</f>
        <v>366052.5</v>
      </c>
      <c r="G4" s="210">
        <f>'2-ф2'!AS5</f>
        <v>387585</v>
      </c>
      <c r="H4" s="210">
        <f>'2-ф2'!AT5</f>
        <v>409117.5</v>
      </c>
      <c r="I4" s="210">
        <f>'2-ф2'!AU5</f>
        <v>430650</v>
      </c>
    </row>
    <row r="5" spans="1:9" ht="12.75">
      <c r="A5" s="209" t="s">
        <v>90</v>
      </c>
      <c r="B5" s="211">
        <f aca="true" t="shared" si="1" ref="B5:H5">B4-B6</f>
        <v>-524.7008666666668</v>
      </c>
      <c r="C5" s="211">
        <f t="shared" si="1"/>
        <v>-5912.865802038694</v>
      </c>
      <c r="D5" s="211">
        <f t="shared" si="1"/>
        <v>28843.459421450912</v>
      </c>
      <c r="E5" s="211">
        <f t="shared" si="1"/>
        <v>42763.67692999629</v>
      </c>
      <c r="F5" s="211">
        <f t="shared" si="1"/>
        <v>47237.350531275966</v>
      </c>
      <c r="G5" s="211">
        <f t="shared" si="1"/>
        <v>51636.72888856899</v>
      </c>
      <c r="H5" s="211">
        <f t="shared" si="1"/>
        <v>55959.14661882364</v>
      </c>
      <c r="I5" s="211">
        <f>I4-I6</f>
        <v>60199.03170336317</v>
      </c>
    </row>
    <row r="6" spans="1:9" ht="12.75">
      <c r="A6" s="209" t="s">
        <v>368</v>
      </c>
      <c r="B6" s="212">
        <f aca="true" t="shared" si="2" ref="B6:H6">SUM(B7:B8)</f>
        <v>524.7008666666668</v>
      </c>
      <c r="C6" s="212">
        <f t="shared" si="2"/>
        <v>170771.0689270387</v>
      </c>
      <c r="D6" s="212">
        <f t="shared" si="2"/>
        <v>261845.2905785491</v>
      </c>
      <c r="E6" s="212">
        <f t="shared" si="2"/>
        <v>301756.3230700037</v>
      </c>
      <c r="F6" s="212">
        <f t="shared" si="2"/>
        <v>318815.14946872403</v>
      </c>
      <c r="G6" s="212">
        <f t="shared" si="2"/>
        <v>335948.271111431</v>
      </c>
      <c r="H6" s="212">
        <f t="shared" si="2"/>
        <v>353158.35338117636</v>
      </c>
      <c r="I6" s="212">
        <f>SUM(I7:I8)</f>
        <v>370450.9682966368</v>
      </c>
    </row>
    <row r="7" spans="1:9" ht="12.75">
      <c r="A7" s="209" t="s">
        <v>91</v>
      </c>
      <c r="B7" s="210">
        <f>'2-ф2'!P12+'2-ф2'!P11+'2-ф2'!P10</f>
        <v>524.7008666666668</v>
      </c>
      <c r="C7" s="210">
        <f>'2-ф2'!AC12+'2-ф2'!AC11+'2-ф2'!AC10</f>
        <v>53763.68564578873</v>
      </c>
      <c r="D7" s="210">
        <f>'2-ф2'!AP12+'2-ф2'!AP11+'2-ф2'!AP10</f>
        <v>55530.23107854919</v>
      </c>
      <c r="E7" s="210">
        <f>'2-ф2'!AQ12+'2-ф2'!AQ11+'2-ф2'!AQ10</f>
        <v>57234.77107000375</v>
      </c>
      <c r="F7" s="210">
        <f>'2-ф2'!AR12+'2-ф2'!AR11+'2-ф2'!AR10</f>
        <v>59011.000468724094</v>
      </c>
      <c r="G7" s="210">
        <f>'2-ф2'!AS12+'2-ф2'!AS11+'2-ф2'!AS10</f>
        <v>60861.525111431074</v>
      </c>
      <c r="H7" s="210">
        <f>'2-ф2'!AT12+'2-ф2'!AT11+'2-ф2'!AT10</f>
        <v>62789.01038117645</v>
      </c>
      <c r="I7" s="210">
        <f>'2-ф2'!AU12+'2-ф2'!AU11+'2-ф2'!AU10</f>
        <v>64799.028296636854</v>
      </c>
    </row>
    <row r="8" spans="1:9" ht="12.75">
      <c r="A8" s="209" t="s">
        <v>92</v>
      </c>
      <c r="B8" s="210">
        <f>'2-ф2'!P7</f>
        <v>0</v>
      </c>
      <c r="C8" s="210">
        <f>'2-ф2'!AC7</f>
        <v>117007.38328124996</v>
      </c>
      <c r="D8" s="210">
        <f>'2-ф2'!AP7</f>
        <v>206315.0594999999</v>
      </c>
      <c r="E8" s="210">
        <f>'2-ф2'!AQ7</f>
        <v>244521.55199999994</v>
      </c>
      <c r="F8" s="210">
        <f>'2-ф2'!AR7</f>
        <v>259804.14899999995</v>
      </c>
      <c r="G8" s="210">
        <f>'2-ф2'!AS7</f>
        <v>275086.7459999999</v>
      </c>
      <c r="H8" s="210">
        <f>'2-ф2'!AT7</f>
        <v>290369.34299999994</v>
      </c>
      <c r="I8" s="210">
        <f>'2-ф2'!AU7</f>
        <v>305651.93999999994</v>
      </c>
    </row>
    <row r="9" spans="1:9" ht="12.75">
      <c r="A9" s="209" t="s">
        <v>93</v>
      </c>
      <c r="B9" s="212">
        <f aca="true" t="shared" si="3" ref="B9:H9">B4-B8</f>
        <v>0</v>
      </c>
      <c r="C9" s="212">
        <f t="shared" si="3"/>
        <v>47850.81984375004</v>
      </c>
      <c r="D9" s="212">
        <f t="shared" si="3"/>
        <v>84373.69050000011</v>
      </c>
      <c r="E9" s="212">
        <f t="shared" si="3"/>
        <v>99998.44800000006</v>
      </c>
      <c r="F9" s="212">
        <f t="shared" si="3"/>
        <v>106248.35100000005</v>
      </c>
      <c r="G9" s="212">
        <f t="shared" si="3"/>
        <v>112498.25400000007</v>
      </c>
      <c r="H9" s="212">
        <f t="shared" si="3"/>
        <v>118748.15700000006</v>
      </c>
      <c r="I9" s="212">
        <f>I4-I8</f>
        <v>124998.06000000006</v>
      </c>
    </row>
    <row r="10" spans="1:9" ht="12.75">
      <c r="A10" s="209" t="s">
        <v>75</v>
      </c>
      <c r="B10" s="213" t="e">
        <f aca="true" t="shared" si="4" ref="B10:H10">B9/B4</f>
        <v>#DIV/0!</v>
      </c>
      <c r="C10" s="213">
        <f t="shared" si="4"/>
        <v>0.2902544061302684</v>
      </c>
      <c r="D10" s="213">
        <f t="shared" si="4"/>
        <v>0.2902544061302686</v>
      </c>
      <c r="E10" s="213">
        <f t="shared" si="4"/>
        <v>0.29025440613026837</v>
      </c>
      <c r="F10" s="213">
        <f t="shared" si="4"/>
        <v>0.29025440613026837</v>
      </c>
      <c r="G10" s="213">
        <f t="shared" si="4"/>
        <v>0.29025440613026837</v>
      </c>
      <c r="H10" s="213">
        <f t="shared" si="4"/>
        <v>0.29025440613026837</v>
      </c>
      <c r="I10" s="213">
        <f>I9/I4</f>
        <v>0.2902544061302683</v>
      </c>
    </row>
    <row r="11" spans="1:9" ht="12.75">
      <c r="A11" s="209" t="s">
        <v>94</v>
      </c>
      <c r="B11" s="212" t="e">
        <f aca="true" t="shared" si="5" ref="B11:H11">B7/B10</f>
        <v>#DIV/0!</v>
      </c>
      <c r="C11" s="212">
        <f t="shared" si="5"/>
        <v>185229.5245490922</v>
      </c>
      <c r="D11" s="212">
        <f>D7/D10</f>
        <v>191315.7213318125</v>
      </c>
      <c r="E11" s="212">
        <f t="shared" si="5"/>
        <v>197188.2936526943</v>
      </c>
      <c r="F11" s="212">
        <f t="shared" si="5"/>
        <v>203307.85415274458</v>
      </c>
      <c r="G11" s="212">
        <f t="shared" si="5"/>
        <v>209683.38059996912</v>
      </c>
      <c r="H11" s="212">
        <f t="shared" si="5"/>
        <v>216324.05591457678</v>
      </c>
      <c r="I11" s="212">
        <f>I7/I10</f>
        <v>223249.07711325</v>
      </c>
    </row>
    <row r="12" spans="1:9" ht="25.5">
      <c r="A12" s="214" t="s">
        <v>76</v>
      </c>
      <c r="B12" s="215" t="e">
        <f aca="true" t="shared" si="6" ref="B12:H12">(B4-B11)/B4</f>
        <v>#DIV/0!</v>
      </c>
      <c r="C12" s="215">
        <f t="shared" si="6"/>
        <v>-0.12356874597648078</v>
      </c>
      <c r="D12" s="215">
        <f>(D4-D11)/D4</f>
        <v>0.3418537135275703</v>
      </c>
      <c r="E12" s="215">
        <f t="shared" si="6"/>
        <v>0.427643406325629</v>
      </c>
      <c r="F12" s="215">
        <f t="shared" si="6"/>
        <v>0.44459372862432417</v>
      </c>
      <c r="G12" s="215">
        <f t="shared" si="6"/>
        <v>0.45900026936034904</v>
      </c>
      <c r="H12" s="215">
        <f t="shared" si="6"/>
        <v>0.4712422325748061</v>
      </c>
      <c r="I12" s="215">
        <f>(I4-I11)/I4</f>
        <v>0.48159972805468476</v>
      </c>
    </row>
    <row r="13" spans="1:9" ht="12.75">
      <c r="A13" s="209" t="s">
        <v>103</v>
      </c>
      <c r="B13" s="216" t="e">
        <f aca="true" t="shared" si="7" ref="B13:H13">100%-B12</f>
        <v>#DIV/0!</v>
      </c>
      <c r="C13" s="216">
        <f t="shared" si="7"/>
        <v>1.1235687459764807</v>
      </c>
      <c r="D13" s="216">
        <f t="shared" si="7"/>
        <v>0.6581462864724297</v>
      </c>
      <c r="E13" s="216">
        <f t="shared" si="7"/>
        <v>0.572356593674371</v>
      </c>
      <c r="F13" s="216">
        <f t="shared" si="7"/>
        <v>0.5554062713756758</v>
      </c>
      <c r="G13" s="216">
        <f t="shared" si="7"/>
        <v>0.540999730639651</v>
      </c>
      <c r="H13" s="216">
        <f t="shared" si="7"/>
        <v>0.528757767425194</v>
      </c>
      <c r="I13" s="216">
        <f>100%-I12</f>
        <v>0.5184002719453152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A23" sqref="A23"/>
    </sheetView>
  </sheetViews>
  <sheetFormatPr defaultColWidth="9.00390625" defaultRowHeight="12.75"/>
  <cols>
    <col min="1" max="1" width="49.75390625" style="72" customWidth="1"/>
    <col min="2" max="2" width="16.875" style="73" customWidth="1"/>
    <col min="3" max="3" width="12.75390625" style="71" customWidth="1"/>
    <col min="4" max="4" width="8.625" style="71" customWidth="1"/>
    <col min="5" max="8" width="9.125" style="71" customWidth="1"/>
    <col min="9" max="9" width="7.625" style="71" bestFit="1" customWidth="1"/>
    <col min="10" max="10" width="7.125" style="71" customWidth="1"/>
    <col min="11" max="11" width="6.625" style="71" customWidth="1"/>
    <col min="12" max="16384" width="9.125" style="71" customWidth="1"/>
  </cols>
  <sheetData>
    <row r="1" ht="13.5" customHeight="1">
      <c r="A1" s="229" t="s">
        <v>329</v>
      </c>
    </row>
    <row r="2" ht="13.5" customHeight="1">
      <c r="A2" s="229" t="s">
        <v>330</v>
      </c>
    </row>
    <row r="3" ht="13.5" customHeight="1"/>
    <row r="4" spans="1:5" ht="13.5" customHeight="1">
      <c r="A4" s="224" t="s">
        <v>204</v>
      </c>
      <c r="B4" s="253" t="s">
        <v>89</v>
      </c>
      <c r="C4" s="253">
        <v>2013</v>
      </c>
      <c r="D4" s="253">
        <v>2014</v>
      </c>
      <c r="E4" s="253" t="s">
        <v>168</v>
      </c>
    </row>
    <row r="5" spans="1:5" ht="13.5" customHeight="1">
      <c r="A5" s="220" t="s">
        <v>310</v>
      </c>
      <c r="B5" s="221">
        <f>'1-Ф3'!B20</f>
        <v>60855.920000000006</v>
      </c>
      <c r="C5" s="221">
        <f>'1-Ф3'!P20</f>
        <v>60855.920000000006</v>
      </c>
      <c r="D5" s="221">
        <f>'1-Ф3'!AC20</f>
        <v>0</v>
      </c>
      <c r="E5" s="226">
        <f>B5/$B$7</f>
        <v>0.6650207220427791</v>
      </c>
    </row>
    <row r="6" spans="1:5" ht="13.5" customHeight="1">
      <c r="A6" s="220" t="s">
        <v>167</v>
      </c>
      <c r="B6" s="221">
        <f>'1-Ф3'!B26-'1-Ф3'!B20</f>
        <v>30653.89011999999</v>
      </c>
      <c r="C6" s="221">
        <f>'1-Ф3'!P26-'1-Ф3'!P20</f>
        <v>12837.38147999999</v>
      </c>
      <c r="D6" s="221">
        <f>'1-Ф3'!AC26-'1-Ф3'!AC20</f>
        <v>17816.508639999996</v>
      </c>
      <c r="E6" s="226">
        <f>B6/$B$7</f>
        <v>0.33497927795722093</v>
      </c>
    </row>
    <row r="7" spans="1:5" ht="13.5" customHeight="1">
      <c r="A7" s="222" t="s">
        <v>89</v>
      </c>
      <c r="B7" s="223">
        <f>SUM(B5:B6)</f>
        <v>91509.81012</v>
      </c>
      <c r="C7" s="223">
        <f>SUM(C5:C6)</f>
        <v>73693.30148</v>
      </c>
      <c r="D7" s="223">
        <f>SUM(D5:D6)</f>
        <v>17816.508639999996</v>
      </c>
      <c r="E7" s="227">
        <f>SUM(E5:E6)</f>
        <v>1</v>
      </c>
    </row>
    <row r="8" spans="1:2" ht="13.5" customHeight="1">
      <c r="A8" s="74"/>
      <c r="B8" s="75"/>
    </row>
    <row r="9" spans="1:5" ht="13.5" customHeight="1">
      <c r="A9" s="224" t="s">
        <v>205</v>
      </c>
      <c r="B9" s="253" t="s">
        <v>89</v>
      </c>
      <c r="C9" s="253">
        <f>C4</f>
        <v>2013</v>
      </c>
      <c r="D9" s="253">
        <f>D4</f>
        <v>2014</v>
      </c>
      <c r="E9" s="225" t="s">
        <v>168</v>
      </c>
    </row>
    <row r="10" spans="1:9" ht="12.75">
      <c r="A10" s="220" t="s">
        <v>309</v>
      </c>
      <c r="B10" s="221">
        <f>'1-Ф3'!B27</f>
        <v>30653.890119999993</v>
      </c>
      <c r="C10" s="221">
        <f>'1-Ф3'!P27</f>
        <v>12837.381479999996</v>
      </c>
      <c r="D10" s="221">
        <f>'1-Ф3'!AC27</f>
        <v>17816.508639999996</v>
      </c>
      <c r="E10" s="226">
        <f>B10/$B$12</f>
        <v>0.334979277957221</v>
      </c>
      <c r="H10" s="299">
        <f>B10/Исх!$C$5</f>
        <v>200.54883951586518</v>
      </c>
      <c r="I10" s="300" t="s">
        <v>98</v>
      </c>
    </row>
    <row r="11" spans="1:9" ht="13.5" customHeight="1">
      <c r="A11" s="220" t="s">
        <v>104</v>
      </c>
      <c r="B11" s="221">
        <f>'1-Ф3'!B28</f>
        <v>60855.920000000006</v>
      </c>
      <c r="C11" s="221">
        <f>'1-Ф3'!P28</f>
        <v>60855.920000000006</v>
      </c>
      <c r="D11" s="221">
        <f>'1-Ф3'!AC28</f>
        <v>0</v>
      </c>
      <c r="E11" s="226">
        <f>B11/$B$12</f>
        <v>0.6650207220427791</v>
      </c>
      <c r="H11" s="299">
        <f>B11/Исх!$C$5</f>
        <v>398.14144586195624</v>
      </c>
      <c r="I11" s="300" t="s">
        <v>98</v>
      </c>
    </row>
    <row r="12" spans="1:5" ht="12.75">
      <c r="A12" s="222" t="s">
        <v>89</v>
      </c>
      <c r="B12" s="223">
        <f>SUM(B10:B11)</f>
        <v>91509.81012</v>
      </c>
      <c r="C12" s="223">
        <f>SUM(C10:C11)</f>
        <v>73693.30148</v>
      </c>
      <c r="D12" s="223">
        <f>SUM(D10:D11)</f>
        <v>17816.508639999996</v>
      </c>
      <c r="E12" s="227">
        <f>SUM(E10:E11)</f>
        <v>1</v>
      </c>
    </row>
    <row r="13" spans="1:2" ht="12.75">
      <c r="A13" s="77"/>
      <c r="B13" s="76"/>
    </row>
    <row r="14" spans="1:2" ht="12.75">
      <c r="A14" s="298" t="s">
        <v>273</v>
      </c>
      <c r="B14" s="76"/>
    </row>
    <row r="15" spans="1:2" ht="12.75">
      <c r="A15" s="272" t="s">
        <v>272</v>
      </c>
      <c r="B15" s="273" t="s">
        <v>8</v>
      </c>
    </row>
    <row r="16" spans="1:2" ht="12.75">
      <c r="A16" s="220" t="s">
        <v>169</v>
      </c>
      <c r="B16" s="221" t="s">
        <v>170</v>
      </c>
    </row>
    <row r="17" spans="1:2" ht="12.75">
      <c r="A17" s="220" t="s">
        <v>171</v>
      </c>
      <c r="B17" s="277">
        <f>Исх!C42</f>
        <v>0.07</v>
      </c>
    </row>
    <row r="18" spans="1:2" ht="12.75">
      <c r="A18" s="220" t="s">
        <v>194</v>
      </c>
      <c r="B18" s="228">
        <f>Исх!C43</f>
        <v>7</v>
      </c>
    </row>
    <row r="19" spans="1:2" ht="12.75">
      <c r="A19" s="220" t="s">
        <v>172</v>
      </c>
      <c r="B19" s="221" t="s">
        <v>173</v>
      </c>
    </row>
    <row r="20" spans="1:2" ht="12.75">
      <c r="A20" s="220" t="s">
        <v>174</v>
      </c>
      <c r="B20" s="221">
        <f>Исх!C44</f>
        <v>9</v>
      </c>
    </row>
    <row r="21" spans="1:2" ht="12.75">
      <c r="A21" s="220" t="s">
        <v>175</v>
      </c>
      <c r="B21" s="221">
        <f>Исх!C45</f>
        <v>3</v>
      </c>
    </row>
    <row r="22" spans="1:2" ht="12.75">
      <c r="A22" s="220" t="s">
        <v>369</v>
      </c>
      <c r="B22" s="221" t="s">
        <v>255</v>
      </c>
    </row>
    <row r="24" spans="1:2" ht="12.75">
      <c r="A24" s="298" t="s">
        <v>256</v>
      </c>
      <c r="B24" s="71"/>
    </row>
    <row r="25" spans="1:8" ht="12.75">
      <c r="A25" s="224" t="s">
        <v>28</v>
      </c>
      <c r="B25" s="289">
        <v>2014</v>
      </c>
      <c r="C25" s="253">
        <f aca="true" t="shared" si="0" ref="C25:H25">B25+1</f>
        <v>2015</v>
      </c>
      <c r="D25" s="289">
        <f t="shared" si="0"/>
        <v>2016</v>
      </c>
      <c r="E25" s="289">
        <f t="shared" si="0"/>
        <v>2017</v>
      </c>
      <c r="F25" s="289">
        <f t="shared" si="0"/>
        <v>2018</v>
      </c>
      <c r="G25" s="289">
        <f t="shared" si="0"/>
        <v>2019</v>
      </c>
      <c r="H25" s="289">
        <f t="shared" si="0"/>
        <v>2020</v>
      </c>
    </row>
    <row r="26" spans="1:8" ht="12.75">
      <c r="A26" s="220" t="s">
        <v>274</v>
      </c>
      <c r="B26" s="221">
        <f>'2-ф2'!AC5</f>
        <v>164858.203125</v>
      </c>
      <c r="C26" s="221">
        <f>'2-ф2'!AP5</f>
        <v>290688.75</v>
      </c>
      <c r="D26" s="221">
        <f>'2-ф2'!AQ5</f>
        <v>344520</v>
      </c>
      <c r="E26" s="221">
        <f>'2-ф2'!AR5</f>
        <v>366052.5</v>
      </c>
      <c r="F26" s="221">
        <f>'2-ф2'!AS5</f>
        <v>387585</v>
      </c>
      <c r="G26" s="221">
        <f>'2-ф2'!AT5</f>
        <v>409117.5</v>
      </c>
      <c r="H26" s="221">
        <f>'2-ф2'!AU5</f>
        <v>430650</v>
      </c>
    </row>
    <row r="27" spans="1:8" ht="12.75">
      <c r="A27" s="220" t="s">
        <v>275</v>
      </c>
      <c r="B27" s="221">
        <f>'2-ф2'!AC9</f>
        <v>47850.81984375004</v>
      </c>
      <c r="C27" s="221">
        <f>'2-ф2'!AP9</f>
        <v>84373.69050000011</v>
      </c>
      <c r="D27" s="221">
        <f>'2-ф2'!AQ9</f>
        <v>99998.44800000006</v>
      </c>
      <c r="E27" s="221">
        <f>'2-ф2'!AR9</f>
        <v>106248.35100000005</v>
      </c>
      <c r="F27" s="221">
        <f>'2-ф2'!AS9</f>
        <v>112498.25400000007</v>
      </c>
      <c r="G27" s="221">
        <f>'2-ф2'!AT9</f>
        <v>118748.15700000006</v>
      </c>
      <c r="H27" s="221">
        <f>'2-ф2'!AU9</f>
        <v>124998.06000000006</v>
      </c>
    </row>
    <row r="28" spans="1:8" ht="12.75">
      <c r="A28" s="220" t="s">
        <v>276</v>
      </c>
      <c r="B28" s="221">
        <f>'2-ф2'!AC15</f>
        <v>-5912.865802038713</v>
      </c>
      <c r="C28" s="221">
        <f>'2-ф2'!AP15</f>
        <v>24362.280870901755</v>
      </c>
      <c r="D28" s="221">
        <f>'2-ф2'!AQ15</f>
        <v>34210.94154399705</v>
      </c>
      <c r="E28" s="221">
        <f>'2-ф2'!AR15</f>
        <v>37789.88042502077</v>
      </c>
      <c r="F28" s="221">
        <f>'2-ф2'!AS15</f>
        <v>41309.3831108552</v>
      </c>
      <c r="G28" s="221">
        <f>'2-ф2'!AT15</f>
        <v>44767.31729505889</v>
      </c>
      <c r="H28" s="221">
        <f>'2-ф2'!AU15</f>
        <v>48159.225362690566</v>
      </c>
    </row>
    <row r="29" spans="1:8" ht="12.75">
      <c r="A29" s="220" t="s">
        <v>277</v>
      </c>
      <c r="B29" s="226">
        <f>B28/B26</f>
        <v>-0.03586637297966554</v>
      </c>
      <c r="C29" s="226">
        <f aca="true" t="shared" si="1" ref="C29:H29">C28/C26</f>
        <v>0.08380881912664923</v>
      </c>
      <c r="D29" s="226">
        <f t="shared" si="1"/>
        <v>0.0993003063508564</v>
      </c>
      <c r="E29" s="226">
        <f t="shared" si="1"/>
        <v>0.10323623093687591</v>
      </c>
      <c r="F29" s="226">
        <f t="shared" si="1"/>
        <v>0.10658148047745707</v>
      </c>
      <c r="G29" s="226">
        <f t="shared" si="1"/>
        <v>0.10942410748760172</v>
      </c>
      <c r="H29" s="226">
        <f t="shared" si="1"/>
        <v>0.11182915444720902</v>
      </c>
    </row>
    <row r="30" spans="1:8" ht="12.75">
      <c r="A30" s="222" t="s">
        <v>311</v>
      </c>
      <c r="B30" s="223">
        <f>'1-Ф3'!AC33</f>
        <v>82.46945250414865</v>
      </c>
      <c r="C30" s="223">
        <f>'1-Ф3'!AP33</f>
        <v>27381.424124524205</v>
      </c>
      <c r="D30" s="223">
        <f>'1-Ф3'!AQ33</f>
        <v>30635.780098102652</v>
      </c>
      <c r="E30" s="223">
        <f>'1-Ф3'!AR33</f>
        <v>33563.477467576675</v>
      </c>
      <c r="F30" s="223">
        <f>'1-Ф3'!AS33</f>
        <v>36384.66034033459</v>
      </c>
      <c r="G30" s="223">
        <f>'1-Ф3'!AT33</f>
        <v>39093.79311571095</v>
      </c>
      <c r="H30" s="223">
        <f>'1-Ф3'!AU33</f>
        <v>43195.76638517308</v>
      </c>
    </row>
    <row r="32" spans="1:2" ht="12.75">
      <c r="A32" s="298" t="s">
        <v>278</v>
      </c>
      <c r="B32" s="71"/>
    </row>
    <row r="33" spans="1:2" ht="12.75">
      <c r="A33" s="224" t="s">
        <v>366</v>
      </c>
      <c r="B33" s="289">
        <f>'1-Ф3'!BA34</f>
        <v>2018</v>
      </c>
    </row>
    <row r="34" spans="1:2" ht="12.75">
      <c r="A34" s="220" t="s">
        <v>176</v>
      </c>
      <c r="B34" s="226">
        <f>'1-Ф3'!BA47</f>
        <v>0.2478987790541609</v>
      </c>
    </row>
    <row r="35" spans="1:2" ht="12.75">
      <c r="A35" s="220" t="s">
        <v>177</v>
      </c>
      <c r="B35" s="221">
        <f>'1-Ф3'!BA45</f>
        <v>37286.69038737031</v>
      </c>
    </row>
    <row r="36" spans="1:2" ht="12.75">
      <c r="A36" s="220" t="s">
        <v>312</v>
      </c>
      <c r="B36" s="228">
        <f>'1-Ф3'!BA46</f>
        <v>1.4583576741859448</v>
      </c>
    </row>
    <row r="37" spans="1:2" ht="12.75">
      <c r="A37" s="220" t="s">
        <v>178</v>
      </c>
      <c r="B37" s="228">
        <f>'1-Ф3'!B48</f>
        <v>3.0468444457386576</v>
      </c>
    </row>
    <row r="38" spans="1:2" ht="12.75">
      <c r="A38" s="220" t="s">
        <v>179</v>
      </c>
      <c r="B38" s="228">
        <f>'1-Ф3'!B49</f>
        <v>3.625461367604599</v>
      </c>
    </row>
    <row r="40" ht="12.75">
      <c r="A40" s="229" t="s">
        <v>279</v>
      </c>
    </row>
    <row r="41" spans="1:8" ht="12.75">
      <c r="A41" s="224" t="s">
        <v>28</v>
      </c>
      <c r="B41" s="289">
        <v>2014</v>
      </c>
      <c r="C41" s="225">
        <f aca="true" t="shared" si="2" ref="C41:H41">B41+1</f>
        <v>2015</v>
      </c>
      <c r="D41" s="289">
        <f t="shared" si="2"/>
        <v>2016</v>
      </c>
      <c r="E41" s="289">
        <f t="shared" si="2"/>
        <v>2017</v>
      </c>
      <c r="F41" s="289">
        <f t="shared" si="2"/>
        <v>2018</v>
      </c>
      <c r="G41" s="289">
        <f t="shared" si="2"/>
        <v>2019</v>
      </c>
      <c r="H41" s="289">
        <f t="shared" si="2"/>
        <v>2020</v>
      </c>
    </row>
    <row r="42" spans="1:8" ht="12.75">
      <c r="A42" s="220" t="s">
        <v>200</v>
      </c>
      <c r="B42" s="226">
        <f>Производство!AC6</f>
        <v>0.43749999999999994</v>
      </c>
      <c r="C42" s="226">
        <f>Производство!AP6</f>
        <v>0.6749999999999999</v>
      </c>
      <c r="D42" s="226">
        <f>Производство!AQ6</f>
        <v>0.8</v>
      </c>
      <c r="E42" s="226">
        <f>Производство!AR6</f>
        <v>0.85</v>
      </c>
      <c r="F42" s="226">
        <f>Производство!AS6</f>
        <v>0.9</v>
      </c>
      <c r="G42" s="226">
        <f>Производство!AT6</f>
        <v>0.95</v>
      </c>
      <c r="H42" s="226">
        <f>Производство!AU6</f>
        <v>1</v>
      </c>
    </row>
    <row r="43" spans="1:8" ht="12.75">
      <c r="A43" s="220" t="s">
        <v>365</v>
      </c>
      <c r="B43" s="221">
        <f>Производство!AC7</f>
        <v>25265.625</v>
      </c>
      <c r="C43" s="221">
        <f>Производство!AP7</f>
        <v>38981.25</v>
      </c>
      <c r="D43" s="221">
        <f>Производство!AQ7</f>
        <v>46200</v>
      </c>
      <c r="E43" s="221">
        <f>Производство!AR7</f>
        <v>49087.5</v>
      </c>
      <c r="F43" s="221">
        <f>Производство!AS7</f>
        <v>51975</v>
      </c>
      <c r="G43" s="221">
        <f>Производство!AT7</f>
        <v>54862.5</v>
      </c>
      <c r="H43" s="221">
        <f>Производство!AU7</f>
        <v>57750</v>
      </c>
    </row>
    <row r="45" ht="12.75">
      <c r="A45" s="229" t="s">
        <v>180</v>
      </c>
    </row>
    <row r="46" spans="1:8" ht="12.75">
      <c r="A46" s="370" t="s">
        <v>181</v>
      </c>
      <c r="B46" s="372" t="s">
        <v>287</v>
      </c>
      <c r="C46" s="372"/>
      <c r="D46" s="372"/>
      <c r="E46" s="372"/>
      <c r="F46" s="372"/>
      <c r="G46" s="372"/>
      <c r="H46" s="310" t="s">
        <v>313</v>
      </c>
    </row>
    <row r="47" spans="1:8" ht="12.75">
      <c r="A47" s="371"/>
      <c r="B47" s="289" t="s">
        <v>280</v>
      </c>
      <c r="C47" s="289" t="s">
        <v>281</v>
      </c>
      <c r="D47" s="289" t="s">
        <v>282</v>
      </c>
      <c r="E47" s="289" t="s">
        <v>283</v>
      </c>
      <c r="F47" s="289" t="s">
        <v>284</v>
      </c>
      <c r="G47" s="289" t="s">
        <v>285</v>
      </c>
      <c r="H47" s="289" t="s">
        <v>286</v>
      </c>
    </row>
    <row r="48" spans="1:8" ht="25.5">
      <c r="A48" s="230" t="s">
        <v>257</v>
      </c>
      <c r="B48" s="231"/>
      <c r="C48" s="231"/>
      <c r="D48" s="226"/>
      <c r="E48" s="226"/>
      <c r="F48" s="226"/>
      <c r="G48" s="226"/>
      <c r="H48" s="226"/>
    </row>
    <row r="49" spans="1:8" ht="12.75">
      <c r="A49" s="220" t="s">
        <v>328</v>
      </c>
      <c r="B49" s="226"/>
      <c r="C49" s="231"/>
      <c r="D49" s="231"/>
      <c r="E49" s="226"/>
      <c r="F49" s="226"/>
      <c r="G49" s="226"/>
      <c r="H49" s="226"/>
    </row>
    <row r="50" spans="1:8" ht="12.75">
      <c r="A50" s="220" t="s">
        <v>182</v>
      </c>
      <c r="B50" s="226"/>
      <c r="C50" s="226"/>
      <c r="D50" s="231"/>
      <c r="E50" s="226"/>
      <c r="F50" s="226"/>
      <c r="G50" s="226"/>
      <c r="H50" s="226"/>
    </row>
    <row r="51" spans="1:8" ht="12.75">
      <c r="A51" s="220" t="s">
        <v>183</v>
      </c>
      <c r="B51" s="226"/>
      <c r="C51" s="226"/>
      <c r="D51" s="231"/>
      <c r="E51" s="231"/>
      <c r="F51" s="226"/>
      <c r="G51" s="226"/>
      <c r="H51" s="226"/>
    </row>
    <row r="52" spans="1:8" ht="12.75">
      <c r="A52" s="220" t="s">
        <v>314</v>
      </c>
      <c r="B52" s="226"/>
      <c r="C52" s="226"/>
      <c r="D52" s="226"/>
      <c r="E52" s="231"/>
      <c r="F52" s="226"/>
      <c r="G52" s="226"/>
      <c r="H52" s="226"/>
    </row>
    <row r="53" spans="1:8" ht="12.75">
      <c r="A53" s="220" t="s">
        <v>317</v>
      </c>
      <c r="B53" s="226"/>
      <c r="C53" s="226"/>
      <c r="D53" s="226"/>
      <c r="E53" s="226"/>
      <c r="F53" s="231"/>
      <c r="G53" s="226"/>
      <c r="H53" s="226"/>
    </row>
    <row r="54" spans="1:8" ht="12.75">
      <c r="A54" s="220" t="s">
        <v>326</v>
      </c>
      <c r="B54" s="226"/>
      <c r="C54" s="226"/>
      <c r="D54" s="226"/>
      <c r="E54" s="226"/>
      <c r="F54" s="226"/>
      <c r="G54" s="231"/>
      <c r="H54" s="226"/>
    </row>
    <row r="55" spans="1:8" ht="12.75">
      <c r="A55" s="220" t="s">
        <v>327</v>
      </c>
      <c r="B55" s="221"/>
      <c r="C55" s="226"/>
      <c r="D55" s="226"/>
      <c r="E55" s="226"/>
      <c r="F55" s="226"/>
      <c r="G55" s="231"/>
      <c r="H55" s="226"/>
    </row>
    <row r="56" spans="1:8" ht="12.75">
      <c r="A56" s="220" t="s">
        <v>315</v>
      </c>
      <c r="B56" s="221"/>
      <c r="C56" s="226"/>
      <c r="D56" s="226"/>
      <c r="E56" s="226"/>
      <c r="F56" s="226"/>
      <c r="G56" s="226"/>
      <c r="H56" s="231"/>
    </row>
    <row r="57" spans="1:8" ht="12.75">
      <c r="A57" s="220" t="s">
        <v>316</v>
      </c>
      <c r="B57" s="221"/>
      <c r="C57" s="221"/>
      <c r="D57" s="226"/>
      <c r="E57" s="226"/>
      <c r="F57" s="226"/>
      <c r="G57" s="226"/>
      <c r="H57" s="231"/>
    </row>
    <row r="59" ht="12.75">
      <c r="A59" s="229" t="s">
        <v>186</v>
      </c>
    </row>
    <row r="61" spans="1:2" ht="12.75">
      <c r="A61" s="272" t="s">
        <v>188</v>
      </c>
      <c r="B61" s="273" t="s">
        <v>189</v>
      </c>
    </row>
    <row r="62" spans="1:2" ht="12.75">
      <c r="A62" s="220" t="s">
        <v>41</v>
      </c>
      <c r="B62" s="221">
        <f>'1-Ф3'!B16</f>
        <v>58584.70514965048</v>
      </c>
    </row>
    <row r="63" spans="1:2" ht="12.75">
      <c r="A63" s="220" t="str">
        <f>'2-ф2'!A14</f>
        <v>Корпоративный подоходный налог</v>
      </c>
      <c r="B63" s="221">
        <f>'1-Ф3'!B15</f>
        <v>56040.36548495472</v>
      </c>
    </row>
    <row r="64" spans="1:2" ht="12.75">
      <c r="A64" s="220" t="s">
        <v>187</v>
      </c>
      <c r="B64" s="221">
        <f>(ФОТ!K25-ФОТ!J25)*12*7</f>
        <v>50954.736000000004</v>
      </c>
    </row>
    <row r="65" spans="1:2" ht="12.75">
      <c r="A65" s="220" t="s">
        <v>325</v>
      </c>
      <c r="B65" s="221">
        <f>SUM(Пост!C21:I21)*12</f>
        <v>130.27213525</v>
      </c>
    </row>
    <row r="66" spans="1:2" ht="12.75">
      <c r="A66" s="222" t="s">
        <v>0</v>
      </c>
      <c r="B66" s="223">
        <f>SUM(B62:B65)</f>
        <v>165710.0787698552</v>
      </c>
    </row>
  </sheetData>
  <sheetProtection/>
  <mergeCells count="2">
    <mergeCell ref="A46:A47"/>
    <mergeCell ref="B46:G46"/>
  </mergeCells>
  <printOptions/>
  <pageMargins left="0.3" right="0.25" top="0.51" bottom="0.86" header="0.3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H30"/>
  <sheetViews>
    <sheetView showGridLines="0" showZeros="0" tabSelected="1" zoomScalePageLayoutView="0" workbookViewId="0" topLeftCell="A1">
      <pane xSplit="3" ySplit="4" topLeftCell="J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8" sqref="A8"/>
    </sheetView>
  </sheetViews>
  <sheetFormatPr defaultColWidth="10.125" defaultRowHeight="12.75" outlineLevelCol="1"/>
  <cols>
    <col min="1" max="1" width="38.125" style="88" customWidth="1"/>
    <col min="2" max="2" width="11.375" style="88" customWidth="1"/>
    <col min="3" max="3" width="3.875" style="88" customWidth="1"/>
    <col min="4" max="4" width="7.125" style="88" hidden="1" customWidth="1" outlineLevel="1"/>
    <col min="5" max="5" width="8.25390625" style="88" hidden="1" customWidth="1" outlineLevel="1"/>
    <col min="6" max="11" width="7.00390625" style="88" hidden="1" customWidth="1" outlineLevel="1"/>
    <col min="12" max="12" width="8.75390625" style="88" hidden="1" customWidth="1" outlineLevel="1"/>
    <col min="13" max="13" width="7.875" style="88" hidden="1" customWidth="1" outlineLevel="1"/>
    <col min="14" max="15" width="8.625" style="88" hidden="1" customWidth="1" outlineLevel="1"/>
    <col min="16" max="16" width="9.125" style="88" customWidth="1" collapsed="1"/>
    <col min="17" max="28" width="8.375" style="88" hidden="1" customWidth="1" outlineLevel="1"/>
    <col min="29" max="29" width="9.125" style="88" customWidth="1" collapsed="1"/>
    <col min="30" max="41" width="8.375" style="88" hidden="1" customWidth="1" outlineLevel="1"/>
    <col min="42" max="42" width="9.125" style="88" customWidth="1" collapsed="1"/>
    <col min="43" max="47" width="9.75390625" style="88" bestFit="1" customWidth="1"/>
    <col min="48" max="16384" width="10.125" style="88" customWidth="1"/>
  </cols>
  <sheetData>
    <row r="1" spans="1:3" ht="21" customHeight="1">
      <c r="A1" s="62" t="s">
        <v>110</v>
      </c>
      <c r="B1" s="87"/>
      <c r="C1" s="87"/>
    </row>
    <row r="2" spans="1:3" ht="17.25" customHeight="1">
      <c r="A2" s="62"/>
      <c r="B2" s="12" t="str">
        <f>Исх!$C$10</f>
        <v>тыс.тг.</v>
      </c>
      <c r="C2" s="89"/>
    </row>
    <row r="3" spans="1:47" ht="12.75" customHeight="1">
      <c r="A3" s="330" t="s">
        <v>3</v>
      </c>
      <c r="B3" s="334" t="s">
        <v>89</v>
      </c>
      <c r="C3" s="91"/>
      <c r="D3" s="329">
        <v>2013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>
        <v>2014</v>
      </c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1">
        <v>2015</v>
      </c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3"/>
      <c r="AQ3" s="92">
        <f>AD3+1</f>
        <v>2016</v>
      </c>
      <c r="AR3" s="92">
        <f>AQ3+1</f>
        <v>2017</v>
      </c>
      <c r="AS3" s="92">
        <f>AR3+1</f>
        <v>2018</v>
      </c>
      <c r="AT3" s="92">
        <f>AS3+1</f>
        <v>2019</v>
      </c>
      <c r="AU3" s="92">
        <f>AT3+1</f>
        <v>2020</v>
      </c>
    </row>
    <row r="4" spans="1:47" ht="12.75">
      <c r="A4" s="331"/>
      <c r="B4" s="334"/>
      <c r="C4" s="93"/>
      <c r="D4" s="94">
        <v>1</v>
      </c>
      <c r="E4" s="94">
        <f aca="true" t="shared" si="0" ref="E4:O4">D4+1</f>
        <v>2</v>
      </c>
      <c r="F4" s="94">
        <f t="shared" si="0"/>
        <v>3</v>
      </c>
      <c r="G4" s="94">
        <f t="shared" si="0"/>
        <v>4</v>
      </c>
      <c r="H4" s="94">
        <f t="shared" si="0"/>
        <v>5</v>
      </c>
      <c r="I4" s="94">
        <f t="shared" si="0"/>
        <v>6</v>
      </c>
      <c r="J4" s="94">
        <f t="shared" si="0"/>
        <v>7</v>
      </c>
      <c r="K4" s="94">
        <f t="shared" si="0"/>
        <v>8</v>
      </c>
      <c r="L4" s="94">
        <f t="shared" si="0"/>
        <v>9</v>
      </c>
      <c r="M4" s="94">
        <f t="shared" si="0"/>
        <v>10</v>
      </c>
      <c r="N4" s="94">
        <f t="shared" si="0"/>
        <v>11</v>
      </c>
      <c r="O4" s="94">
        <f t="shared" si="0"/>
        <v>12</v>
      </c>
      <c r="P4" s="90" t="s">
        <v>0</v>
      </c>
      <c r="Q4" s="94">
        <v>1</v>
      </c>
      <c r="R4" s="94">
        <f aca="true" t="shared" si="1" ref="R4:AB4">Q4+1</f>
        <v>2</v>
      </c>
      <c r="S4" s="94">
        <f t="shared" si="1"/>
        <v>3</v>
      </c>
      <c r="T4" s="94">
        <f t="shared" si="1"/>
        <v>4</v>
      </c>
      <c r="U4" s="94">
        <f t="shared" si="1"/>
        <v>5</v>
      </c>
      <c r="V4" s="94">
        <f t="shared" si="1"/>
        <v>6</v>
      </c>
      <c r="W4" s="94">
        <f t="shared" si="1"/>
        <v>7</v>
      </c>
      <c r="X4" s="94">
        <f t="shared" si="1"/>
        <v>8</v>
      </c>
      <c r="Y4" s="94">
        <f t="shared" si="1"/>
        <v>9</v>
      </c>
      <c r="Z4" s="94">
        <f t="shared" si="1"/>
        <v>10</v>
      </c>
      <c r="AA4" s="94">
        <f t="shared" si="1"/>
        <v>11</v>
      </c>
      <c r="AB4" s="94">
        <f t="shared" si="1"/>
        <v>12</v>
      </c>
      <c r="AC4" s="90" t="s">
        <v>0</v>
      </c>
      <c r="AD4" s="94">
        <v>1</v>
      </c>
      <c r="AE4" s="94">
        <f aca="true" t="shared" si="2" ref="AE4:AO4">AD4+1</f>
        <v>2</v>
      </c>
      <c r="AF4" s="94">
        <f t="shared" si="2"/>
        <v>3</v>
      </c>
      <c r="AG4" s="94">
        <f t="shared" si="2"/>
        <v>4</v>
      </c>
      <c r="AH4" s="94">
        <f t="shared" si="2"/>
        <v>5</v>
      </c>
      <c r="AI4" s="94">
        <f t="shared" si="2"/>
        <v>6</v>
      </c>
      <c r="AJ4" s="94">
        <f t="shared" si="2"/>
        <v>7</v>
      </c>
      <c r="AK4" s="94">
        <f t="shared" si="2"/>
        <v>8</v>
      </c>
      <c r="AL4" s="94">
        <f t="shared" si="2"/>
        <v>9</v>
      </c>
      <c r="AM4" s="94">
        <f t="shared" si="2"/>
        <v>10</v>
      </c>
      <c r="AN4" s="94">
        <f t="shared" si="2"/>
        <v>11</v>
      </c>
      <c r="AO4" s="94">
        <f t="shared" si="2"/>
        <v>12</v>
      </c>
      <c r="AP4" s="90" t="s">
        <v>0</v>
      </c>
      <c r="AQ4" s="90" t="s">
        <v>111</v>
      </c>
      <c r="AR4" s="90" t="s">
        <v>111</v>
      </c>
      <c r="AS4" s="90" t="s">
        <v>111</v>
      </c>
      <c r="AT4" s="90" t="s">
        <v>111</v>
      </c>
      <c r="AU4" s="90" t="s">
        <v>111</v>
      </c>
    </row>
    <row r="5" spans="1:48" s="89" customFormat="1" ht="15" customHeight="1">
      <c r="A5" s="95" t="s">
        <v>370</v>
      </c>
      <c r="B5" s="96">
        <f>SUM(B6:B6)</f>
        <v>2393471.953125</v>
      </c>
      <c r="C5" s="97"/>
      <c r="D5" s="97">
        <f aca="true" t="shared" si="3" ref="D5:AU5">SUM(D6:D6)</f>
        <v>0</v>
      </c>
      <c r="E5" s="97">
        <f t="shared" si="3"/>
        <v>0</v>
      </c>
      <c r="F5" s="97">
        <f t="shared" si="3"/>
        <v>0</v>
      </c>
      <c r="G5" s="97">
        <f t="shared" si="3"/>
        <v>0</v>
      </c>
      <c r="H5" s="97">
        <f t="shared" si="3"/>
        <v>0</v>
      </c>
      <c r="I5" s="97">
        <f t="shared" si="3"/>
        <v>0</v>
      </c>
      <c r="J5" s="97">
        <f t="shared" si="3"/>
        <v>0</v>
      </c>
      <c r="K5" s="97">
        <f t="shared" si="3"/>
        <v>0</v>
      </c>
      <c r="L5" s="97">
        <f t="shared" si="3"/>
        <v>0</v>
      </c>
      <c r="M5" s="97">
        <f t="shared" si="3"/>
        <v>0</v>
      </c>
      <c r="N5" s="97">
        <f t="shared" si="3"/>
        <v>0</v>
      </c>
      <c r="O5" s="97">
        <f t="shared" si="3"/>
        <v>0</v>
      </c>
      <c r="P5" s="97">
        <f t="shared" si="3"/>
        <v>0</v>
      </c>
      <c r="Q5" s="97">
        <f t="shared" si="3"/>
        <v>7850.390625</v>
      </c>
      <c r="R5" s="97">
        <f t="shared" si="3"/>
        <v>7850.390625</v>
      </c>
      <c r="S5" s="97">
        <f t="shared" si="3"/>
        <v>7850.390625</v>
      </c>
      <c r="T5" s="97">
        <f t="shared" si="3"/>
        <v>15700.78125</v>
      </c>
      <c r="U5" s="97">
        <f t="shared" si="3"/>
        <v>15700.78125</v>
      </c>
      <c r="V5" s="97">
        <f t="shared" si="3"/>
        <v>15700.78125</v>
      </c>
      <c r="W5" s="97">
        <f t="shared" si="3"/>
        <v>15700.78125</v>
      </c>
      <c r="X5" s="97">
        <f t="shared" si="3"/>
        <v>15700.78125</v>
      </c>
      <c r="Y5" s="97">
        <f t="shared" si="3"/>
        <v>15700.78125</v>
      </c>
      <c r="Z5" s="97">
        <f t="shared" si="3"/>
        <v>15700.78125</v>
      </c>
      <c r="AA5" s="97">
        <f t="shared" si="3"/>
        <v>15700.78125</v>
      </c>
      <c r="AB5" s="97">
        <f t="shared" si="3"/>
        <v>15700.78125</v>
      </c>
      <c r="AC5" s="97">
        <f t="shared" si="3"/>
        <v>164858.203125</v>
      </c>
      <c r="AD5" s="97">
        <f t="shared" si="3"/>
        <v>24224.0625</v>
      </c>
      <c r="AE5" s="97">
        <f t="shared" si="3"/>
        <v>24224.0625</v>
      </c>
      <c r="AF5" s="97">
        <f t="shared" si="3"/>
        <v>24224.0625</v>
      </c>
      <c r="AG5" s="97">
        <f t="shared" si="3"/>
        <v>24224.0625</v>
      </c>
      <c r="AH5" s="97">
        <f t="shared" si="3"/>
        <v>24224.0625</v>
      </c>
      <c r="AI5" s="97">
        <f t="shared" si="3"/>
        <v>24224.0625</v>
      </c>
      <c r="AJ5" s="97">
        <f t="shared" si="3"/>
        <v>24224.0625</v>
      </c>
      <c r="AK5" s="97">
        <f t="shared" si="3"/>
        <v>24224.0625</v>
      </c>
      <c r="AL5" s="97">
        <f t="shared" si="3"/>
        <v>24224.0625</v>
      </c>
      <c r="AM5" s="97">
        <f t="shared" si="3"/>
        <v>24224.0625</v>
      </c>
      <c r="AN5" s="97">
        <f t="shared" si="3"/>
        <v>24224.0625</v>
      </c>
      <c r="AO5" s="97">
        <f t="shared" si="3"/>
        <v>24224.0625</v>
      </c>
      <c r="AP5" s="97">
        <f t="shared" si="3"/>
        <v>290688.75</v>
      </c>
      <c r="AQ5" s="97">
        <f t="shared" si="3"/>
        <v>344520</v>
      </c>
      <c r="AR5" s="97">
        <f t="shared" si="3"/>
        <v>366052.5</v>
      </c>
      <c r="AS5" s="97">
        <f t="shared" si="3"/>
        <v>387585</v>
      </c>
      <c r="AT5" s="97">
        <f t="shared" si="3"/>
        <v>409117.5</v>
      </c>
      <c r="AU5" s="97">
        <f t="shared" si="3"/>
        <v>430650</v>
      </c>
      <c r="AV5" s="98"/>
    </row>
    <row r="6" spans="1:48" s="89" customFormat="1" ht="12.75">
      <c r="A6" s="291" t="str">
        <f>Дох!A6</f>
        <v>Ковер</v>
      </c>
      <c r="B6" s="96">
        <f>P6+AC6+AP6+AQ6+AR6+AS6+AT6+AU6</f>
        <v>2393471.953125</v>
      </c>
      <c r="C6" s="97"/>
      <c r="D6" s="99">
        <f>Производство!D10*Дох!$C6/1000</f>
        <v>0</v>
      </c>
      <c r="E6" s="99">
        <f>Производство!E10*Дох!$C6/1000</f>
        <v>0</v>
      </c>
      <c r="F6" s="99">
        <f>Производство!F10*Дох!$C6/1000</f>
        <v>0</v>
      </c>
      <c r="G6" s="99">
        <f>Производство!G10*Дох!$C6/1000</f>
        <v>0</v>
      </c>
      <c r="H6" s="99">
        <f>Производство!H10*Дох!$C6/1000</f>
        <v>0</v>
      </c>
      <c r="I6" s="99">
        <f>Производство!I10*Дох!$C6/1000</f>
        <v>0</v>
      </c>
      <c r="J6" s="99">
        <f>Производство!J10*Дох!$C6/1000</f>
        <v>0</v>
      </c>
      <c r="K6" s="99">
        <f>Производство!K10*Дох!$C6/1000</f>
        <v>0</v>
      </c>
      <c r="L6" s="99">
        <f>Производство!L10*Дох!$C6/1000</f>
        <v>0</v>
      </c>
      <c r="M6" s="99">
        <f>Производство!M10*Дох!$C6/1000</f>
        <v>0</v>
      </c>
      <c r="N6" s="99">
        <f>Производство!N10*Дох!$C6/1000</f>
        <v>0</v>
      </c>
      <c r="O6" s="99">
        <f>Производство!O10*Дох!$C6/1000</f>
        <v>0</v>
      </c>
      <c r="P6" s="97">
        <f>SUM(D6:O6)</f>
        <v>0</v>
      </c>
      <c r="Q6" s="99">
        <f>Производство!Q10*Дох!$C6/1000</f>
        <v>7850.390625</v>
      </c>
      <c r="R6" s="99">
        <f>Производство!R10*Дох!$C6/1000</f>
        <v>7850.390625</v>
      </c>
      <c r="S6" s="99">
        <f>Производство!S10*Дох!$C6/1000</f>
        <v>7850.390625</v>
      </c>
      <c r="T6" s="99">
        <f>Производство!T10*Дох!$C6/1000</f>
        <v>15700.78125</v>
      </c>
      <c r="U6" s="99">
        <f>Производство!U10*Дох!$C6/1000</f>
        <v>15700.78125</v>
      </c>
      <c r="V6" s="99">
        <f>Производство!V10*Дох!$C6/1000</f>
        <v>15700.78125</v>
      </c>
      <c r="W6" s="99">
        <f>Производство!W10*Дох!$C6/1000</f>
        <v>15700.78125</v>
      </c>
      <c r="X6" s="99">
        <f>Производство!X10*Дох!$C6/1000</f>
        <v>15700.78125</v>
      </c>
      <c r="Y6" s="99">
        <f>Производство!Y10*Дох!$C6/1000</f>
        <v>15700.78125</v>
      </c>
      <c r="Z6" s="99">
        <f>Производство!Z10*Дох!$C6/1000</f>
        <v>15700.78125</v>
      </c>
      <c r="AA6" s="99">
        <f>Производство!AA10*Дох!$C6/1000</f>
        <v>15700.78125</v>
      </c>
      <c r="AB6" s="99">
        <f>Производство!AB10*Дох!$C6/1000</f>
        <v>15700.78125</v>
      </c>
      <c r="AC6" s="97">
        <f>SUM(Q6:AB6)</f>
        <v>164858.203125</v>
      </c>
      <c r="AD6" s="99">
        <f>Производство!AD10*Дох!$C6/1000</f>
        <v>24224.0625</v>
      </c>
      <c r="AE6" s="99">
        <f>Производство!AE10*Дох!$C6/1000</f>
        <v>24224.0625</v>
      </c>
      <c r="AF6" s="99">
        <f>Производство!AF10*Дох!$C6/1000</f>
        <v>24224.0625</v>
      </c>
      <c r="AG6" s="99">
        <f>Производство!AG10*Дох!$C6/1000</f>
        <v>24224.0625</v>
      </c>
      <c r="AH6" s="99">
        <f>Производство!AH10*Дох!$C6/1000</f>
        <v>24224.0625</v>
      </c>
      <c r="AI6" s="99">
        <f>Производство!AI10*Дох!$C6/1000</f>
        <v>24224.0625</v>
      </c>
      <c r="AJ6" s="99">
        <f>Производство!AJ10*Дох!$C6/1000</f>
        <v>24224.0625</v>
      </c>
      <c r="AK6" s="99">
        <f>Производство!AK10*Дох!$C6/1000</f>
        <v>24224.0625</v>
      </c>
      <c r="AL6" s="99">
        <f>Производство!AL10*Дох!$C6/1000</f>
        <v>24224.0625</v>
      </c>
      <c r="AM6" s="99">
        <f>Производство!AM10*Дох!$C6/1000</f>
        <v>24224.0625</v>
      </c>
      <c r="AN6" s="99">
        <f>Производство!AN10*Дох!$C6/1000</f>
        <v>24224.0625</v>
      </c>
      <c r="AO6" s="99">
        <f>Производство!AO10*Дох!$C6/1000</f>
        <v>24224.0625</v>
      </c>
      <c r="AP6" s="97">
        <f>SUM(AD6:AO6)</f>
        <v>290688.75</v>
      </c>
      <c r="AQ6" s="99">
        <f>Производство!AQ10*Дох!$C6/1000</f>
        <v>344520</v>
      </c>
      <c r="AR6" s="99">
        <f>Производство!AR10*Дох!$C6/1000</f>
        <v>366052.5</v>
      </c>
      <c r="AS6" s="99">
        <f>Производство!AS10*Дох!$C6/1000</f>
        <v>387585</v>
      </c>
      <c r="AT6" s="99">
        <f>Производство!AT10*Дох!$C6/1000</f>
        <v>409117.5</v>
      </c>
      <c r="AU6" s="99">
        <f>Производство!AU10*Дох!$C6/1000</f>
        <v>430650</v>
      </c>
      <c r="AV6" s="98"/>
    </row>
    <row r="7" spans="1:47" ht="15" customHeight="1">
      <c r="A7" s="95" t="s">
        <v>371</v>
      </c>
      <c r="B7" s="96">
        <f>SUM(B8:B8)</f>
        <v>1698756.1727812495</v>
      </c>
      <c r="C7" s="97"/>
      <c r="D7" s="97">
        <f aca="true" t="shared" si="4" ref="D7:AU7">SUM(D8:D8)</f>
        <v>0</v>
      </c>
      <c r="E7" s="97">
        <f t="shared" si="4"/>
        <v>0</v>
      </c>
      <c r="F7" s="97">
        <f t="shared" si="4"/>
        <v>0</v>
      </c>
      <c r="G7" s="97">
        <f t="shared" si="4"/>
        <v>0</v>
      </c>
      <c r="H7" s="97">
        <f t="shared" si="4"/>
        <v>0</v>
      </c>
      <c r="I7" s="97">
        <f t="shared" si="4"/>
        <v>0</v>
      </c>
      <c r="J7" s="97">
        <f t="shared" si="4"/>
        <v>0</v>
      </c>
      <c r="K7" s="97">
        <f t="shared" si="4"/>
        <v>0</v>
      </c>
      <c r="L7" s="97">
        <f t="shared" si="4"/>
        <v>0</v>
      </c>
      <c r="M7" s="97">
        <f t="shared" si="4"/>
        <v>0</v>
      </c>
      <c r="N7" s="97">
        <f t="shared" si="4"/>
        <v>0</v>
      </c>
      <c r="O7" s="97">
        <f t="shared" si="4"/>
        <v>0</v>
      </c>
      <c r="P7" s="97">
        <f t="shared" si="4"/>
        <v>0</v>
      </c>
      <c r="Q7" s="97">
        <f t="shared" si="4"/>
        <v>5571.780156249999</v>
      </c>
      <c r="R7" s="97">
        <f t="shared" si="4"/>
        <v>5571.780156249999</v>
      </c>
      <c r="S7" s="97">
        <f t="shared" si="4"/>
        <v>5571.780156249999</v>
      </c>
      <c r="T7" s="97">
        <f t="shared" si="4"/>
        <v>11143.560312499998</v>
      </c>
      <c r="U7" s="97">
        <f t="shared" si="4"/>
        <v>11143.560312499998</v>
      </c>
      <c r="V7" s="97">
        <f t="shared" si="4"/>
        <v>11143.560312499998</v>
      </c>
      <c r="W7" s="97">
        <f t="shared" si="4"/>
        <v>11143.560312499998</v>
      </c>
      <c r="X7" s="97">
        <f t="shared" si="4"/>
        <v>11143.560312499998</v>
      </c>
      <c r="Y7" s="97">
        <f t="shared" si="4"/>
        <v>11143.560312499998</v>
      </c>
      <c r="Z7" s="97">
        <f t="shared" si="4"/>
        <v>11143.560312499998</v>
      </c>
      <c r="AA7" s="97">
        <f t="shared" si="4"/>
        <v>11143.560312499998</v>
      </c>
      <c r="AB7" s="97">
        <f t="shared" si="4"/>
        <v>11143.560312499998</v>
      </c>
      <c r="AC7" s="97">
        <f t="shared" si="4"/>
        <v>117007.38328124996</v>
      </c>
      <c r="AD7" s="97">
        <f t="shared" si="4"/>
        <v>17192.921624999995</v>
      </c>
      <c r="AE7" s="97">
        <f t="shared" si="4"/>
        <v>17192.921624999995</v>
      </c>
      <c r="AF7" s="97">
        <f t="shared" si="4"/>
        <v>17192.921624999995</v>
      </c>
      <c r="AG7" s="97">
        <f t="shared" si="4"/>
        <v>17192.921624999995</v>
      </c>
      <c r="AH7" s="97">
        <f t="shared" si="4"/>
        <v>17192.921624999995</v>
      </c>
      <c r="AI7" s="97">
        <f t="shared" si="4"/>
        <v>17192.921624999995</v>
      </c>
      <c r="AJ7" s="97">
        <f t="shared" si="4"/>
        <v>17192.921624999995</v>
      </c>
      <c r="AK7" s="97">
        <f t="shared" si="4"/>
        <v>17192.921624999995</v>
      </c>
      <c r="AL7" s="97">
        <f t="shared" si="4"/>
        <v>17192.921624999995</v>
      </c>
      <c r="AM7" s="97">
        <f t="shared" si="4"/>
        <v>17192.921624999995</v>
      </c>
      <c r="AN7" s="97">
        <f t="shared" si="4"/>
        <v>17192.921624999995</v>
      </c>
      <c r="AO7" s="97">
        <f t="shared" si="4"/>
        <v>17192.921624999995</v>
      </c>
      <c r="AP7" s="97">
        <f t="shared" si="4"/>
        <v>206315.0594999999</v>
      </c>
      <c r="AQ7" s="97">
        <f t="shared" si="4"/>
        <v>244521.55199999994</v>
      </c>
      <c r="AR7" s="97">
        <f t="shared" si="4"/>
        <v>259804.14899999995</v>
      </c>
      <c r="AS7" s="97">
        <f t="shared" si="4"/>
        <v>275086.7459999999</v>
      </c>
      <c r="AT7" s="97">
        <f t="shared" si="4"/>
        <v>290369.34299999994</v>
      </c>
      <c r="AU7" s="97">
        <f t="shared" si="4"/>
        <v>305651.93999999994</v>
      </c>
    </row>
    <row r="8" spans="1:47" ht="12.75">
      <c r="A8" s="291" t="s">
        <v>199</v>
      </c>
      <c r="B8" s="96">
        <f>P8+AC8+AP8+AQ8+AR8+AS8+AT8+AU8</f>
        <v>1698756.1727812495</v>
      </c>
      <c r="C8" s="97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7">
        <f>SUM(D8:O8)</f>
        <v>0</v>
      </c>
      <c r="Q8" s="99">
        <f>Производство!Q10*'Расх перем'!$E$10/1000</f>
        <v>5571.780156249999</v>
      </c>
      <c r="R8" s="99">
        <f>Производство!R10*'Расх перем'!$E$10/1000</f>
        <v>5571.780156249999</v>
      </c>
      <c r="S8" s="99">
        <f>Производство!S10*'Расх перем'!$E$10/1000</f>
        <v>5571.780156249999</v>
      </c>
      <c r="T8" s="99">
        <f>Производство!T10*'Расх перем'!$E$10/1000</f>
        <v>11143.560312499998</v>
      </c>
      <c r="U8" s="99">
        <f>Производство!U10*'Расх перем'!$E$10/1000</f>
        <v>11143.560312499998</v>
      </c>
      <c r="V8" s="99">
        <f>Производство!V10*'Расх перем'!$E$10/1000</f>
        <v>11143.560312499998</v>
      </c>
      <c r="W8" s="99">
        <f>Производство!W10*'Расх перем'!$E$10/1000</f>
        <v>11143.560312499998</v>
      </c>
      <c r="X8" s="99">
        <f>Производство!X10*'Расх перем'!$E$10/1000</f>
        <v>11143.560312499998</v>
      </c>
      <c r="Y8" s="99">
        <f>Производство!Y10*'Расх перем'!$E$10/1000</f>
        <v>11143.560312499998</v>
      </c>
      <c r="Z8" s="99">
        <f>Производство!Z10*'Расх перем'!$E$10/1000</f>
        <v>11143.560312499998</v>
      </c>
      <c r="AA8" s="99">
        <f>Производство!AA10*'Расх перем'!$E$10/1000</f>
        <v>11143.560312499998</v>
      </c>
      <c r="AB8" s="99">
        <f>Производство!AB10*'Расх перем'!$E$10/1000</f>
        <v>11143.560312499998</v>
      </c>
      <c r="AC8" s="97">
        <f>SUM(Q8:AB8)</f>
        <v>117007.38328124996</v>
      </c>
      <c r="AD8" s="99">
        <f>Производство!AD10*'Расх перем'!$E$10/1000</f>
        <v>17192.921624999995</v>
      </c>
      <c r="AE8" s="99">
        <f>Производство!AE10*'Расх перем'!$E$10/1000</f>
        <v>17192.921624999995</v>
      </c>
      <c r="AF8" s="99">
        <f>Производство!AF10*'Расх перем'!$E$10/1000</f>
        <v>17192.921624999995</v>
      </c>
      <c r="AG8" s="99">
        <f>Производство!AG10*'Расх перем'!$E$10/1000</f>
        <v>17192.921624999995</v>
      </c>
      <c r="AH8" s="99">
        <f>Производство!AH10*'Расх перем'!$E$10/1000</f>
        <v>17192.921624999995</v>
      </c>
      <c r="AI8" s="99">
        <f>Производство!AI10*'Расх перем'!$E$10/1000</f>
        <v>17192.921624999995</v>
      </c>
      <c r="AJ8" s="99">
        <f>Производство!AJ10*'Расх перем'!$E$10/1000</f>
        <v>17192.921624999995</v>
      </c>
      <c r="AK8" s="99">
        <f>Производство!AK10*'Расх перем'!$E$10/1000</f>
        <v>17192.921624999995</v>
      </c>
      <c r="AL8" s="99">
        <f>Производство!AL10*'Расх перем'!$E$10/1000</f>
        <v>17192.921624999995</v>
      </c>
      <c r="AM8" s="99">
        <f>Производство!AM10*'Расх перем'!$E$10/1000</f>
        <v>17192.921624999995</v>
      </c>
      <c r="AN8" s="99">
        <f>Производство!AN10*'Расх перем'!$E$10/1000</f>
        <v>17192.921624999995</v>
      </c>
      <c r="AO8" s="99">
        <f>Производство!AO10*'Расх перем'!$E$10/1000</f>
        <v>17192.921624999995</v>
      </c>
      <c r="AP8" s="97">
        <f>SUM(AD8:AO8)</f>
        <v>206315.0594999999</v>
      </c>
      <c r="AQ8" s="99">
        <f>Производство!AQ10*'Расх перем'!$E$10/1000</f>
        <v>244521.55199999994</v>
      </c>
      <c r="AR8" s="99">
        <f>Производство!AR10*'Расх перем'!$E$10/1000</f>
        <v>259804.14899999995</v>
      </c>
      <c r="AS8" s="99">
        <f>Производство!AS10*'Расх перем'!$E$10/1000</f>
        <v>275086.7459999999</v>
      </c>
      <c r="AT8" s="99">
        <f>Производство!AT10*'Расх перем'!$E$10/1000</f>
        <v>290369.34299999994</v>
      </c>
      <c r="AU8" s="99">
        <f>Производство!AU10*'Расх перем'!$E$10/1000</f>
        <v>305651.93999999994</v>
      </c>
    </row>
    <row r="9" spans="1:47" s="89" customFormat="1" ht="15" customHeight="1">
      <c r="A9" s="95" t="s">
        <v>17</v>
      </c>
      <c r="B9" s="96">
        <f>B5-B7</f>
        <v>694715.7803437505</v>
      </c>
      <c r="C9" s="100"/>
      <c r="D9" s="97">
        <f aca="true" t="shared" si="5" ref="D9:AU9">D5-D7</f>
        <v>0</v>
      </c>
      <c r="E9" s="97">
        <f t="shared" si="5"/>
        <v>0</v>
      </c>
      <c r="F9" s="97">
        <f t="shared" si="5"/>
        <v>0</v>
      </c>
      <c r="G9" s="97">
        <f t="shared" si="5"/>
        <v>0</v>
      </c>
      <c r="H9" s="97">
        <f t="shared" si="5"/>
        <v>0</v>
      </c>
      <c r="I9" s="97">
        <f t="shared" si="5"/>
        <v>0</v>
      </c>
      <c r="J9" s="97">
        <f t="shared" si="5"/>
        <v>0</v>
      </c>
      <c r="K9" s="97">
        <f t="shared" si="5"/>
        <v>0</v>
      </c>
      <c r="L9" s="97">
        <f t="shared" si="5"/>
        <v>0</v>
      </c>
      <c r="M9" s="97">
        <f t="shared" si="5"/>
        <v>0</v>
      </c>
      <c r="N9" s="97">
        <f t="shared" si="5"/>
        <v>0</v>
      </c>
      <c r="O9" s="97">
        <f t="shared" si="5"/>
        <v>0</v>
      </c>
      <c r="P9" s="97">
        <f t="shared" si="5"/>
        <v>0</v>
      </c>
      <c r="Q9" s="97">
        <f t="shared" si="5"/>
        <v>2278.610468750001</v>
      </c>
      <c r="R9" s="97">
        <f t="shared" si="5"/>
        <v>2278.610468750001</v>
      </c>
      <c r="S9" s="97">
        <f t="shared" si="5"/>
        <v>2278.610468750001</v>
      </c>
      <c r="T9" s="97">
        <f t="shared" si="5"/>
        <v>4557.220937500002</v>
      </c>
      <c r="U9" s="97">
        <f t="shared" si="5"/>
        <v>4557.220937500002</v>
      </c>
      <c r="V9" s="97">
        <f t="shared" si="5"/>
        <v>4557.220937500002</v>
      </c>
      <c r="W9" s="97">
        <f t="shared" si="5"/>
        <v>4557.220937500002</v>
      </c>
      <c r="X9" s="97">
        <f t="shared" si="5"/>
        <v>4557.220937500002</v>
      </c>
      <c r="Y9" s="97">
        <f t="shared" si="5"/>
        <v>4557.220937500002</v>
      </c>
      <c r="Z9" s="97">
        <f t="shared" si="5"/>
        <v>4557.220937500002</v>
      </c>
      <c r="AA9" s="97">
        <f t="shared" si="5"/>
        <v>4557.220937500002</v>
      </c>
      <c r="AB9" s="97">
        <f t="shared" si="5"/>
        <v>4557.220937500002</v>
      </c>
      <c r="AC9" s="97">
        <f t="shared" si="5"/>
        <v>47850.81984375004</v>
      </c>
      <c r="AD9" s="97">
        <f t="shared" si="5"/>
        <v>7031.140875000005</v>
      </c>
      <c r="AE9" s="97">
        <f t="shared" si="5"/>
        <v>7031.140875000005</v>
      </c>
      <c r="AF9" s="97">
        <f t="shared" si="5"/>
        <v>7031.140875000005</v>
      </c>
      <c r="AG9" s="97">
        <f t="shared" si="5"/>
        <v>7031.140875000005</v>
      </c>
      <c r="AH9" s="97">
        <f t="shared" si="5"/>
        <v>7031.140875000005</v>
      </c>
      <c r="AI9" s="97">
        <f t="shared" si="5"/>
        <v>7031.140875000005</v>
      </c>
      <c r="AJ9" s="97">
        <f t="shared" si="5"/>
        <v>7031.140875000005</v>
      </c>
      <c r="AK9" s="97">
        <f t="shared" si="5"/>
        <v>7031.140875000005</v>
      </c>
      <c r="AL9" s="97">
        <f t="shared" si="5"/>
        <v>7031.140875000005</v>
      </c>
      <c r="AM9" s="97">
        <f t="shared" si="5"/>
        <v>7031.140875000005</v>
      </c>
      <c r="AN9" s="97">
        <f t="shared" si="5"/>
        <v>7031.140875000005</v>
      </c>
      <c r="AO9" s="97">
        <f t="shared" si="5"/>
        <v>7031.140875000005</v>
      </c>
      <c r="AP9" s="97">
        <f t="shared" si="5"/>
        <v>84373.69050000011</v>
      </c>
      <c r="AQ9" s="97">
        <f t="shared" si="5"/>
        <v>99998.44800000006</v>
      </c>
      <c r="AR9" s="97">
        <f t="shared" si="5"/>
        <v>106248.35100000005</v>
      </c>
      <c r="AS9" s="97">
        <f t="shared" si="5"/>
        <v>112498.25400000007</v>
      </c>
      <c r="AT9" s="97">
        <f t="shared" si="5"/>
        <v>118748.15700000006</v>
      </c>
      <c r="AU9" s="97">
        <f t="shared" si="5"/>
        <v>124998.06000000006</v>
      </c>
    </row>
    <row r="10" spans="1:47" ht="15" customHeight="1">
      <c r="A10" s="101" t="s">
        <v>144</v>
      </c>
      <c r="B10" s="96">
        <f>P10+AC10+AP10+AQ10+AR10+AS10+AT10+AU10</f>
        <v>358539.47702736285</v>
      </c>
      <c r="C10" s="97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7">
        <f aca="true" t="shared" si="6" ref="P10:P15">SUM(D10:O10)</f>
        <v>0</v>
      </c>
      <c r="Q10" s="99">
        <f>Пост!$D$16+Пост!$D$18+Пост!$D$21</f>
        <v>3669.6461228571425</v>
      </c>
      <c r="R10" s="99">
        <f>Пост!$D$16+Пост!$D$18+Пост!$D$21</f>
        <v>3669.6461228571425</v>
      </c>
      <c r="S10" s="99">
        <f>Пост!$D$16+Пост!$D$18+Пост!$D$21</f>
        <v>3669.6461228571425</v>
      </c>
      <c r="T10" s="99">
        <f>Пост!$D$16+Пост!$D$18+Пост!$D$21</f>
        <v>3669.6461228571425</v>
      </c>
      <c r="U10" s="99">
        <f>Пост!$D$16+Пост!$D$18+Пост!$D$21</f>
        <v>3669.6461228571425</v>
      </c>
      <c r="V10" s="99">
        <f>Пост!$D$16+Пост!$D$18+Пост!$D$21</f>
        <v>3669.6461228571425</v>
      </c>
      <c r="W10" s="99">
        <f>Пост!$D$16+Пост!$D$18+Пост!$D$21</f>
        <v>3669.6461228571425</v>
      </c>
      <c r="X10" s="99">
        <f>Пост!$D$16+Пост!$D$18+Пост!$D$21</f>
        <v>3669.6461228571425</v>
      </c>
      <c r="Y10" s="99">
        <f>Пост!$D$16+Пост!$D$18+Пост!$D$21</f>
        <v>3669.6461228571425</v>
      </c>
      <c r="Z10" s="99">
        <f>Пост!$D$16+Пост!$D$18+Пост!$D$21</f>
        <v>3669.6461228571425</v>
      </c>
      <c r="AA10" s="99">
        <f>Пост!$D$16+Пост!$D$18+Пост!$D$21</f>
        <v>3669.6461228571425</v>
      </c>
      <c r="AB10" s="99">
        <f>Пост!$D$16+Пост!$D$18+Пост!$D$21</f>
        <v>3669.6461228571425</v>
      </c>
      <c r="AC10" s="97">
        <f aca="true" t="shared" si="7" ref="AC10:AC15">SUM(Q10:AB10)</f>
        <v>44035.75347428571</v>
      </c>
      <c r="AD10" s="99">
        <f>Пост!$E$16+Пост!$E$18+Пост!$E$21</f>
        <v>3853.128429</v>
      </c>
      <c r="AE10" s="99">
        <f>Пост!$E$16+Пост!$E$18+Пост!$E$21</f>
        <v>3853.128429</v>
      </c>
      <c r="AF10" s="99">
        <f>Пост!$E$16+Пост!$E$18+Пост!$E$21</f>
        <v>3853.128429</v>
      </c>
      <c r="AG10" s="99">
        <f>Пост!$E$16+Пост!$E$18+Пост!$E$21</f>
        <v>3853.128429</v>
      </c>
      <c r="AH10" s="99">
        <f>Пост!$E$16+Пост!$E$18+Пост!$E$21</f>
        <v>3853.128429</v>
      </c>
      <c r="AI10" s="99">
        <f>Пост!$E$16+Пост!$E$18+Пост!$E$21</f>
        <v>3853.128429</v>
      </c>
      <c r="AJ10" s="99">
        <f>Пост!$E$16+Пост!$E$18+Пост!$E$21</f>
        <v>3853.128429</v>
      </c>
      <c r="AK10" s="99">
        <f>Пост!$E$16+Пост!$E$18+Пост!$E$21</f>
        <v>3853.128429</v>
      </c>
      <c r="AL10" s="99">
        <f>Пост!$E$16+Пост!$E$18+Пост!$E$21</f>
        <v>3853.128429</v>
      </c>
      <c r="AM10" s="99">
        <f>Пост!$E$16+Пост!$E$18+Пост!$E$21</f>
        <v>3853.128429</v>
      </c>
      <c r="AN10" s="99">
        <f>Пост!$E$16+Пост!$E$18+Пост!$E$21</f>
        <v>3853.128429</v>
      </c>
      <c r="AO10" s="99">
        <f>Пост!$E$16+Пост!$E$18+Пост!$E$21</f>
        <v>3853.128429</v>
      </c>
      <c r="AP10" s="97">
        <f aca="true" t="shared" si="8" ref="AP10:AP15">SUM(AD10:AO10)</f>
        <v>46237.54114799999</v>
      </c>
      <c r="AQ10" s="99">
        <f>(Пост!F16+Пост!F18+Пост!F21)*12</f>
        <v>48549.418205400005</v>
      </c>
      <c r="AR10" s="99">
        <f>(Пост!G16+Пост!G18+Пост!G21)*12</f>
        <v>50976.88911567</v>
      </c>
      <c r="AS10" s="99">
        <f>(Пост!H16+Пост!H18+Пост!H21)*12</f>
        <v>53525.733571453486</v>
      </c>
      <c r="AT10" s="99">
        <f>(Пост!I16+Пост!I18+Пост!I21)*12</f>
        <v>56202.02025002618</v>
      </c>
      <c r="AU10" s="99">
        <f>(Пост!J16+Пост!J18+Пост!J21)*12</f>
        <v>59012.12126252748</v>
      </c>
    </row>
    <row r="11" spans="1:47" ht="15" customHeight="1">
      <c r="A11" s="101" t="s">
        <v>77</v>
      </c>
      <c r="B11" s="96">
        <f>P11+AC11+AP11+AQ11+AR11+AS11+AT11+AU11</f>
        <v>38034.95000000001</v>
      </c>
      <c r="C11" s="97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>
        <f>Пост!$C$31/12</f>
        <v>0</v>
      </c>
      <c r="O11" s="99">
        <f>Пост!$C$31/12</f>
        <v>0</v>
      </c>
      <c r="P11" s="97">
        <f t="shared" si="6"/>
        <v>0</v>
      </c>
      <c r="Q11" s="99">
        <f>Пост!$D$31/12</f>
        <v>452.79702380952386</v>
      </c>
      <c r="R11" s="99">
        <f>Пост!$D$31/12</f>
        <v>452.79702380952386</v>
      </c>
      <c r="S11" s="99">
        <f>Пост!$D$31/12</f>
        <v>452.79702380952386</v>
      </c>
      <c r="T11" s="99">
        <f>Пост!$D$31/12</f>
        <v>452.79702380952386</v>
      </c>
      <c r="U11" s="99">
        <f>Пост!$D$31/12</f>
        <v>452.79702380952386</v>
      </c>
      <c r="V11" s="99">
        <f>Пост!$D$31/12</f>
        <v>452.79702380952386</v>
      </c>
      <c r="W11" s="99">
        <f>Пост!$D$31/12</f>
        <v>452.79702380952386</v>
      </c>
      <c r="X11" s="99">
        <f>Пост!$D$31/12</f>
        <v>452.79702380952386</v>
      </c>
      <c r="Y11" s="99">
        <f>Пост!$D$31/12</f>
        <v>452.79702380952386</v>
      </c>
      <c r="Z11" s="99">
        <f>Пост!$D$31/12</f>
        <v>452.79702380952386</v>
      </c>
      <c r="AA11" s="99">
        <f>Пост!$D$31/12</f>
        <v>452.79702380952386</v>
      </c>
      <c r="AB11" s="99">
        <f>Пост!$D$31/12</f>
        <v>452.79702380952386</v>
      </c>
      <c r="AC11" s="97">
        <f t="shared" si="7"/>
        <v>5433.5642857142875</v>
      </c>
      <c r="AD11" s="99">
        <f>Пост!$E$31/12</f>
        <v>452.79702380952386</v>
      </c>
      <c r="AE11" s="99">
        <f>Пост!$E$31/12</f>
        <v>452.79702380952386</v>
      </c>
      <c r="AF11" s="99">
        <f>Пост!$E$31/12</f>
        <v>452.79702380952386</v>
      </c>
      <c r="AG11" s="99">
        <f>Пост!$E$31/12</f>
        <v>452.79702380952386</v>
      </c>
      <c r="AH11" s="99">
        <f>Пост!$E$31/12</f>
        <v>452.79702380952386</v>
      </c>
      <c r="AI11" s="99">
        <f>Пост!$E$31/12</f>
        <v>452.79702380952386</v>
      </c>
      <c r="AJ11" s="99">
        <f>Пост!$E$31/12</f>
        <v>452.79702380952386</v>
      </c>
      <c r="AK11" s="99">
        <f>Пост!$E$31/12</f>
        <v>452.79702380952386</v>
      </c>
      <c r="AL11" s="99">
        <f>Пост!$E$31/12</f>
        <v>452.79702380952386</v>
      </c>
      <c r="AM11" s="99">
        <f>Пост!$E$31/12</f>
        <v>452.79702380952386</v>
      </c>
      <c r="AN11" s="99">
        <f>Пост!$E$31/12</f>
        <v>452.79702380952386</v>
      </c>
      <c r="AO11" s="99">
        <f>Пост!$E$31/12</f>
        <v>452.79702380952386</v>
      </c>
      <c r="AP11" s="97">
        <f t="shared" si="8"/>
        <v>5433.5642857142875</v>
      </c>
      <c r="AQ11" s="99">
        <f>Пост!F31</f>
        <v>5433.564285714287</v>
      </c>
      <c r="AR11" s="99">
        <f>Пост!G31</f>
        <v>5433.564285714287</v>
      </c>
      <c r="AS11" s="99">
        <f>Пост!H31</f>
        <v>5433.564285714287</v>
      </c>
      <c r="AT11" s="99">
        <f>Пост!I31</f>
        <v>5433.564285714287</v>
      </c>
      <c r="AU11" s="99">
        <f>Пост!J31</f>
        <v>5433.564285714287</v>
      </c>
    </row>
    <row r="12" spans="1:47" ht="15" customHeight="1">
      <c r="A12" s="101" t="s">
        <v>27</v>
      </c>
      <c r="B12" s="96">
        <f>P12+AC12+AP12+AQ12+AR12+AS12+AT12+AU12</f>
        <v>17939.52589161396</v>
      </c>
      <c r="C12" s="97"/>
      <c r="D12" s="99">
        <f>кр!C24</f>
        <v>0</v>
      </c>
      <c r="E12" s="99">
        <f>кр!D24</f>
        <v>0</v>
      </c>
      <c r="F12" s="99">
        <f>кр!E24</f>
        <v>0</v>
      </c>
      <c r="G12" s="99">
        <f>кр!F24</f>
        <v>0</v>
      </c>
      <c r="H12" s="99">
        <f>кр!G24</f>
        <v>0</v>
      </c>
      <c r="I12" s="99">
        <f>кр!H24</f>
        <v>0</v>
      </c>
      <c r="J12" s="99">
        <f>кр!I24</f>
        <v>0</v>
      </c>
      <c r="K12" s="99">
        <f>кр!J24</f>
        <v>0</v>
      </c>
      <c r="L12" s="99">
        <f>кр!K24</f>
        <v>0</v>
      </c>
      <c r="M12" s="99">
        <f>кр!L24</f>
        <v>0</v>
      </c>
      <c r="N12" s="99">
        <f>кр!M24</f>
        <v>169.70800000000003</v>
      </c>
      <c r="O12" s="99">
        <f>кр!N24</f>
        <v>354.9928666666667</v>
      </c>
      <c r="P12" s="97">
        <f t="shared" si="6"/>
        <v>524.7008666666668</v>
      </c>
      <c r="Q12" s="99">
        <f>кр!P24</f>
        <v>354.9928666666667</v>
      </c>
      <c r="R12" s="99">
        <f>кр!Q24</f>
        <v>357.9627566666668</v>
      </c>
      <c r="S12" s="99">
        <f>кр!R24</f>
        <v>361.2052418333334</v>
      </c>
      <c r="T12" s="99">
        <f>кр!S24</f>
        <v>361.2052418333334</v>
      </c>
      <c r="U12" s="99">
        <f>кр!T24</f>
        <v>361.2052418333334</v>
      </c>
      <c r="V12" s="99">
        <f>кр!U24</f>
        <v>361.2052418333334</v>
      </c>
      <c r="W12" s="99">
        <f>кр!V24</f>
        <v>361.2052418333334</v>
      </c>
      <c r="X12" s="99">
        <f>кр!W24</f>
        <v>361.2052418333334</v>
      </c>
      <c r="Y12" s="99">
        <f>кр!X24</f>
        <v>359.3633033491873</v>
      </c>
      <c r="Z12" s="99">
        <f>кр!Y24</f>
        <v>355.49961705112094</v>
      </c>
      <c r="AA12" s="99">
        <f>кр!Z24</f>
        <v>351.61339258298244</v>
      </c>
      <c r="AB12" s="99">
        <f>кр!AA24</f>
        <v>347.70449847211324</v>
      </c>
      <c r="AC12" s="97">
        <f t="shared" si="7"/>
        <v>4294.367885788737</v>
      </c>
      <c r="AD12" s="99">
        <f>кр!AC24</f>
        <v>343.77280247893066</v>
      </c>
      <c r="AE12" s="99">
        <f>кр!AD24</f>
        <v>339.8181715924544</v>
      </c>
      <c r="AF12" s="99">
        <f>кр!AE24</f>
        <v>335.8404720258071</v>
      </c>
      <c r="AG12" s="99">
        <f>кр!AF24</f>
        <v>331.8395692116877</v>
      </c>
      <c r="AH12" s="99">
        <f>кр!AG24</f>
        <v>327.8153277978193</v>
      </c>
      <c r="AI12" s="99">
        <f>кр!AH24</f>
        <v>323.76761164236996</v>
      </c>
      <c r="AJ12" s="99">
        <f>кр!AI24</f>
        <v>319.6962838093471</v>
      </c>
      <c r="AK12" s="99">
        <f>кр!AJ24</f>
        <v>315.601206563965</v>
      </c>
      <c r="AL12" s="99">
        <f>кр!AK24</f>
        <v>311.48224136798484</v>
      </c>
      <c r="AM12" s="99">
        <f>кр!AL24</f>
        <v>307.3392488750281</v>
      </c>
      <c r="AN12" s="99">
        <f>кр!AM24</f>
        <v>303.1720889258625</v>
      </c>
      <c r="AO12" s="99">
        <f>кр!AN24</f>
        <v>298.98062054366005</v>
      </c>
      <c r="AP12" s="97">
        <f t="shared" si="8"/>
        <v>3859.125644834917</v>
      </c>
      <c r="AQ12" s="99">
        <f>кр!BB24</f>
        <v>3251.7885788894564</v>
      </c>
      <c r="AR12" s="99">
        <f>кр!BO24</f>
        <v>2600.54706733981</v>
      </c>
      <c r="AS12" s="99">
        <f>кр!CB24</f>
        <v>1902.2272542633027</v>
      </c>
      <c r="AT12" s="99">
        <f>кр!CO24</f>
        <v>1153.425845435983</v>
      </c>
      <c r="AU12" s="99">
        <f>кр!DB24</f>
        <v>353.3427483950859</v>
      </c>
    </row>
    <row r="13" spans="1:47" ht="15" customHeight="1">
      <c r="A13" s="101" t="s">
        <v>202</v>
      </c>
      <c r="B13" s="96">
        <f>P13+AC13+AP13+AQ13+AR13+AS13+AT13+AU13</f>
        <v>280201.82742477354</v>
      </c>
      <c r="C13" s="100"/>
      <c r="D13" s="99">
        <f>D9-D10-D12-D11</f>
        <v>0</v>
      </c>
      <c r="E13" s="99">
        <f aca="true" t="shared" si="9" ref="E13:O13">E9-E10-E12-E11</f>
        <v>0</v>
      </c>
      <c r="F13" s="99">
        <f t="shared" si="9"/>
        <v>0</v>
      </c>
      <c r="G13" s="99">
        <f t="shared" si="9"/>
        <v>0</v>
      </c>
      <c r="H13" s="99">
        <f t="shared" si="9"/>
        <v>0</v>
      </c>
      <c r="I13" s="99">
        <f t="shared" si="9"/>
        <v>0</v>
      </c>
      <c r="J13" s="99">
        <f t="shared" si="9"/>
        <v>0</v>
      </c>
      <c r="K13" s="99">
        <f t="shared" si="9"/>
        <v>0</v>
      </c>
      <c r="L13" s="99">
        <f t="shared" si="9"/>
        <v>0</v>
      </c>
      <c r="M13" s="99">
        <f t="shared" si="9"/>
        <v>0</v>
      </c>
      <c r="N13" s="99">
        <f t="shared" si="9"/>
        <v>-169.70800000000003</v>
      </c>
      <c r="O13" s="99">
        <f t="shared" si="9"/>
        <v>-354.9928666666667</v>
      </c>
      <c r="P13" s="97">
        <f t="shared" si="6"/>
        <v>-524.7008666666668</v>
      </c>
      <c r="Q13" s="99">
        <f aca="true" t="shared" si="10" ref="Q13:AB13">Q9-Q10-Q12-Q11</f>
        <v>-2198.825544583332</v>
      </c>
      <c r="R13" s="99">
        <f t="shared" si="10"/>
        <v>-2201.7954345833323</v>
      </c>
      <c r="S13" s="99">
        <f t="shared" si="10"/>
        <v>-2205.0379197499988</v>
      </c>
      <c r="T13" s="99">
        <f t="shared" si="10"/>
        <v>73.57254900000231</v>
      </c>
      <c r="U13" s="99">
        <f t="shared" si="10"/>
        <v>73.57254900000231</v>
      </c>
      <c r="V13" s="99">
        <f t="shared" si="10"/>
        <v>73.57254900000231</v>
      </c>
      <c r="W13" s="99">
        <f t="shared" si="10"/>
        <v>73.57254900000231</v>
      </c>
      <c r="X13" s="99">
        <f t="shared" si="10"/>
        <v>73.57254900000231</v>
      </c>
      <c r="Y13" s="99">
        <f t="shared" si="10"/>
        <v>75.41448748414842</v>
      </c>
      <c r="Z13" s="99">
        <f t="shared" si="10"/>
        <v>79.27817378221476</v>
      </c>
      <c r="AA13" s="99">
        <f t="shared" si="10"/>
        <v>83.16439825035326</v>
      </c>
      <c r="AB13" s="99">
        <f t="shared" si="10"/>
        <v>87.0732923612224</v>
      </c>
      <c r="AC13" s="97">
        <f t="shared" si="7"/>
        <v>-5912.865802038713</v>
      </c>
      <c r="AD13" s="99">
        <f aca="true" t="shared" si="11" ref="AD13:AO13">AD9-AD10-AD12-AD11</f>
        <v>2381.44261971155</v>
      </c>
      <c r="AE13" s="99">
        <f t="shared" si="11"/>
        <v>2385.3972505980264</v>
      </c>
      <c r="AF13" s="99">
        <f t="shared" si="11"/>
        <v>2389.3749501646735</v>
      </c>
      <c r="AG13" s="99">
        <f t="shared" si="11"/>
        <v>2393.375852978793</v>
      </c>
      <c r="AH13" s="99">
        <f t="shared" si="11"/>
        <v>2397.4000943926612</v>
      </c>
      <c r="AI13" s="99">
        <f t="shared" si="11"/>
        <v>2401.4478105481107</v>
      </c>
      <c r="AJ13" s="99">
        <f t="shared" si="11"/>
        <v>2405.5191383811334</v>
      </c>
      <c r="AK13" s="99">
        <f t="shared" si="11"/>
        <v>2409.614215626516</v>
      </c>
      <c r="AL13" s="99">
        <f t="shared" si="11"/>
        <v>2413.733180822496</v>
      </c>
      <c r="AM13" s="99">
        <f t="shared" si="11"/>
        <v>2417.8761733154524</v>
      </c>
      <c r="AN13" s="99">
        <f t="shared" si="11"/>
        <v>2422.043333264618</v>
      </c>
      <c r="AO13" s="99">
        <f t="shared" si="11"/>
        <v>2426.2348016468204</v>
      </c>
      <c r="AP13" s="97">
        <f t="shared" si="8"/>
        <v>28843.45942145085</v>
      </c>
      <c r="AQ13" s="99">
        <f>AQ9-AQ10-AQ12-AQ11</f>
        <v>42763.67692999631</v>
      </c>
      <c r="AR13" s="99">
        <f>AR9-AR10-AR12-AR11</f>
        <v>47237.35053127596</v>
      </c>
      <c r="AS13" s="99">
        <f>AS9-AS10-AS12-AS11</f>
        <v>51636.728888569</v>
      </c>
      <c r="AT13" s="99">
        <f>AT9-AT10-AT12-AT11</f>
        <v>55959.146618823615</v>
      </c>
      <c r="AU13" s="99">
        <f>AU9-AU10-AU12-AU11</f>
        <v>60199.03170336321</v>
      </c>
    </row>
    <row r="14" spans="1:47" ht="15" customHeight="1">
      <c r="A14" s="101" t="s">
        <v>213</v>
      </c>
      <c r="B14" s="96">
        <f>P14+AC14+AP14+AQ14+AR14+AS14+AT14+AU14</f>
        <v>56040.36548495472</v>
      </c>
      <c r="C14" s="97"/>
      <c r="D14" s="132">
        <f>IF(D13+C16&lt;0,0,IF(C16&lt;0,(C16+D13)*Исх!$C$20,D13*Исх!$C$20))</f>
        <v>0</v>
      </c>
      <c r="E14" s="132">
        <f>IF(E13+D16&lt;0,0,IF(D16&lt;0,(D16+E13)*Исх!$C$20,E13*Исх!$C$20))</f>
        <v>0</v>
      </c>
      <c r="F14" s="132">
        <f>IF(F13+E16&lt;0,0,IF(E16&lt;0,(E16+F13)*Исх!$C$20,F13*Исх!$C$20))</f>
        <v>0</v>
      </c>
      <c r="G14" s="132">
        <f>IF(G13+F16&lt;0,0,IF(F16&lt;0,(F16+G13)*Исх!$C$20,G13*Исх!$C$20))</f>
        <v>0</v>
      </c>
      <c r="H14" s="132">
        <f>IF(H13+G16&lt;0,0,IF(G16&lt;0,(G16+H13)*Исх!$C$20,H13*Исх!$C$20))</f>
        <v>0</v>
      </c>
      <c r="I14" s="132">
        <f>IF(I13+H16&lt;0,0,IF(H16&lt;0,(H16+I13)*Исх!$C$20,I13*Исх!$C$20))</f>
        <v>0</v>
      </c>
      <c r="J14" s="132">
        <f>IF(J13+I16&lt;0,0,IF(I16&lt;0,(I16+J13)*Исх!$C$20,J13*Исх!$C$20))</f>
        <v>0</v>
      </c>
      <c r="K14" s="132">
        <f>IF(K13+J16&lt;0,0,IF(J16&lt;0,(J16+K13)*Исх!$C$20,K13*Исх!$C$20))</f>
        <v>0</v>
      </c>
      <c r="L14" s="132">
        <f>IF(L13+K16&lt;0,0,IF(K16&lt;0,(K16+L13)*Исх!$C$20,L13*Исх!$C$20))</f>
        <v>0</v>
      </c>
      <c r="M14" s="132">
        <f>IF(M13+L16&lt;0,0,IF(L16&lt;0,(L16+M13)*Исх!$C$20,M13*Исх!$C$20))</f>
        <v>0</v>
      </c>
      <c r="N14" s="132">
        <f>IF(N13+M16&lt;0,0,IF(M16&lt;0,(M16+N13)*Исх!$C$20,N13*Исх!$C$20))</f>
        <v>0</v>
      </c>
      <c r="O14" s="132">
        <f>IF(O13+N16&lt;0,0,IF(N16&lt;0,(N16+O13)*Исх!$C$20,O13*Исх!$C$20))</f>
        <v>0</v>
      </c>
      <c r="P14" s="97">
        <f t="shared" si="6"/>
        <v>0</v>
      </c>
      <c r="Q14" s="132">
        <f>IF(Q13+P16&lt;0,0,IF(P16&lt;0,(P16+Q13)*Исх!$C$20,Q13*Исх!$C$20))</f>
        <v>0</v>
      </c>
      <c r="R14" s="132">
        <f>IF(R13+Q16&lt;0,0,IF(Q16&lt;0,(Q16+R13)*Исх!$C$20,R13*Исх!$C$20))</f>
        <v>0</v>
      </c>
      <c r="S14" s="132">
        <f>IF(S13+R16&lt;0,0,IF(R16&lt;0,(R16+S13)*Исх!$C$20,S13*Исх!$C$20))</f>
        <v>0</v>
      </c>
      <c r="T14" s="132">
        <f>IF(T13+S16&lt;0,0,IF(S16&lt;0,(S16+T13)*Исх!$C$20,T13*Исх!$C$20))</f>
        <v>0</v>
      </c>
      <c r="U14" s="132">
        <f>IF(U13+T16&lt;0,0,IF(T16&lt;0,(T16+U13)*Исх!$C$20,U13*Исх!$C$20))</f>
        <v>0</v>
      </c>
      <c r="V14" s="132">
        <f>IF(V13+U16&lt;0,0,IF(U16&lt;0,(U16+V13)*Исх!$C$20,V13*Исх!$C$20))</f>
        <v>0</v>
      </c>
      <c r="W14" s="132">
        <f>IF(W13+V16&lt;0,0,IF(V16&lt;0,(V16+W13)*Исх!$C$20,W13*Исх!$C$20))</f>
        <v>0</v>
      </c>
      <c r="X14" s="132">
        <f>IF(X13+W16&lt;0,0,IF(W16&lt;0,(W16+X13)*Исх!$C$20,X13*Исх!$C$20))</f>
        <v>0</v>
      </c>
      <c r="Y14" s="132">
        <f>IF(Y13+X16&lt;0,0,IF(X16&lt;0,(X16+Y13)*Исх!$C$20,Y13*Исх!$C$20))</f>
        <v>0</v>
      </c>
      <c r="Z14" s="132">
        <f>IF(Z13+Y16&lt;0,0,IF(Y16&lt;0,(Y16+Z13)*Исх!$C$20,Z13*Исх!$C$20))</f>
        <v>0</v>
      </c>
      <c r="AA14" s="132">
        <f>IF(AA13+Z16&lt;0,0,IF(Z16&lt;0,(Z16+AA13)*Исх!$C$20,AA13*Исх!$C$20))</f>
        <v>0</v>
      </c>
      <c r="AB14" s="132">
        <f>IF(AB13+AA16&lt;0,0,IF(AA16&lt;0,(AA16+AB13)*Исх!$C$20,AB13*Исх!$C$20))</f>
        <v>0</v>
      </c>
      <c r="AC14" s="97">
        <f t="shared" si="7"/>
        <v>0</v>
      </c>
      <c r="AD14" s="132">
        <f>IF(AD13+AC16&lt;0,0,IF(AC16&lt;0,(AC16+AD13)*Исх!$C$20,AD13*Исх!$C$20))</f>
        <v>0</v>
      </c>
      <c r="AE14" s="132">
        <f>IF(AE13+AD16&lt;0,0,IF(AD16&lt;0,(AD16+AE13)*Исх!$C$20,AE13*Исх!$C$20))</f>
        <v>0</v>
      </c>
      <c r="AF14" s="132">
        <f>IF(AF13+AE16&lt;0,0,IF(AE16&lt;0,(AE16+AF13)*Исх!$C$20,AF13*Исх!$C$20))</f>
        <v>143.72963035377398</v>
      </c>
      <c r="AG14" s="132">
        <f>IF(AG13+AF16&lt;0,0,IF(AF16&lt;0,(AF16+AG13)*Исх!$C$20,AG13*Исх!$C$20))</f>
        <v>478.6751705957586</v>
      </c>
      <c r="AH14" s="132">
        <f>IF(AH13+AG16&lt;0,0,IF(AG16&lt;0,(AG16+AH13)*Исх!$C$20,AH13*Исх!$C$20))</f>
        <v>479.4800188785323</v>
      </c>
      <c r="AI14" s="132">
        <f>IF(AI13+AH16&lt;0,0,IF(AH16&lt;0,(AH16+AI13)*Исх!$C$20,AI13*Исх!$C$20))</f>
        <v>480.2895621096222</v>
      </c>
      <c r="AJ14" s="132">
        <f>IF(AJ13+AI16&lt;0,0,IF(AI16&lt;0,(AI16+AJ13)*Исх!$C$20,AJ13*Исх!$C$20))</f>
        <v>481.10382767622673</v>
      </c>
      <c r="AK14" s="132">
        <f>IF(AK13+AJ16&lt;0,0,IF(AJ16&lt;0,(AJ16+AK13)*Исх!$C$20,AK13*Исх!$C$20))</f>
        <v>481.9228431253032</v>
      </c>
      <c r="AL14" s="132">
        <f>IF(AL13+AK16&lt;0,0,IF(AK16&lt;0,(AK16+AL13)*Исх!$C$20,AL13*Исх!$C$20))</f>
        <v>482.7466361644992</v>
      </c>
      <c r="AM14" s="132">
        <f>IF(AM13+AL16&lt;0,0,IF(AL16&lt;0,(AL16+AM13)*Исх!$C$20,AM13*Исх!$C$20))</f>
        <v>483.5752346630905</v>
      </c>
      <c r="AN14" s="132">
        <f>IF(AN13+AM16&lt;0,0,IF(AM16&lt;0,(AM16+AN13)*Исх!$C$20,AN13*Исх!$C$20))</f>
        <v>484.4086666529236</v>
      </c>
      <c r="AO14" s="132">
        <f>IF(AO13+AN16&lt;0,0,IF(AN16&lt;0,(AN16+AO13)*Исх!$C$20,AO13*Исх!$C$20))</f>
        <v>485.24696032936413</v>
      </c>
      <c r="AP14" s="97">
        <f t="shared" si="8"/>
        <v>4481.178550549094</v>
      </c>
      <c r="AQ14" s="132">
        <f>IF(AQ13+AP16&lt;0,0,IF(AP16&lt;0,(AP16+AQ13)*Исх!$C$20,AQ13*Исх!$C$20))</f>
        <v>8552.735385999264</v>
      </c>
      <c r="AR14" s="132">
        <f>IF(AR13+AQ16&lt;0,0,IF(AQ16&lt;0,(AQ16+AR13)*Исх!$C$20,AR13*Исх!$C$20))</f>
        <v>9447.470106255192</v>
      </c>
      <c r="AS14" s="132">
        <f>IF(AS13+AR16&lt;0,0,IF(AR16&lt;0,(AR16+AS13)*Исх!$C$20,AS13*Исх!$C$20))</f>
        <v>10327.345777713801</v>
      </c>
      <c r="AT14" s="132">
        <f>IF(AT13+AS16&lt;0,0,IF(AS16&lt;0,(AS16+AT13)*Исх!$C$20,AT13*Исх!$C$20))</f>
        <v>11191.829323764723</v>
      </c>
      <c r="AU14" s="132">
        <f>IF(AU13+AT16&lt;0,0,IF(AT16&lt;0,(AT16+AU13)*Исх!$C$20,AU13*Исх!$C$20))</f>
        <v>12039.806340672643</v>
      </c>
    </row>
    <row r="15" spans="1:47" ht="15" customHeight="1">
      <c r="A15" s="101" t="s">
        <v>4</v>
      </c>
      <c r="B15" s="96">
        <f>B13-B14</f>
        <v>224161.4619398188</v>
      </c>
      <c r="C15" s="100"/>
      <c r="D15" s="99">
        <f aca="true" t="shared" si="12" ref="D15:Q15">D13-D14</f>
        <v>0</v>
      </c>
      <c r="E15" s="99">
        <f>E13-E14</f>
        <v>0</v>
      </c>
      <c r="F15" s="99">
        <f t="shared" si="12"/>
        <v>0</v>
      </c>
      <c r="G15" s="99">
        <f t="shared" si="12"/>
        <v>0</v>
      </c>
      <c r="H15" s="99">
        <f t="shared" si="12"/>
        <v>0</v>
      </c>
      <c r="I15" s="99">
        <f t="shared" si="12"/>
        <v>0</v>
      </c>
      <c r="J15" s="99">
        <f t="shared" si="12"/>
        <v>0</v>
      </c>
      <c r="K15" s="99">
        <f t="shared" si="12"/>
        <v>0</v>
      </c>
      <c r="L15" s="99">
        <f t="shared" si="12"/>
        <v>0</v>
      </c>
      <c r="M15" s="99">
        <f t="shared" si="12"/>
        <v>0</v>
      </c>
      <c r="N15" s="99">
        <f t="shared" si="12"/>
        <v>-169.70800000000003</v>
      </c>
      <c r="O15" s="99">
        <f t="shared" si="12"/>
        <v>-354.9928666666667</v>
      </c>
      <c r="P15" s="97">
        <f t="shared" si="6"/>
        <v>-524.7008666666668</v>
      </c>
      <c r="Q15" s="99">
        <f t="shared" si="12"/>
        <v>-2198.825544583332</v>
      </c>
      <c r="R15" s="99">
        <f aca="true" t="shared" si="13" ref="R15:AR15">R13-R14</f>
        <v>-2201.7954345833323</v>
      </c>
      <c r="S15" s="99">
        <f t="shared" si="13"/>
        <v>-2205.0379197499988</v>
      </c>
      <c r="T15" s="99">
        <f t="shared" si="13"/>
        <v>73.57254900000231</v>
      </c>
      <c r="U15" s="99">
        <f t="shared" si="13"/>
        <v>73.57254900000231</v>
      </c>
      <c r="V15" s="99">
        <f t="shared" si="13"/>
        <v>73.57254900000231</v>
      </c>
      <c r="W15" s="99">
        <f t="shared" si="13"/>
        <v>73.57254900000231</v>
      </c>
      <c r="X15" s="99">
        <f t="shared" si="13"/>
        <v>73.57254900000231</v>
      </c>
      <c r="Y15" s="99">
        <f t="shared" si="13"/>
        <v>75.41448748414842</v>
      </c>
      <c r="Z15" s="99">
        <f t="shared" si="13"/>
        <v>79.27817378221476</v>
      </c>
      <c r="AA15" s="99">
        <f t="shared" si="13"/>
        <v>83.16439825035326</v>
      </c>
      <c r="AB15" s="99">
        <f t="shared" si="13"/>
        <v>87.0732923612224</v>
      </c>
      <c r="AC15" s="97">
        <f t="shared" si="7"/>
        <v>-5912.865802038713</v>
      </c>
      <c r="AD15" s="99">
        <f aca="true" t="shared" si="14" ref="AD15:AO15">AD13-AD14</f>
        <v>2381.44261971155</v>
      </c>
      <c r="AE15" s="99">
        <f t="shared" si="14"/>
        <v>2385.3972505980264</v>
      </c>
      <c r="AF15" s="99">
        <f t="shared" si="14"/>
        <v>2245.6453198108993</v>
      </c>
      <c r="AG15" s="99">
        <f t="shared" si="14"/>
        <v>1914.7006823830343</v>
      </c>
      <c r="AH15" s="99">
        <f t="shared" si="14"/>
        <v>1917.920075514129</v>
      </c>
      <c r="AI15" s="99">
        <f t="shared" si="14"/>
        <v>1921.1582484384885</v>
      </c>
      <c r="AJ15" s="99">
        <f t="shared" si="14"/>
        <v>1924.4153107049067</v>
      </c>
      <c r="AK15" s="99">
        <f t="shared" si="14"/>
        <v>1927.6913725012128</v>
      </c>
      <c r="AL15" s="99">
        <f t="shared" si="14"/>
        <v>1930.9865446579965</v>
      </c>
      <c r="AM15" s="99">
        <f t="shared" si="14"/>
        <v>1934.300938652362</v>
      </c>
      <c r="AN15" s="99">
        <f t="shared" si="14"/>
        <v>1937.6346666116945</v>
      </c>
      <c r="AO15" s="99">
        <f t="shared" si="14"/>
        <v>1940.9878413174563</v>
      </c>
      <c r="AP15" s="97">
        <f t="shared" si="8"/>
        <v>24362.280870901755</v>
      </c>
      <c r="AQ15" s="99">
        <f t="shared" si="13"/>
        <v>34210.94154399705</v>
      </c>
      <c r="AR15" s="99">
        <f t="shared" si="13"/>
        <v>37789.88042502077</v>
      </c>
      <c r="AS15" s="99">
        <f>AS13-AS14</f>
        <v>41309.3831108552</v>
      </c>
      <c r="AT15" s="99">
        <f>AT13-AT14</f>
        <v>44767.31729505889</v>
      </c>
      <c r="AU15" s="99">
        <f>AU13-AU14</f>
        <v>48159.225362690566</v>
      </c>
    </row>
    <row r="16" spans="1:47" ht="15" customHeight="1">
      <c r="A16" s="101" t="s">
        <v>32</v>
      </c>
      <c r="B16" s="102">
        <f>AU16</f>
        <v>224161.46193981884</v>
      </c>
      <c r="C16" s="103"/>
      <c r="D16" s="99">
        <f>C16+D15</f>
        <v>0</v>
      </c>
      <c r="E16" s="99">
        <f>D16+E15</f>
        <v>0</v>
      </c>
      <c r="F16" s="99">
        <f aca="true" t="shared" si="15" ref="F16:O16">E16+F15</f>
        <v>0</v>
      </c>
      <c r="G16" s="99">
        <f t="shared" si="15"/>
        <v>0</v>
      </c>
      <c r="H16" s="99">
        <f t="shared" si="15"/>
        <v>0</v>
      </c>
      <c r="I16" s="99">
        <f t="shared" si="15"/>
        <v>0</v>
      </c>
      <c r="J16" s="99">
        <f t="shared" si="15"/>
        <v>0</v>
      </c>
      <c r="K16" s="99">
        <f t="shared" si="15"/>
        <v>0</v>
      </c>
      <c r="L16" s="99">
        <f t="shared" si="15"/>
        <v>0</v>
      </c>
      <c r="M16" s="99">
        <f t="shared" si="15"/>
        <v>0</v>
      </c>
      <c r="N16" s="99">
        <f t="shared" si="15"/>
        <v>-169.70800000000003</v>
      </c>
      <c r="O16" s="99">
        <f t="shared" si="15"/>
        <v>-524.7008666666668</v>
      </c>
      <c r="P16" s="97">
        <f>O16</f>
        <v>-524.7008666666668</v>
      </c>
      <c r="Q16" s="99">
        <f>P16+Q15</f>
        <v>-2723.526411249999</v>
      </c>
      <c r="R16" s="99">
        <f aca="true" t="shared" si="16" ref="R16:AA16">Q16+R15</f>
        <v>-4925.321845833331</v>
      </c>
      <c r="S16" s="99">
        <f t="shared" si="16"/>
        <v>-7130.35976558333</v>
      </c>
      <c r="T16" s="99">
        <f t="shared" si="16"/>
        <v>-7056.787216583328</v>
      </c>
      <c r="U16" s="99">
        <f t="shared" si="16"/>
        <v>-6983.2146675833255</v>
      </c>
      <c r="V16" s="99">
        <f t="shared" si="16"/>
        <v>-6909.642118583323</v>
      </c>
      <c r="W16" s="99">
        <f t="shared" si="16"/>
        <v>-6836.069569583321</v>
      </c>
      <c r="X16" s="99">
        <f t="shared" si="16"/>
        <v>-6762.497020583319</v>
      </c>
      <c r="Y16" s="99">
        <f t="shared" si="16"/>
        <v>-6687.08253309917</v>
      </c>
      <c r="Z16" s="99">
        <f t="shared" si="16"/>
        <v>-6607.804359316955</v>
      </c>
      <c r="AA16" s="99">
        <f t="shared" si="16"/>
        <v>-6524.639961066602</v>
      </c>
      <c r="AB16" s="99">
        <f>AA16+AB15</f>
        <v>-6437.56666870538</v>
      </c>
      <c r="AC16" s="97">
        <f>AB16</f>
        <v>-6437.56666870538</v>
      </c>
      <c r="AD16" s="99">
        <f aca="true" t="shared" si="17" ref="AD16:AO16">AC16+AD15</f>
        <v>-4056.12404899383</v>
      </c>
      <c r="AE16" s="99">
        <f t="shared" si="17"/>
        <v>-1670.7267983958036</v>
      </c>
      <c r="AF16" s="99">
        <f t="shared" si="17"/>
        <v>574.9185214150957</v>
      </c>
      <c r="AG16" s="99">
        <f t="shared" si="17"/>
        <v>2489.61920379813</v>
      </c>
      <c r="AH16" s="99">
        <f t="shared" si="17"/>
        <v>4407.539279312259</v>
      </c>
      <c r="AI16" s="99">
        <f t="shared" si="17"/>
        <v>6328.697527750748</v>
      </c>
      <c r="AJ16" s="99">
        <f t="shared" si="17"/>
        <v>8253.112838455654</v>
      </c>
      <c r="AK16" s="99">
        <f t="shared" si="17"/>
        <v>10180.804210956867</v>
      </c>
      <c r="AL16" s="99">
        <f t="shared" si="17"/>
        <v>12111.790755614864</v>
      </c>
      <c r="AM16" s="99">
        <f t="shared" si="17"/>
        <v>14046.091694267227</v>
      </c>
      <c r="AN16" s="99">
        <f t="shared" si="17"/>
        <v>15983.726360878922</v>
      </c>
      <c r="AO16" s="99">
        <f t="shared" si="17"/>
        <v>17924.714202196377</v>
      </c>
      <c r="AP16" s="97">
        <f>AO16</f>
        <v>17924.714202196377</v>
      </c>
      <c r="AQ16" s="99">
        <f>AP16+AQ15</f>
        <v>52135.65574619343</v>
      </c>
      <c r="AR16" s="99">
        <f>AQ16+AR15</f>
        <v>89925.53617121419</v>
      </c>
      <c r="AS16" s="99">
        <f>AR16+AS15</f>
        <v>131234.91928206937</v>
      </c>
      <c r="AT16" s="99">
        <f>AS16+AT15</f>
        <v>176002.23657712826</v>
      </c>
      <c r="AU16" s="99">
        <f>AT16+AU15</f>
        <v>224161.46193981884</v>
      </c>
    </row>
    <row r="17" spans="1:190" ht="1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</row>
    <row r="18" spans="1:47" ht="12.75">
      <c r="A18" s="106" t="s">
        <v>53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60" s="110" customFormat="1" ht="12.75">
      <c r="A19" s="332" t="s">
        <v>3</v>
      </c>
      <c r="B19" s="335" t="s">
        <v>89</v>
      </c>
      <c r="C19" s="107"/>
      <c r="D19" s="325">
        <f>D3</f>
        <v>2013</v>
      </c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8"/>
      <c r="Q19" s="325">
        <f>Q3</f>
        <v>2014</v>
      </c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8"/>
      <c r="AD19" s="324">
        <f>AD3</f>
        <v>2015</v>
      </c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6"/>
      <c r="AQ19" s="108">
        <f>AQ3</f>
        <v>2016</v>
      </c>
      <c r="AR19" s="108">
        <f>AR3</f>
        <v>2017</v>
      </c>
      <c r="AS19" s="108">
        <f>AS3</f>
        <v>2018</v>
      </c>
      <c r="AT19" s="108">
        <f>AT3</f>
        <v>2019</v>
      </c>
      <c r="AU19" s="108">
        <f>AU3</f>
        <v>2020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</row>
    <row r="20" spans="1:60" s="110" customFormat="1" ht="12.75">
      <c r="A20" s="333"/>
      <c r="B20" s="336"/>
      <c r="C20" s="111"/>
      <c r="D20" s="112">
        <f>D4</f>
        <v>1</v>
      </c>
      <c r="E20" s="112">
        <f aca="true" t="shared" si="18" ref="E20:O20">E4</f>
        <v>2</v>
      </c>
      <c r="F20" s="112">
        <f t="shared" si="18"/>
        <v>3</v>
      </c>
      <c r="G20" s="112">
        <f t="shared" si="18"/>
        <v>4</v>
      </c>
      <c r="H20" s="112">
        <f t="shared" si="18"/>
        <v>5</v>
      </c>
      <c r="I20" s="112">
        <f t="shared" si="18"/>
        <v>6</v>
      </c>
      <c r="J20" s="112">
        <f t="shared" si="18"/>
        <v>7</v>
      </c>
      <c r="K20" s="112">
        <f t="shared" si="18"/>
        <v>8</v>
      </c>
      <c r="L20" s="112">
        <f t="shared" si="18"/>
        <v>9</v>
      </c>
      <c r="M20" s="112">
        <f t="shared" si="18"/>
        <v>10</v>
      </c>
      <c r="N20" s="112">
        <f t="shared" si="18"/>
        <v>11</v>
      </c>
      <c r="O20" s="112">
        <f t="shared" si="18"/>
        <v>12</v>
      </c>
      <c r="P20" s="113" t="s">
        <v>0</v>
      </c>
      <c r="Q20" s="112">
        <f>Q4</f>
        <v>1</v>
      </c>
      <c r="R20" s="112">
        <f aca="true" t="shared" si="19" ref="R20:AB20">R4</f>
        <v>2</v>
      </c>
      <c r="S20" s="112">
        <f t="shared" si="19"/>
        <v>3</v>
      </c>
      <c r="T20" s="112">
        <f t="shared" si="19"/>
        <v>4</v>
      </c>
      <c r="U20" s="112">
        <f t="shared" si="19"/>
        <v>5</v>
      </c>
      <c r="V20" s="112">
        <f t="shared" si="19"/>
        <v>6</v>
      </c>
      <c r="W20" s="112">
        <f t="shared" si="19"/>
        <v>7</v>
      </c>
      <c r="X20" s="112">
        <f t="shared" si="19"/>
        <v>8</v>
      </c>
      <c r="Y20" s="112">
        <f t="shared" si="19"/>
        <v>9</v>
      </c>
      <c r="Z20" s="112">
        <f t="shared" si="19"/>
        <v>10</v>
      </c>
      <c r="AA20" s="112">
        <f t="shared" si="19"/>
        <v>11</v>
      </c>
      <c r="AB20" s="112">
        <f t="shared" si="19"/>
        <v>12</v>
      </c>
      <c r="AC20" s="113" t="s">
        <v>0</v>
      </c>
      <c r="AD20" s="112">
        <f>AD4</f>
        <v>1</v>
      </c>
      <c r="AE20" s="112">
        <f aca="true" t="shared" si="20" ref="AE20:AO20">AE4</f>
        <v>2</v>
      </c>
      <c r="AF20" s="112">
        <f t="shared" si="20"/>
        <v>3</v>
      </c>
      <c r="AG20" s="112">
        <f t="shared" si="20"/>
        <v>4</v>
      </c>
      <c r="AH20" s="112">
        <f t="shared" si="20"/>
        <v>5</v>
      </c>
      <c r="AI20" s="112">
        <f t="shared" si="20"/>
        <v>6</v>
      </c>
      <c r="AJ20" s="112">
        <f t="shared" si="20"/>
        <v>7</v>
      </c>
      <c r="AK20" s="112">
        <f t="shared" si="20"/>
        <v>8</v>
      </c>
      <c r="AL20" s="112">
        <f t="shared" si="20"/>
        <v>9</v>
      </c>
      <c r="AM20" s="112">
        <f t="shared" si="20"/>
        <v>10</v>
      </c>
      <c r="AN20" s="112">
        <f t="shared" si="20"/>
        <v>11</v>
      </c>
      <c r="AO20" s="112">
        <f t="shared" si="20"/>
        <v>12</v>
      </c>
      <c r="AP20" s="113" t="s">
        <v>0</v>
      </c>
      <c r="AQ20" s="113" t="s">
        <v>111</v>
      </c>
      <c r="AR20" s="113" t="s">
        <v>111</v>
      </c>
      <c r="AS20" s="113" t="s">
        <v>111</v>
      </c>
      <c r="AT20" s="113" t="s">
        <v>111</v>
      </c>
      <c r="AU20" s="113" t="s">
        <v>111</v>
      </c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</row>
    <row r="21" spans="1:60" s="110" customFormat="1" ht="12.7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</row>
    <row r="22" spans="1:60" s="110" customFormat="1" ht="12.75">
      <c r="A22" s="114" t="s">
        <v>162</v>
      </c>
      <c r="B22" s="96">
        <f>P22+AC22+AP22+AQ22+AR22+AS22+AT22+AU22</f>
        <v>287216.634375</v>
      </c>
      <c r="C22" s="116"/>
      <c r="D22" s="116">
        <f aca="true" t="shared" si="21" ref="D22:O22">D5*ндс</f>
        <v>0</v>
      </c>
      <c r="E22" s="116">
        <f t="shared" si="21"/>
        <v>0</v>
      </c>
      <c r="F22" s="116">
        <f t="shared" si="21"/>
        <v>0</v>
      </c>
      <c r="G22" s="116">
        <f t="shared" si="21"/>
        <v>0</v>
      </c>
      <c r="H22" s="116">
        <f t="shared" si="21"/>
        <v>0</v>
      </c>
      <c r="I22" s="116">
        <f t="shared" si="21"/>
        <v>0</v>
      </c>
      <c r="J22" s="116">
        <f t="shared" si="21"/>
        <v>0</v>
      </c>
      <c r="K22" s="116">
        <f t="shared" si="21"/>
        <v>0</v>
      </c>
      <c r="L22" s="116">
        <f t="shared" si="21"/>
        <v>0</v>
      </c>
      <c r="M22" s="116">
        <f t="shared" si="21"/>
        <v>0</v>
      </c>
      <c r="N22" s="116">
        <f t="shared" si="21"/>
        <v>0</v>
      </c>
      <c r="O22" s="116">
        <f t="shared" si="21"/>
        <v>0</v>
      </c>
      <c r="P22" s="117">
        <f>SUM(D22:O22)</f>
        <v>0</v>
      </c>
      <c r="Q22" s="116">
        <f aca="true" t="shared" si="22" ref="Q22:AB22">Q5*ндс</f>
        <v>942.046875</v>
      </c>
      <c r="R22" s="116">
        <f t="shared" si="22"/>
        <v>942.046875</v>
      </c>
      <c r="S22" s="116">
        <f t="shared" si="22"/>
        <v>942.046875</v>
      </c>
      <c r="T22" s="116">
        <f t="shared" si="22"/>
        <v>1884.09375</v>
      </c>
      <c r="U22" s="116">
        <f t="shared" si="22"/>
        <v>1884.09375</v>
      </c>
      <c r="V22" s="116">
        <f t="shared" si="22"/>
        <v>1884.09375</v>
      </c>
      <c r="W22" s="116">
        <f t="shared" si="22"/>
        <v>1884.09375</v>
      </c>
      <c r="X22" s="116">
        <f t="shared" si="22"/>
        <v>1884.09375</v>
      </c>
      <c r="Y22" s="116">
        <f t="shared" si="22"/>
        <v>1884.09375</v>
      </c>
      <c r="Z22" s="116">
        <f t="shared" si="22"/>
        <v>1884.09375</v>
      </c>
      <c r="AA22" s="116">
        <f t="shared" si="22"/>
        <v>1884.09375</v>
      </c>
      <c r="AB22" s="116">
        <f t="shared" si="22"/>
        <v>1884.09375</v>
      </c>
      <c r="AC22" s="117">
        <f>SUM(Q22:AB22)</f>
        <v>19782.984375</v>
      </c>
      <c r="AD22" s="116">
        <f aca="true" t="shared" si="23" ref="AD22:AO22">AD5*ндс</f>
        <v>2906.8875</v>
      </c>
      <c r="AE22" s="116">
        <f t="shared" si="23"/>
        <v>2906.8875</v>
      </c>
      <c r="AF22" s="116">
        <f t="shared" si="23"/>
        <v>2906.8875</v>
      </c>
      <c r="AG22" s="116">
        <f t="shared" si="23"/>
        <v>2906.8875</v>
      </c>
      <c r="AH22" s="116">
        <f t="shared" si="23"/>
        <v>2906.8875</v>
      </c>
      <c r="AI22" s="116">
        <f t="shared" si="23"/>
        <v>2906.8875</v>
      </c>
      <c r="AJ22" s="116">
        <f t="shared" si="23"/>
        <v>2906.8875</v>
      </c>
      <c r="AK22" s="116">
        <f t="shared" si="23"/>
        <v>2906.8875</v>
      </c>
      <c r="AL22" s="116">
        <f t="shared" si="23"/>
        <v>2906.8875</v>
      </c>
      <c r="AM22" s="116">
        <f t="shared" si="23"/>
        <v>2906.8875</v>
      </c>
      <c r="AN22" s="116">
        <f t="shared" si="23"/>
        <v>2906.8875</v>
      </c>
      <c r="AO22" s="116">
        <f t="shared" si="23"/>
        <v>2906.8875</v>
      </c>
      <c r="AP22" s="117">
        <f>SUM(AD22:AO22)</f>
        <v>34882.65</v>
      </c>
      <c r="AQ22" s="116">
        <f>AQ5*ндс</f>
        <v>41342.4</v>
      </c>
      <c r="AR22" s="116">
        <f>AR5*ндс</f>
        <v>43926.299999999996</v>
      </c>
      <c r="AS22" s="116">
        <f>AS5*ндс</f>
        <v>46510.2</v>
      </c>
      <c r="AT22" s="116">
        <f>AT5*ндс</f>
        <v>49094.1</v>
      </c>
      <c r="AU22" s="116">
        <f>AU5*ндс</f>
        <v>51678</v>
      </c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</row>
    <row r="23" spans="1:60" s="110" customFormat="1" ht="12.75">
      <c r="A23" s="114" t="s">
        <v>163</v>
      </c>
      <c r="B23" s="96">
        <f>P23+AC23+AP23+AQ23+AR23+AS23+AT23+AU23</f>
        <v>222111.6520824924</v>
      </c>
      <c r="C23" s="116"/>
      <c r="D23" s="116"/>
      <c r="E23" s="116"/>
      <c r="F23" s="116"/>
      <c r="G23" s="116"/>
      <c r="H23" s="116"/>
      <c r="I23" s="283">
        <f>('1-Ф3'!I12/Исх!$C$19-'2-ф2'!I8)*ндс</f>
        <v>0</v>
      </c>
      <c r="J23" s="116"/>
      <c r="K23" s="116"/>
      <c r="L23" s="116"/>
      <c r="M23" s="116"/>
      <c r="N23" s="116"/>
      <c r="O23" s="116">
        <f>('1-Ф3'!O12/Исх!$C$19)*ндс</f>
        <v>1375.4337299999995</v>
      </c>
      <c r="P23" s="117">
        <f>SUM(D23:O23)</f>
        <v>1375.4337299999995</v>
      </c>
      <c r="Q23" s="116">
        <f>('1-Ф3'!Q12/Исх!$C$19+Q10-Пост!$D$5-Пост!$D$18-Пост!$D$21)*ндс</f>
        <v>1069.2486771428569</v>
      </c>
      <c r="R23" s="116">
        <f>('1-Ф3'!R12/Исх!$C$19+R10-Пост!$D$5-Пост!$D$18-Пост!$D$21)*ндс</f>
        <v>1069.2486771428569</v>
      </c>
      <c r="S23" s="116">
        <f>('1-Ф3'!S12/Исх!$C$19+S10-Пост!$D$5-Пост!$D$18-Пост!$D$21)*ндс</f>
        <v>1069.2486771428569</v>
      </c>
      <c r="T23" s="116">
        <f>('1-Ф3'!T12/Исх!$C$19+T10-Пост!$D$5-Пост!$D$18-Пост!$D$21)*ндс</f>
        <v>1374.900617142857</v>
      </c>
      <c r="U23" s="116">
        <f>('1-Ф3'!U12/Исх!$C$19+U10-Пост!$D$5-Пост!$D$18-Пост!$D$21)*ндс</f>
        <v>1374.900617142857</v>
      </c>
      <c r="V23" s="116">
        <f>('1-Ф3'!V12/Исх!$C$19+V10-Пост!$D$5-Пост!$D$18-Пост!$D$21)*ндс</f>
        <v>1374.900617142857</v>
      </c>
      <c r="W23" s="116">
        <f>('1-Ф3'!W12/Исх!$C$19+W10-Пост!$D$5-Пост!$D$18-Пост!$D$21)*ндс</f>
        <v>1680.5525571428568</v>
      </c>
      <c r="X23" s="116">
        <f>('1-Ф3'!X12/Исх!$C$19+X10-Пост!$D$5-Пост!$D$18-Пост!$D$21)*ндс</f>
        <v>1680.5525571428568</v>
      </c>
      <c r="Y23" s="116">
        <f>('1-Ф3'!Y12/Исх!$C$19+Y10-Пост!$D$5-Пост!$D$18-Пост!$D$21)*ндс</f>
        <v>1680.5525571428568</v>
      </c>
      <c r="Z23" s="116">
        <f>('1-Ф3'!Z12/Исх!$C$19+Z10-Пост!$D$5-Пост!$D$18-Пост!$D$21)*ндс</f>
        <v>1833.3785271428567</v>
      </c>
      <c r="AA23" s="116">
        <f>('1-Ф3'!AA12/Исх!$C$19+AA10-Пост!$D$5-Пост!$D$18-Пост!$D$21)*ндс</f>
        <v>1833.3785271428567</v>
      </c>
      <c r="AB23" s="116">
        <f>('1-Ф3'!AB12/Исх!$C$19+AB10-Пост!$D$5-Пост!$D$18-Пост!$D$21)*ндс</f>
        <v>1833.3785271428567</v>
      </c>
      <c r="AC23" s="117">
        <f>SUM(Q23:AB23)</f>
        <v>17874.241135714285</v>
      </c>
      <c r="AD23" s="116">
        <f>('1-Ф3'!AD12/Исх!$C$19+AD10-Пост!$E$5-Пост!$E$18-Пост!$E$21)*ндс</f>
        <v>1993.8191399999987</v>
      </c>
      <c r="AE23" s="116">
        <f>('1-Ф3'!AE12/Исх!$C$19+AE10-Пост!$E$5-Пост!$E$18-Пост!$E$21)*ндс</f>
        <v>1993.8191399999987</v>
      </c>
      <c r="AF23" s="116">
        <f>('1-Ф3'!AF12/Исх!$C$19+AF10-Пост!$E$5-Пост!$E$18-Пост!$E$21)*ндс</f>
        <v>1993.8191399999987</v>
      </c>
      <c r="AG23" s="116">
        <f>('1-Ф3'!AG12/Исх!$C$19+AG10-Пост!$E$5-Пост!$E$18-Пост!$E$21)*ндс</f>
        <v>2146.6451099999995</v>
      </c>
      <c r="AH23" s="116">
        <f>('1-Ф3'!AH12/Исх!$C$19+AH10-Пост!$E$5-Пост!$E$18-Пост!$E$21)*ндс</f>
        <v>2146.6451099999995</v>
      </c>
      <c r="AI23" s="116">
        <f>('1-Ф3'!AI12/Исх!$C$19+AI10-Пост!$E$5-Пост!$E$18-Пост!$E$21)*ндс</f>
        <v>2146.6451099999995</v>
      </c>
      <c r="AJ23" s="116">
        <f>('1-Ф3'!AJ12/Исх!$C$19+AJ10-Пост!$E$5-Пост!$E$18-Пост!$E$21)*ндс</f>
        <v>2299.4710799999993</v>
      </c>
      <c r="AK23" s="116">
        <f>('1-Ф3'!AK12/Исх!$C$19+AK10-Пост!$E$5-Пост!$E$18-Пост!$E$21)*ндс</f>
        <v>2299.4710799999993</v>
      </c>
      <c r="AL23" s="116">
        <f>('1-Ф3'!AL12/Исх!$C$19+AL10-Пост!$E$5-Пост!$E$18-Пост!$E$21)*ндс</f>
        <v>2299.4710799999993</v>
      </c>
      <c r="AM23" s="116">
        <f>('1-Ф3'!AM12/Исх!$C$19+AM10-Пост!$E$5-Пост!$E$18-Пост!$E$21)*ндс</f>
        <v>2452.297049999999</v>
      </c>
      <c r="AN23" s="116">
        <f>('1-Ф3'!AN12/Исх!$C$19+AN10-Пост!$E$5-Пост!$E$18-Пост!$E$21)*ндс</f>
        <v>2452.297049999999</v>
      </c>
      <c r="AO23" s="116">
        <f>('1-Ф3'!AO12/Исх!$C$19+AO10-Пост!$E$5-Пост!$E$18-Пост!$E$21)*ндс</f>
        <v>2452.297049999999</v>
      </c>
      <c r="AP23" s="117">
        <f>SUM(AD23:AO23)</f>
        <v>26676.69713999999</v>
      </c>
      <c r="AQ23" s="116">
        <f>(AQ7+AQ10-(Пост!F5+Пост!F18+Пост!F21)*12)*ндс</f>
        <v>31357.420739999994</v>
      </c>
      <c r="AR23" s="116">
        <f>(AR7+AR10-(Пост!G5+Пост!G18+Пост!G21)*12)*ндс</f>
        <v>33292.074105</v>
      </c>
      <c r="AS23" s="116">
        <f>(AS7+AS10-(Пост!H5+Пост!H18+Пост!H21)*12)*ндс</f>
        <v>35231.76455624999</v>
      </c>
      <c r="AT23" s="116">
        <f>(AT7+AT10-(Пост!I5+Пост!I18+Пост!I21)*12)*ндс</f>
        <v>37176.743948062496</v>
      </c>
      <c r="AU23" s="116">
        <f>(AU7+AU10-(Пост!J5+Пост!J18+Пост!J21)*12)*ндс</f>
        <v>39127.276727465614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</row>
    <row r="24" spans="1:60" s="110" customFormat="1" ht="12.75">
      <c r="A24" s="114" t="s">
        <v>164</v>
      </c>
      <c r="B24" s="96">
        <f>P24+AC24+AP24+AQ24+AR24+AS24+AT24+AU24</f>
        <v>6520.277142857143</v>
      </c>
      <c r="C24" s="116"/>
      <c r="D24" s="116">
        <f>Инв!E16/Исх!$C$19*ндс</f>
        <v>0</v>
      </c>
      <c r="E24" s="116">
        <f>Инв!F16/Исх!$C$19*ндс</f>
        <v>0</v>
      </c>
      <c r="F24" s="116">
        <f>Инв!G16/Исх!$C$19*ндс</f>
        <v>0</v>
      </c>
      <c r="G24" s="116">
        <f>Инв!H16/Исх!$C$19*ндс</f>
        <v>0</v>
      </c>
      <c r="H24" s="116">
        <f>Инв!I16/Исх!$C$19*ндс</f>
        <v>0</v>
      </c>
      <c r="I24" s="116">
        <f>Инв!J16/Исх!$C$19*ндс</f>
        <v>0</v>
      </c>
      <c r="J24" s="116">
        <f>Инв!K16/Исх!$C$19*ндс</f>
        <v>0</v>
      </c>
      <c r="K24" s="116">
        <f>Инв!L16/Исх!$C$19*ндс</f>
        <v>0</v>
      </c>
      <c r="L24" s="116">
        <f>Инв!M16/Исх!$C$19*ндс</f>
        <v>0</v>
      </c>
      <c r="M24" s="116">
        <f>Инв!N16/Исх!$C$19*ндс</f>
        <v>3117.0857142857144</v>
      </c>
      <c r="N24" s="116">
        <f>Инв!O16/Исх!$C$19*ндс</f>
        <v>0</v>
      </c>
      <c r="O24" s="116">
        <f>Инв!P16/Исх!$C$19*ндс</f>
        <v>3403.191428571429</v>
      </c>
      <c r="P24" s="117">
        <f>SUM(D24:O24)</f>
        <v>6520.277142857143</v>
      </c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>
        <f>SUM(Q24:AB24)</f>
        <v>0</v>
      </c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7">
        <f>SUM(AD24:AO24)</f>
        <v>0</v>
      </c>
      <c r="AQ24" s="117"/>
      <c r="AR24" s="117"/>
      <c r="AS24" s="117"/>
      <c r="AT24" s="117"/>
      <c r="AU24" s="117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</row>
    <row r="25" spans="1:60" s="110" customFormat="1" ht="12.75">
      <c r="A25" s="114" t="s">
        <v>30</v>
      </c>
      <c r="B25" s="96">
        <f>P25+AC25+AP25+AQ25+AR25+AS25+AT25+AU25</f>
        <v>58584.70514965048</v>
      </c>
      <c r="C25" s="116"/>
      <c r="D25" s="116">
        <f>D22-D23-D24</f>
        <v>0</v>
      </c>
      <c r="E25" s="116">
        <f aca="true" t="shared" si="24" ref="E25:O25">E22-E23-E24</f>
        <v>0</v>
      </c>
      <c r="F25" s="116">
        <f t="shared" si="24"/>
        <v>0</v>
      </c>
      <c r="G25" s="116">
        <f t="shared" si="24"/>
        <v>0</v>
      </c>
      <c r="H25" s="116">
        <f t="shared" si="24"/>
        <v>0</v>
      </c>
      <c r="I25" s="116">
        <f t="shared" si="24"/>
        <v>0</v>
      </c>
      <c r="J25" s="116">
        <f t="shared" si="24"/>
        <v>0</v>
      </c>
      <c r="K25" s="116">
        <f t="shared" si="24"/>
        <v>0</v>
      </c>
      <c r="L25" s="116">
        <f t="shared" si="24"/>
        <v>0</v>
      </c>
      <c r="M25" s="116">
        <f t="shared" si="24"/>
        <v>-3117.0857142857144</v>
      </c>
      <c r="N25" s="116">
        <f t="shared" si="24"/>
        <v>0</v>
      </c>
      <c r="O25" s="116">
        <f t="shared" si="24"/>
        <v>-4778.625158571428</v>
      </c>
      <c r="P25" s="117">
        <f>SUM(D25:O25)</f>
        <v>-7895.710872857142</v>
      </c>
      <c r="Q25" s="116">
        <f aca="true" t="shared" si="25" ref="Q25:AA25">Q22-Q23-Q24</f>
        <v>-127.20180214285688</v>
      </c>
      <c r="R25" s="116">
        <f t="shared" si="25"/>
        <v>-127.20180214285688</v>
      </c>
      <c r="S25" s="116">
        <f t="shared" si="25"/>
        <v>-127.20180214285688</v>
      </c>
      <c r="T25" s="116">
        <f t="shared" si="25"/>
        <v>509.1931328571429</v>
      </c>
      <c r="U25" s="116">
        <f t="shared" si="25"/>
        <v>509.1931328571429</v>
      </c>
      <c r="V25" s="116">
        <f t="shared" si="25"/>
        <v>509.1931328571429</v>
      </c>
      <c r="W25" s="116">
        <f t="shared" si="25"/>
        <v>203.5411928571432</v>
      </c>
      <c r="X25" s="116">
        <f t="shared" si="25"/>
        <v>203.5411928571432</v>
      </c>
      <c r="Y25" s="116">
        <f t="shared" si="25"/>
        <v>203.5411928571432</v>
      </c>
      <c r="Z25" s="116">
        <f t="shared" si="25"/>
        <v>50.71522285714332</v>
      </c>
      <c r="AA25" s="116">
        <f t="shared" si="25"/>
        <v>50.71522285714332</v>
      </c>
      <c r="AB25" s="116">
        <f>AB22-AB23-AB24</f>
        <v>50.71522285714332</v>
      </c>
      <c r="AC25" s="117">
        <f>SUM(Q25:AB25)</f>
        <v>1908.7432392857177</v>
      </c>
      <c r="AD25" s="116">
        <f>AD22-AD23-AD24</f>
        <v>913.0683600000011</v>
      </c>
      <c r="AE25" s="116">
        <f aca="true" t="shared" si="26" ref="AE25:AO25">AE22-AE23-AE24</f>
        <v>913.0683600000011</v>
      </c>
      <c r="AF25" s="116">
        <f t="shared" si="26"/>
        <v>913.0683600000011</v>
      </c>
      <c r="AG25" s="116">
        <f t="shared" si="26"/>
        <v>760.2423900000003</v>
      </c>
      <c r="AH25" s="116">
        <f t="shared" si="26"/>
        <v>760.2423900000003</v>
      </c>
      <c r="AI25" s="116">
        <f t="shared" si="26"/>
        <v>760.2423900000003</v>
      </c>
      <c r="AJ25" s="116">
        <f t="shared" si="26"/>
        <v>607.4164200000005</v>
      </c>
      <c r="AK25" s="116">
        <f t="shared" si="26"/>
        <v>607.4164200000005</v>
      </c>
      <c r="AL25" s="116">
        <f t="shared" si="26"/>
        <v>607.4164200000005</v>
      </c>
      <c r="AM25" s="116">
        <f t="shared" si="26"/>
        <v>454.5904500000006</v>
      </c>
      <c r="AN25" s="116">
        <f t="shared" si="26"/>
        <v>454.5904500000006</v>
      </c>
      <c r="AO25" s="116">
        <f t="shared" si="26"/>
        <v>454.5904500000006</v>
      </c>
      <c r="AP25" s="117">
        <f>SUM(AD25:AO25)</f>
        <v>8205.952860000009</v>
      </c>
      <c r="AQ25" s="116">
        <f>AQ22-AQ23-AQ24</f>
        <v>9984.979260000007</v>
      </c>
      <c r="AR25" s="116">
        <f>AR22-AR23-AR24</f>
        <v>10634.225894999996</v>
      </c>
      <c r="AS25" s="116">
        <f>AS22-AS23-AS24</f>
        <v>11278.435443750008</v>
      </c>
      <c r="AT25" s="116">
        <f>AT22-AT23-AT24</f>
        <v>11917.356051937502</v>
      </c>
      <c r="AU25" s="116">
        <f>AU22-AU23-AU24</f>
        <v>12550.723272534386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</row>
    <row r="26" spans="1:60" s="110" customFormat="1" ht="12.75">
      <c r="A26" s="114" t="s">
        <v>165</v>
      </c>
      <c r="B26" s="102">
        <f>AU26</f>
        <v>58584.70514965048</v>
      </c>
      <c r="C26" s="116"/>
      <c r="D26" s="116">
        <f>D25</f>
        <v>0</v>
      </c>
      <c r="E26" s="116">
        <f>D26+E25</f>
        <v>0</v>
      </c>
      <c r="F26" s="116">
        <f aca="true" t="shared" si="27" ref="F26:O26">E26+F25</f>
        <v>0</v>
      </c>
      <c r="G26" s="116">
        <f t="shared" si="27"/>
        <v>0</v>
      </c>
      <c r="H26" s="116">
        <f t="shared" si="27"/>
        <v>0</v>
      </c>
      <c r="I26" s="116">
        <f t="shared" si="27"/>
        <v>0</v>
      </c>
      <c r="J26" s="116">
        <f t="shared" si="27"/>
        <v>0</v>
      </c>
      <c r="K26" s="116">
        <f t="shared" si="27"/>
        <v>0</v>
      </c>
      <c r="L26" s="116">
        <f t="shared" si="27"/>
        <v>0</v>
      </c>
      <c r="M26" s="116">
        <f t="shared" si="27"/>
        <v>-3117.0857142857144</v>
      </c>
      <c r="N26" s="116">
        <f t="shared" si="27"/>
        <v>-3117.0857142857144</v>
      </c>
      <c r="O26" s="116">
        <f t="shared" si="27"/>
        <v>-7895.710872857142</v>
      </c>
      <c r="P26" s="117">
        <f>O26</f>
        <v>-7895.710872857142</v>
      </c>
      <c r="Q26" s="116">
        <f aca="true" t="shared" si="28" ref="Q26:AB26">P26+Q25</f>
        <v>-8022.912674999999</v>
      </c>
      <c r="R26" s="116">
        <f t="shared" si="28"/>
        <v>-8150.114477142855</v>
      </c>
      <c r="S26" s="116">
        <f t="shared" si="28"/>
        <v>-8277.316279285713</v>
      </c>
      <c r="T26" s="116">
        <f t="shared" si="28"/>
        <v>-7768.12314642857</v>
      </c>
      <c r="U26" s="116">
        <f t="shared" si="28"/>
        <v>-7258.9300135714275</v>
      </c>
      <c r="V26" s="116">
        <f t="shared" si="28"/>
        <v>-6749.736880714285</v>
      </c>
      <c r="W26" s="116">
        <f t="shared" si="28"/>
        <v>-6546.195687857142</v>
      </c>
      <c r="X26" s="116">
        <f t="shared" si="28"/>
        <v>-6342.654494999999</v>
      </c>
      <c r="Y26" s="116">
        <f t="shared" si="28"/>
        <v>-6139.113302142856</v>
      </c>
      <c r="Z26" s="116">
        <f t="shared" si="28"/>
        <v>-6088.398079285713</v>
      </c>
      <c r="AA26" s="116">
        <f t="shared" si="28"/>
        <v>-6037.68285642857</v>
      </c>
      <c r="AB26" s="116">
        <f t="shared" si="28"/>
        <v>-5986.967633571427</v>
      </c>
      <c r="AC26" s="117">
        <f>AB26</f>
        <v>-5986.967633571427</v>
      </c>
      <c r="AD26" s="116">
        <f aca="true" t="shared" si="29" ref="AD26:AO26">AC26+AD25</f>
        <v>-5073.8992735714255</v>
      </c>
      <c r="AE26" s="116">
        <f t="shared" si="29"/>
        <v>-4160.830913571424</v>
      </c>
      <c r="AF26" s="116">
        <f t="shared" si="29"/>
        <v>-3247.7625535714233</v>
      </c>
      <c r="AG26" s="116">
        <f t="shared" si="29"/>
        <v>-2487.520163571423</v>
      </c>
      <c r="AH26" s="116">
        <f t="shared" si="29"/>
        <v>-1727.2777735714226</v>
      </c>
      <c r="AI26" s="116">
        <f t="shared" si="29"/>
        <v>-967.0353835714222</v>
      </c>
      <c r="AJ26" s="116">
        <f t="shared" si="29"/>
        <v>-359.6189635714218</v>
      </c>
      <c r="AK26" s="116">
        <f t="shared" si="29"/>
        <v>247.7974564285787</v>
      </c>
      <c r="AL26" s="116">
        <f t="shared" si="29"/>
        <v>855.2138764285792</v>
      </c>
      <c r="AM26" s="116">
        <f t="shared" si="29"/>
        <v>1309.8043264285798</v>
      </c>
      <c r="AN26" s="116">
        <f t="shared" si="29"/>
        <v>1764.3947764285804</v>
      </c>
      <c r="AO26" s="116">
        <f t="shared" si="29"/>
        <v>2218.985226428581</v>
      </c>
      <c r="AP26" s="117">
        <f>AO26</f>
        <v>2218.985226428581</v>
      </c>
      <c r="AQ26" s="116">
        <f>AP26+AQ25</f>
        <v>12203.964486428587</v>
      </c>
      <c r="AR26" s="116">
        <f>AQ26+AR25</f>
        <v>22838.190381428583</v>
      </c>
      <c r="AS26" s="116">
        <f>AR26+AS25</f>
        <v>34116.62582517859</v>
      </c>
      <c r="AT26" s="116">
        <f>AS26+AT25</f>
        <v>46033.98187711609</v>
      </c>
      <c r="AU26" s="116">
        <f>AT26+AU25</f>
        <v>58584.70514965048</v>
      </c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</row>
    <row r="27" spans="1:60" s="110" customFormat="1" ht="12.75">
      <c r="A27" s="114" t="s">
        <v>166</v>
      </c>
      <c r="B27" s="96">
        <f>P27+AC27+AP27+AQ27+AR27+AS27+AT27+AU27</f>
        <v>58584.70514965048</v>
      </c>
      <c r="C27" s="116"/>
      <c r="D27" s="116">
        <f>IF(C26+D25&gt;=0,IF(C26&lt;0,C26+D25,D25),0)</f>
        <v>0</v>
      </c>
      <c r="E27" s="116">
        <f aca="true" t="shared" si="30" ref="E27:AU27">IF(D26+E25&gt;=0,IF(D26&lt;0,D26+E25,E25),0)</f>
        <v>0</v>
      </c>
      <c r="F27" s="116">
        <f t="shared" si="30"/>
        <v>0</v>
      </c>
      <c r="G27" s="116">
        <f t="shared" si="30"/>
        <v>0</v>
      </c>
      <c r="H27" s="116">
        <f t="shared" si="30"/>
        <v>0</v>
      </c>
      <c r="I27" s="116">
        <f t="shared" si="30"/>
        <v>0</v>
      </c>
      <c r="J27" s="116">
        <f t="shared" si="30"/>
        <v>0</v>
      </c>
      <c r="K27" s="116">
        <f t="shared" si="30"/>
        <v>0</v>
      </c>
      <c r="L27" s="116">
        <f t="shared" si="30"/>
        <v>0</v>
      </c>
      <c r="M27" s="116">
        <f t="shared" si="30"/>
        <v>0</v>
      </c>
      <c r="N27" s="116">
        <f t="shared" si="30"/>
        <v>0</v>
      </c>
      <c r="O27" s="116">
        <f t="shared" si="30"/>
        <v>0</v>
      </c>
      <c r="P27" s="117">
        <f>SUM(D27:O27)</f>
        <v>0</v>
      </c>
      <c r="Q27" s="116">
        <f t="shared" si="30"/>
        <v>0</v>
      </c>
      <c r="R27" s="116">
        <f t="shared" si="30"/>
        <v>0</v>
      </c>
      <c r="S27" s="116">
        <f t="shared" si="30"/>
        <v>0</v>
      </c>
      <c r="T27" s="116">
        <f t="shared" si="30"/>
        <v>0</v>
      </c>
      <c r="U27" s="116">
        <f t="shared" si="30"/>
        <v>0</v>
      </c>
      <c r="V27" s="116">
        <f t="shared" si="30"/>
        <v>0</v>
      </c>
      <c r="W27" s="116">
        <f t="shared" si="30"/>
        <v>0</v>
      </c>
      <c r="X27" s="116">
        <f t="shared" si="30"/>
        <v>0</v>
      </c>
      <c r="Y27" s="116">
        <f t="shared" si="30"/>
        <v>0</v>
      </c>
      <c r="Z27" s="116">
        <f t="shared" si="30"/>
        <v>0</v>
      </c>
      <c r="AA27" s="116">
        <f t="shared" si="30"/>
        <v>0</v>
      </c>
      <c r="AB27" s="116">
        <f t="shared" si="30"/>
        <v>0</v>
      </c>
      <c r="AC27" s="117">
        <f>SUM(Q27:AB27)</f>
        <v>0</v>
      </c>
      <c r="AD27" s="116">
        <f aca="true" t="shared" si="31" ref="AD27:AO27">IF(AC26+AD25&gt;=0,IF(AC26&lt;0,AC26+AD25,AD25),0)</f>
        <v>0</v>
      </c>
      <c r="AE27" s="116">
        <f t="shared" si="31"/>
        <v>0</v>
      </c>
      <c r="AF27" s="116">
        <f t="shared" si="31"/>
        <v>0</v>
      </c>
      <c r="AG27" s="116">
        <f t="shared" si="31"/>
        <v>0</v>
      </c>
      <c r="AH27" s="116">
        <f t="shared" si="31"/>
        <v>0</v>
      </c>
      <c r="AI27" s="116">
        <f t="shared" si="31"/>
        <v>0</v>
      </c>
      <c r="AJ27" s="116">
        <f t="shared" si="31"/>
        <v>0</v>
      </c>
      <c r="AK27" s="116">
        <f t="shared" si="31"/>
        <v>247.7974564285787</v>
      </c>
      <c r="AL27" s="116">
        <f t="shared" si="31"/>
        <v>607.4164200000005</v>
      </c>
      <c r="AM27" s="116">
        <f t="shared" si="31"/>
        <v>454.5904500000006</v>
      </c>
      <c r="AN27" s="116">
        <f t="shared" si="31"/>
        <v>454.5904500000006</v>
      </c>
      <c r="AO27" s="116">
        <f t="shared" si="31"/>
        <v>454.5904500000006</v>
      </c>
      <c r="AP27" s="117">
        <f>SUM(AD27:AO27)</f>
        <v>2218.985226428581</v>
      </c>
      <c r="AQ27" s="116">
        <f t="shared" si="30"/>
        <v>9984.979260000007</v>
      </c>
      <c r="AR27" s="116">
        <f t="shared" si="30"/>
        <v>10634.225894999996</v>
      </c>
      <c r="AS27" s="116">
        <f t="shared" si="30"/>
        <v>11278.435443750008</v>
      </c>
      <c r="AT27" s="116">
        <f t="shared" si="30"/>
        <v>11917.356051937502</v>
      </c>
      <c r="AU27" s="116">
        <f t="shared" si="30"/>
        <v>12550.723272534386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</row>
    <row r="29" ht="12.75">
      <c r="B29" s="274">
        <f>B22-B23-B24</f>
        <v>58584.70514965049</v>
      </c>
    </row>
    <row r="30" ht="12.75">
      <c r="B30" s="312"/>
    </row>
  </sheetData>
  <sheetProtection/>
  <mergeCells count="10">
    <mergeCell ref="AD3:AP3"/>
    <mergeCell ref="AD19:AP19"/>
    <mergeCell ref="Q19:AC19"/>
    <mergeCell ref="Q3:AC3"/>
    <mergeCell ref="A3:A4"/>
    <mergeCell ref="A19:A20"/>
    <mergeCell ref="B3:B4"/>
    <mergeCell ref="D19:P19"/>
    <mergeCell ref="B19:B20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N41"/>
  <sheetViews>
    <sheetView showGridLines="0" showZeros="0" zoomScalePageLayoutView="0" workbookViewId="0" topLeftCell="A1">
      <pane xSplit="3" ySplit="4" topLeftCell="Q8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D14" sqref="AD14"/>
    </sheetView>
  </sheetViews>
  <sheetFormatPr defaultColWidth="10.125" defaultRowHeight="12.75" outlineLevelCol="1"/>
  <cols>
    <col min="1" max="1" width="38.125" style="119" customWidth="1"/>
    <col min="2" max="2" width="2.375" style="119" customWidth="1"/>
    <col min="3" max="3" width="7.125" style="119" customWidth="1"/>
    <col min="4" max="4" width="11.375" style="119" hidden="1" customWidth="1" outlineLevel="1"/>
    <col min="5" max="11" width="7.375" style="119" hidden="1" customWidth="1" outlineLevel="1"/>
    <col min="12" max="12" width="8.00390625" style="119" hidden="1" customWidth="1" outlineLevel="1"/>
    <col min="13" max="13" width="7.875" style="119" hidden="1" customWidth="1" outlineLevel="1"/>
    <col min="14" max="15" width="8.125" style="119" hidden="1" customWidth="1" outlineLevel="1"/>
    <col min="16" max="16" width="9.875" style="119" customWidth="1" collapsed="1"/>
    <col min="17" max="20" width="8.375" style="119" hidden="1" customWidth="1" outlineLevel="1"/>
    <col min="21" max="26" width="9.125" style="119" hidden="1" customWidth="1" outlineLevel="1"/>
    <col min="27" max="27" width="9.00390625" style="119" hidden="1" customWidth="1" outlineLevel="1"/>
    <col min="28" max="28" width="9.125" style="119" hidden="1" customWidth="1" outlineLevel="1"/>
    <col min="29" max="29" width="10.125" style="119" customWidth="1" collapsed="1"/>
    <col min="30" max="39" width="10.25390625" style="119" hidden="1" customWidth="1" outlineLevel="1"/>
    <col min="40" max="40" width="9.00390625" style="119" hidden="1" customWidth="1" outlineLevel="1"/>
    <col min="41" max="41" width="9.125" style="119" hidden="1" customWidth="1" outlineLevel="1"/>
    <col min="42" max="42" width="9.875" style="119" customWidth="1" collapsed="1"/>
    <col min="43" max="43" width="9.75390625" style="119" customWidth="1"/>
    <col min="44" max="44" width="9.625" style="119" customWidth="1"/>
    <col min="45" max="47" width="9.75390625" style="119" customWidth="1"/>
    <col min="48" max="16384" width="10.125" style="119" customWidth="1"/>
  </cols>
  <sheetData>
    <row r="1" spans="1:3" ht="12.75">
      <c r="A1" s="62" t="s">
        <v>113</v>
      </c>
      <c r="B1" s="118"/>
      <c r="C1" s="118"/>
    </row>
    <row r="2" spans="1:47" ht="17.25" customHeight="1">
      <c r="A2" s="62"/>
      <c r="C2" s="12" t="str">
        <f>Исх!$C$10</f>
        <v>тыс.тг.</v>
      </c>
      <c r="L2" s="120"/>
      <c r="P2" s="120"/>
      <c r="AC2" s="120"/>
      <c r="AP2" s="120"/>
      <c r="AQ2" s="120"/>
      <c r="AR2" s="120"/>
      <c r="AS2" s="120"/>
      <c r="AT2" s="120"/>
      <c r="AU2" s="120"/>
    </row>
    <row r="3" spans="1:47" ht="12.75" customHeight="1">
      <c r="A3" s="337" t="s">
        <v>3</v>
      </c>
      <c r="B3" s="339"/>
      <c r="C3" s="122"/>
      <c r="D3" s="340">
        <v>2013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>
        <v>2014</v>
      </c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1">
        <f>Q3+1</f>
        <v>2015</v>
      </c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3"/>
      <c r="AQ3" s="123">
        <f>AD3+1</f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</row>
    <row r="4" spans="1:47" ht="12.75">
      <c r="A4" s="338"/>
      <c r="B4" s="339"/>
      <c r="C4" s="124"/>
      <c r="D4" s="125">
        <v>1</v>
      </c>
      <c r="E4" s="125">
        <f>D4+1</f>
        <v>2</v>
      </c>
      <c r="F4" s="125">
        <f aca="true" t="shared" si="0" ref="F4:O4">E4+1</f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 t="shared" si="0"/>
        <v>10</v>
      </c>
      <c r="N4" s="125">
        <f t="shared" si="0"/>
        <v>11</v>
      </c>
      <c r="O4" s="125">
        <f t="shared" si="0"/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111</v>
      </c>
      <c r="AR4" s="121" t="s">
        <v>111</v>
      </c>
      <c r="AS4" s="121" t="s">
        <v>111</v>
      </c>
      <c r="AT4" s="121" t="s">
        <v>111</v>
      </c>
      <c r="AU4" s="121" t="s">
        <v>111</v>
      </c>
    </row>
    <row r="5" spans="1:54" s="130" customFormat="1" ht="15" customHeight="1">
      <c r="A5" s="126" t="s">
        <v>114</v>
      </c>
      <c r="B5" s="127"/>
      <c r="C5" s="128">
        <f>C11+C6</f>
        <v>0</v>
      </c>
      <c r="D5" s="128">
        <f>D11+D6</f>
        <v>0</v>
      </c>
      <c r="E5" s="128">
        <f aca="true" t="shared" si="3" ref="E5:AT5">E11+E6</f>
        <v>0</v>
      </c>
      <c r="F5" s="128">
        <f t="shared" si="3"/>
        <v>0</v>
      </c>
      <c r="G5" s="128">
        <f t="shared" si="3"/>
        <v>0</v>
      </c>
      <c r="H5" s="128">
        <f t="shared" si="3"/>
        <v>0</v>
      </c>
      <c r="I5" s="128">
        <f t="shared" si="3"/>
        <v>0</v>
      </c>
      <c r="J5" s="128">
        <f t="shared" si="3"/>
        <v>0</v>
      </c>
      <c r="K5" s="128">
        <f t="shared" si="3"/>
        <v>0</v>
      </c>
      <c r="L5" s="128">
        <f t="shared" si="3"/>
        <v>0</v>
      </c>
      <c r="M5" s="128">
        <f t="shared" si="3"/>
        <v>29092.8</v>
      </c>
      <c r="N5" s="128">
        <f t="shared" si="3"/>
        <v>60855.92</v>
      </c>
      <c r="O5" s="128">
        <f t="shared" si="3"/>
        <v>73693.30148</v>
      </c>
      <c r="P5" s="128">
        <f t="shared" si="3"/>
        <v>73693.30148</v>
      </c>
      <c r="Q5" s="128">
        <f t="shared" si="3"/>
        <v>80407.72312208332</v>
      </c>
      <c r="R5" s="128">
        <f t="shared" si="3"/>
        <v>87649.46687416665</v>
      </c>
      <c r="S5" s="128">
        <f t="shared" si="3"/>
        <v>85444.42895441665</v>
      </c>
      <c r="T5" s="128">
        <f t="shared" si="3"/>
        <v>85518.00150341666</v>
      </c>
      <c r="U5" s="128">
        <f t="shared" si="3"/>
        <v>85591.57405241668</v>
      </c>
      <c r="V5" s="128">
        <f t="shared" si="3"/>
        <v>85665.14660141668</v>
      </c>
      <c r="W5" s="128">
        <f t="shared" si="3"/>
        <v>85738.71915041668</v>
      </c>
      <c r="X5" s="128">
        <f t="shared" si="3"/>
        <v>85496.5308164202</v>
      </c>
      <c r="Y5" s="128">
        <f t="shared" si="3"/>
        <v>84909.59908137869</v>
      </c>
      <c r="Z5" s="128">
        <f t="shared" si="3"/>
        <v>84322.66734633717</v>
      </c>
      <c r="AA5" s="128">
        <f t="shared" si="3"/>
        <v>83735.73561129566</v>
      </c>
      <c r="AB5" s="128">
        <f t="shared" si="3"/>
        <v>83148.80387625414</v>
      </c>
      <c r="AC5" s="128">
        <f t="shared" si="3"/>
        <v>83148.80387625414</v>
      </c>
      <c r="AD5" s="128">
        <f aca="true" t="shared" si="4" ref="AD5:AP5">AD11+AD6</f>
        <v>84852.30977256977</v>
      </c>
      <c r="AE5" s="128">
        <f t="shared" si="4"/>
        <v>86555.8156688854</v>
      </c>
      <c r="AF5" s="128">
        <f t="shared" si="4"/>
        <v>88115.59193484727</v>
      </c>
      <c r="AG5" s="128">
        <f t="shared" si="4"/>
        <v>89340.42266056716</v>
      </c>
      <c r="AH5" s="128">
        <f t="shared" si="4"/>
        <v>90564.44853800425</v>
      </c>
      <c r="AI5" s="128">
        <f t="shared" si="4"/>
        <v>91787.66487221025</v>
      </c>
      <c r="AJ5" s="128">
        <f t="shared" si="4"/>
        <v>93010.06694084966</v>
      </c>
      <c r="AK5" s="128">
        <f t="shared" si="4"/>
        <v>94231.64999404</v>
      </c>
      <c r="AL5" s="128">
        <f t="shared" si="4"/>
        <v>95452.40925419112</v>
      </c>
      <c r="AM5" s="128">
        <f t="shared" si="4"/>
        <v>96672.33991584368</v>
      </c>
      <c r="AN5" s="128">
        <f t="shared" si="4"/>
        <v>97891.43714550638</v>
      </c>
      <c r="AO5" s="128">
        <f t="shared" si="4"/>
        <v>99109.69608149266</v>
      </c>
      <c r="AP5" s="128">
        <f t="shared" si="4"/>
        <v>99109.69608149266</v>
      </c>
      <c r="AQ5" s="128">
        <f t="shared" si="3"/>
        <v>124311.91189388101</v>
      </c>
      <c r="AR5" s="128">
        <f t="shared" si="3"/>
        <v>152441.8250757434</v>
      </c>
      <c r="AS5" s="128">
        <f t="shared" si="3"/>
        <v>183392.9211303637</v>
      </c>
      <c r="AT5" s="128">
        <f t="shared" si="3"/>
        <v>217053.14996036037</v>
      </c>
      <c r="AU5" s="128">
        <f>AU11+AU6</f>
        <v>254815.35205981918</v>
      </c>
      <c r="AV5" s="129"/>
      <c r="AW5" s="129"/>
      <c r="AX5" s="129"/>
      <c r="AY5" s="129"/>
      <c r="AZ5" s="129"/>
      <c r="BA5" s="129"/>
      <c r="BB5" s="129"/>
    </row>
    <row r="6" spans="1:47" s="130" customFormat="1" ht="15" customHeight="1">
      <c r="A6" s="126" t="s">
        <v>115</v>
      </c>
      <c r="B6" s="127"/>
      <c r="C6" s="128">
        <f>SUM(C7:C10)</f>
        <v>0</v>
      </c>
      <c r="D6" s="128">
        <f>SUM(D7:D10)</f>
        <v>0</v>
      </c>
      <c r="E6" s="128">
        <f aca="true" t="shared" si="5" ref="E6:AT6">SUM(E7:E10)</f>
        <v>0</v>
      </c>
      <c r="F6" s="128">
        <f t="shared" si="5"/>
        <v>0</v>
      </c>
      <c r="G6" s="128">
        <f t="shared" si="5"/>
        <v>0</v>
      </c>
      <c r="H6" s="128">
        <f t="shared" si="5"/>
        <v>0</v>
      </c>
      <c r="I6" s="128">
        <f t="shared" si="5"/>
        <v>0</v>
      </c>
      <c r="J6" s="128">
        <f t="shared" si="5"/>
        <v>0</v>
      </c>
      <c r="K6" s="128">
        <f t="shared" si="5"/>
        <v>0</v>
      </c>
      <c r="L6" s="128">
        <f t="shared" si="5"/>
        <v>0</v>
      </c>
      <c r="M6" s="128">
        <f t="shared" si="5"/>
        <v>25975.714285714286</v>
      </c>
      <c r="N6" s="128">
        <f t="shared" si="5"/>
        <v>57738.834285714285</v>
      </c>
      <c r="O6" s="128">
        <f t="shared" si="5"/>
        <v>11461.947749999996</v>
      </c>
      <c r="P6" s="128">
        <f t="shared" si="5"/>
        <v>11461.947749999996</v>
      </c>
      <c r="Q6" s="128">
        <f t="shared" si="5"/>
        <v>18501.964613749995</v>
      </c>
      <c r="R6" s="128">
        <f t="shared" si="5"/>
        <v>26069.30358749999</v>
      </c>
      <c r="S6" s="128">
        <f t="shared" si="5"/>
        <v>24189.86088941666</v>
      </c>
      <c r="T6" s="128">
        <f t="shared" si="5"/>
        <v>25225.42359508333</v>
      </c>
      <c r="U6" s="128">
        <f t="shared" si="5"/>
        <v>26260.986300750003</v>
      </c>
      <c r="V6" s="128">
        <f t="shared" si="5"/>
        <v>27296.549006416673</v>
      </c>
      <c r="W6" s="128">
        <f t="shared" si="5"/>
        <v>28026.45977208334</v>
      </c>
      <c r="X6" s="128">
        <f t="shared" si="5"/>
        <v>28440.60965475353</v>
      </c>
      <c r="Y6" s="128">
        <f t="shared" si="5"/>
        <v>28510.016136378683</v>
      </c>
      <c r="Z6" s="128">
        <f t="shared" si="5"/>
        <v>28426.596648003833</v>
      </c>
      <c r="AA6" s="128">
        <f t="shared" si="5"/>
        <v>28343.177159628984</v>
      </c>
      <c r="AB6" s="128">
        <f t="shared" si="5"/>
        <v>28259.75767125413</v>
      </c>
      <c r="AC6" s="128">
        <f t="shared" si="5"/>
        <v>28259.75767125413</v>
      </c>
      <c r="AD6" s="128">
        <f aca="true" t="shared" si="6" ref="AD6:AP6">SUM(AD7:AD10)</f>
        <v>31329.128951379284</v>
      </c>
      <c r="AE6" s="128">
        <f t="shared" si="6"/>
        <v>34398.50023150444</v>
      </c>
      <c r="AF6" s="128">
        <f t="shared" si="6"/>
        <v>37324.14188127582</v>
      </c>
      <c r="AG6" s="128">
        <f t="shared" si="6"/>
        <v>39762.012020805225</v>
      </c>
      <c r="AH6" s="128">
        <f t="shared" si="6"/>
        <v>42199.07731205184</v>
      </c>
      <c r="AI6" s="128">
        <f t="shared" si="6"/>
        <v>44635.33306006738</v>
      </c>
      <c r="AJ6" s="128">
        <f t="shared" si="6"/>
        <v>46917.94857251631</v>
      </c>
      <c r="AK6" s="128">
        <f t="shared" si="6"/>
        <v>48951.947613087585</v>
      </c>
      <c r="AL6" s="128">
        <f t="shared" si="6"/>
        <v>50625.50389704824</v>
      </c>
      <c r="AM6" s="128">
        <f t="shared" si="6"/>
        <v>52298.231582510314</v>
      </c>
      <c r="AN6" s="128">
        <f t="shared" si="6"/>
        <v>53970.125835982544</v>
      </c>
      <c r="AO6" s="128">
        <f t="shared" si="6"/>
        <v>55641.181795778335</v>
      </c>
      <c r="AP6" s="128">
        <f t="shared" si="6"/>
        <v>55641.181795778335</v>
      </c>
      <c r="AQ6" s="128">
        <f t="shared" si="5"/>
        <v>86276.96189388099</v>
      </c>
      <c r="AR6" s="128">
        <f t="shared" si="5"/>
        <v>119840.43936145765</v>
      </c>
      <c r="AS6" s="128">
        <f t="shared" si="5"/>
        <v>156225.09970179226</v>
      </c>
      <c r="AT6" s="128">
        <f t="shared" si="5"/>
        <v>195318.89281750322</v>
      </c>
      <c r="AU6" s="128">
        <f>SUM(AU7:AU10)</f>
        <v>238514.6592026763</v>
      </c>
    </row>
    <row r="7" spans="1:47" ht="15" customHeight="1">
      <c r="A7" s="131" t="s">
        <v>116</v>
      </c>
      <c r="B7" s="127"/>
      <c r="C7" s="132"/>
      <c r="D7" s="132">
        <f>'1-Ф3'!D34</f>
        <v>0</v>
      </c>
      <c r="E7" s="132">
        <f>'1-Ф3'!E34</f>
        <v>0</v>
      </c>
      <c r="F7" s="132">
        <f>'1-Ф3'!F34</f>
        <v>0</v>
      </c>
      <c r="G7" s="132">
        <f>'1-Ф3'!G34</f>
        <v>0</v>
      </c>
      <c r="H7" s="132">
        <f>'1-Ф3'!H34</f>
        <v>0</v>
      </c>
      <c r="I7" s="132">
        <f>'1-Ф3'!I34</f>
        <v>0</v>
      </c>
      <c r="J7" s="132">
        <f>'1-Ф3'!J34</f>
        <v>0</v>
      </c>
      <c r="K7" s="132">
        <f>'1-Ф3'!K34</f>
        <v>0</v>
      </c>
      <c r="L7" s="132">
        <f>'1-Ф3'!L34</f>
        <v>0</v>
      </c>
      <c r="M7" s="132">
        <f>'1-Ф3'!M34</f>
        <v>0</v>
      </c>
      <c r="N7" s="132">
        <f>'1-Ф3'!N34</f>
        <v>31763.120000000003</v>
      </c>
      <c r="O7" s="132">
        <f>'1-Ф3'!O34</f>
        <v>0</v>
      </c>
      <c r="P7" s="132">
        <f>'1-Ф3'!P34</f>
        <v>0</v>
      </c>
      <c r="Q7" s="132">
        <f>'1-Ф3'!Q34</f>
        <v>4970.498520000001</v>
      </c>
      <c r="R7" s="132">
        <f>'1-Ф3'!R34</f>
        <v>10468.319150000001</v>
      </c>
      <c r="S7" s="132">
        <f>'1-Ф3'!S34</f>
        <v>6519.358108166671</v>
      </c>
      <c r="T7" s="132">
        <f>'1-Ф3'!T34</f>
        <v>8510.083126333338</v>
      </c>
      <c r="U7" s="132">
        <f>'1-Ф3'!U34</f>
        <v>10500.808144500006</v>
      </c>
      <c r="V7" s="132">
        <f>'1-Ф3'!V34</f>
        <v>12491.533162666674</v>
      </c>
      <c r="W7" s="132">
        <f>'1-Ф3'!W34</f>
        <v>11629.506740833342</v>
      </c>
      <c r="X7" s="132">
        <f>'1-Ф3'!X34</f>
        <v>10451.719436003532</v>
      </c>
      <c r="Y7" s="132">
        <f>'1-Ф3'!Y34</f>
        <v>8929.188730128684</v>
      </c>
      <c r="Z7" s="132">
        <f>'1-Ф3'!Z34</f>
        <v>5980.282304253835</v>
      </c>
      <c r="AA7" s="132">
        <f>'1-Ф3'!AA34</f>
        <v>3031.375878378987</v>
      </c>
      <c r="AB7" s="132">
        <f>'1-Ф3'!AB34</f>
        <v>82.46945250413773</v>
      </c>
      <c r="AC7" s="132">
        <f>'1-Ф3'!AC34</f>
        <v>82.46945250413773</v>
      </c>
      <c r="AD7" s="132">
        <f>'1-Ф3'!AD34</f>
        <v>5062.165357629293</v>
      </c>
      <c r="AE7" s="132">
        <f>'1-Ф3'!AE34</f>
        <v>10041.861262754448</v>
      </c>
      <c r="AF7" s="132">
        <f>'1-Ф3'!AF34</f>
        <v>14877.82753752583</v>
      </c>
      <c r="AG7" s="132">
        <f>'1-Ф3'!AG34</f>
        <v>17952.472552055227</v>
      </c>
      <c r="AH7" s="132">
        <f>'1-Ф3'!AH34</f>
        <v>21026.312718301848</v>
      </c>
      <c r="AI7" s="132">
        <f>'1-Ф3'!AI34</f>
        <v>24099.34334131738</v>
      </c>
      <c r="AJ7" s="132">
        <f>'1-Ф3'!AJ34</f>
        <v>25745.18397876631</v>
      </c>
      <c r="AK7" s="132">
        <f>'1-Ф3'!AK34</f>
        <v>27142.408144337576</v>
      </c>
      <c r="AL7" s="132">
        <f>'1-Ф3'!AL34</f>
        <v>28179.18955329823</v>
      </c>
      <c r="AM7" s="132">
        <f>'1-Ф3'!AM34</f>
        <v>27941.5926137603</v>
      </c>
      <c r="AN7" s="132">
        <f>'1-Ф3'!AN34</f>
        <v>27703.162242232534</v>
      </c>
      <c r="AO7" s="132">
        <f>'1-Ф3'!AO34</f>
        <v>27463.893577028324</v>
      </c>
      <c r="AP7" s="132">
        <f>'1-Ф3'!AP34</f>
        <v>27463.893577028324</v>
      </c>
      <c r="AQ7" s="132">
        <f>'1-Ф3'!AQ34</f>
        <v>58099.67367513098</v>
      </c>
      <c r="AR7" s="132">
        <f>'1-Ф3'!AR34</f>
        <v>91663.15114270765</v>
      </c>
      <c r="AS7" s="132">
        <f>'1-Ф3'!AS34</f>
        <v>128047.81148304223</v>
      </c>
      <c r="AT7" s="132">
        <f>'1-Ф3'!AT34</f>
        <v>167141.60459875318</v>
      </c>
      <c r="AU7" s="132">
        <f>'1-Ф3'!AU34</f>
        <v>210337.37098392626</v>
      </c>
    </row>
    <row r="8" spans="1:47" ht="12.75">
      <c r="A8" s="131" t="s">
        <v>117</v>
      </c>
      <c r="B8" s="127"/>
      <c r="C8" s="132"/>
      <c r="D8" s="132">
        <f>C8+'2-ф2'!D5-'1-Ф3'!D9/Исх!$C$19</f>
        <v>0</v>
      </c>
      <c r="E8" s="132">
        <f>D8+'2-ф2'!E5-'1-Ф3'!E9/Исх!$C$19</f>
        <v>0</v>
      </c>
      <c r="F8" s="132">
        <f>E8+'2-ф2'!F5-'1-Ф3'!F9/Исх!$C$19</f>
        <v>0</v>
      </c>
      <c r="G8" s="132">
        <f>F8+'2-ф2'!G5-'1-Ф3'!G9/Исх!$C$19</f>
        <v>0</v>
      </c>
      <c r="H8" s="132">
        <f>G8+'2-ф2'!H5-'1-Ф3'!H9/Исх!$C$19</f>
        <v>0</v>
      </c>
      <c r="I8" s="132">
        <f>H8+'2-ф2'!I5-'1-Ф3'!I9/Исх!$C$19</f>
        <v>0</v>
      </c>
      <c r="J8" s="132">
        <f>I8+'2-ф2'!J5-'1-Ф3'!J9/Исх!$C$19</f>
        <v>0</v>
      </c>
      <c r="K8" s="132">
        <f>Инв!L26/Исх!$C$19</f>
        <v>0</v>
      </c>
      <c r="L8" s="132">
        <f>Инв!M26/Исх!$C$19</f>
        <v>0</v>
      </c>
      <c r="M8" s="132">
        <f>Инв!N26/Исх!$C$19</f>
        <v>25975.714285714286</v>
      </c>
      <c r="N8" s="132">
        <f>Инв!O26/Исх!$C$19</f>
        <v>25975.714285714286</v>
      </c>
      <c r="O8" s="132">
        <f>Инв!P26/Исх!$C$19</f>
        <v>0</v>
      </c>
      <c r="P8" s="132">
        <f>O8</f>
        <v>0</v>
      </c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>
        <f>AB8</f>
        <v>0</v>
      </c>
      <c r="AD8" s="132">
        <f>AC8+'2-ф2'!AD5-'1-Ф3'!AD9/Исх!$C$19</f>
        <v>0</v>
      </c>
      <c r="AE8" s="132">
        <f>AD8+'2-ф2'!AE5-'1-Ф3'!AE9/Исх!$C$19</f>
        <v>0</v>
      </c>
      <c r="AF8" s="132">
        <f>AE8+'2-ф2'!AF5-'1-Ф3'!AF9/Исх!$C$19</f>
        <v>0</v>
      </c>
      <c r="AG8" s="132">
        <f>AF8+'2-ф2'!AG5-'1-Ф3'!AG9/Исх!$C$19</f>
        <v>0</v>
      </c>
      <c r="AH8" s="132">
        <f>AG8+'2-ф2'!AH5-'1-Ф3'!AH9/Исх!$C$19</f>
        <v>0</v>
      </c>
      <c r="AI8" s="132">
        <f>AH8+'2-ф2'!AI5-'1-Ф3'!AI9/Исх!$C$19</f>
        <v>0</v>
      </c>
      <c r="AJ8" s="132">
        <f>AI8+'2-ф2'!AJ5-'1-Ф3'!AJ9/Исх!$C$19</f>
        <v>0</v>
      </c>
      <c r="AK8" s="132">
        <f>AJ8+'2-ф2'!AK5-'1-Ф3'!AK9/Исх!$C$19</f>
        <v>0</v>
      </c>
      <c r="AL8" s="132">
        <f>AK8+'2-ф2'!AL5-'1-Ф3'!AL9/Исх!$C$19</f>
        <v>0</v>
      </c>
      <c r="AM8" s="132">
        <f>AL8+'2-ф2'!AM5-'1-Ф3'!AM9/Исх!$C$19</f>
        <v>0</v>
      </c>
      <c r="AN8" s="132">
        <f>AM8+'2-ф2'!AN5-'1-Ф3'!AN9/Исх!$C$19</f>
        <v>0</v>
      </c>
      <c r="AO8" s="132">
        <f>AN8+'2-ф2'!AO5-'1-Ф3'!AO9/Исх!$C$19</f>
        <v>0</v>
      </c>
      <c r="AP8" s="132">
        <f>AO8</f>
        <v>0</v>
      </c>
      <c r="AQ8" s="132">
        <f>AP8+'2-ф2'!AQ5-'1-Ф3'!AQ9/Исх!$C$19</f>
        <v>0</v>
      </c>
      <c r="AR8" s="132">
        <f>AQ8+'2-ф2'!AR5-'1-Ф3'!AR9/Исх!$C$19</f>
        <v>0</v>
      </c>
      <c r="AS8" s="132">
        <f>AR8+'2-ф2'!AS5-'1-Ф3'!AS9/Исх!$C$19</f>
        <v>0</v>
      </c>
      <c r="AT8" s="132">
        <f>AS8+'2-ф2'!AT5-'1-Ф3'!AT9/Исх!$C$19</f>
        <v>0</v>
      </c>
      <c r="AU8" s="132">
        <f>AT8+'2-ф2'!AU5-'1-Ф3'!AU9/Исх!$C$19</f>
        <v>0</v>
      </c>
    </row>
    <row r="9" spans="1:47" ht="15" customHeight="1">
      <c r="A9" s="131" t="s">
        <v>118</v>
      </c>
      <c r="B9" s="127"/>
      <c r="C9" s="132"/>
      <c r="D9" s="132">
        <f>C9+'1-Ф3'!D12/Исх!$C$19-'2-ф2'!D8</f>
        <v>0</v>
      </c>
      <c r="E9" s="132">
        <f>D9+'1-Ф3'!E12/Исх!$C$19-'2-ф2'!E8</f>
        <v>0</v>
      </c>
      <c r="F9" s="132">
        <f>E9+'1-Ф3'!F12/Исх!$C$19-'2-ф2'!F8</f>
        <v>0</v>
      </c>
      <c r="G9" s="132">
        <f>F9+'1-Ф3'!G12/Исх!$C$19-'2-ф2'!G8</f>
        <v>0</v>
      </c>
      <c r="H9" s="132">
        <f>G9+'1-Ф3'!H12/Исх!$C$19-'2-ф2'!H8</f>
        <v>0</v>
      </c>
      <c r="I9" s="132">
        <f>H9+'1-Ф3'!I12/Исх!$C$19-'2-ф2'!I8</f>
        <v>0</v>
      </c>
      <c r="J9" s="132">
        <f>I9+'1-Ф3'!J12/Исх!$C$19-'2-ф2'!J8</f>
        <v>0</v>
      </c>
      <c r="K9" s="132">
        <f>J9+'1-Ф3'!K12/Исх!$C$19-'2-ф2'!K8</f>
        <v>0</v>
      </c>
      <c r="L9" s="132">
        <f>K9+'1-Ф3'!L12/Исх!$C$19-'2-ф2'!L7</f>
        <v>0</v>
      </c>
      <c r="M9" s="132">
        <f>L9+'1-Ф3'!M12/Исх!$C$19-'2-ф2'!M7</f>
        <v>0</v>
      </c>
      <c r="N9" s="132">
        <f>M9+'1-Ф3'!N12/Исх!$C$19-'2-ф2'!N7</f>
        <v>0</v>
      </c>
      <c r="O9" s="132">
        <f>N9+'1-Ф3'!O12/Исх!$C$19-'2-ф2'!O7</f>
        <v>11461.947749999996</v>
      </c>
      <c r="P9" s="132">
        <f>O9</f>
        <v>11461.947749999996</v>
      </c>
      <c r="Q9" s="132">
        <f>P9+'1-Ф3'!Q12/Исх!$C$19-'2-ф2'!Q7</f>
        <v>13531.466093749994</v>
      </c>
      <c r="R9" s="132">
        <f>Q9+'1-Ф3'!R12/Исх!$C$19-'2-ф2'!R7</f>
        <v>15600.984437499992</v>
      </c>
      <c r="S9" s="132">
        <f>R9+'1-Ф3'!S12/Исх!$C$19-'2-ф2'!S7</f>
        <v>17670.50278124999</v>
      </c>
      <c r="T9" s="132">
        <f>S9+'1-Ф3'!T12/Исх!$C$19-'2-ф2'!T7</f>
        <v>16715.340468749993</v>
      </c>
      <c r="U9" s="132">
        <f>T9+'1-Ф3'!U12/Исх!$C$19-'2-ф2'!U7</f>
        <v>15760.178156249996</v>
      </c>
      <c r="V9" s="132">
        <f>U9+'1-Ф3'!V12/Исх!$C$19-'2-ф2'!V7</f>
        <v>14805.01584375</v>
      </c>
      <c r="W9" s="132">
        <f>V9+'1-Ф3'!W12/Исх!$C$19-'2-ф2'!W7</f>
        <v>16396.95303125</v>
      </c>
      <c r="X9" s="132">
        <f>W9+'1-Ф3'!X12/Исх!$C$19-'2-ф2'!X7</f>
        <v>17988.89021875</v>
      </c>
      <c r="Y9" s="132">
        <f>X9+'1-Ф3'!Y12/Исх!$C$19-'2-ф2'!Y7</f>
        <v>19580.82740625</v>
      </c>
      <c r="Z9" s="132">
        <f>Y9+'1-Ф3'!Z12/Исх!$C$19-'2-ф2'!Z7</f>
        <v>22446.314343749997</v>
      </c>
      <c r="AA9" s="132">
        <f>Z9+'1-Ф3'!AA12/Исх!$C$19-'2-ф2'!AA7</f>
        <v>25311.801281249995</v>
      </c>
      <c r="AB9" s="132">
        <f>AA9+'1-Ф3'!AB12/Исх!$C$19-'2-ф2'!AB7</f>
        <v>28177.288218749993</v>
      </c>
      <c r="AC9" s="132">
        <f>AB9</f>
        <v>28177.288218749993</v>
      </c>
      <c r="AD9" s="132">
        <f>AC9+'1-Ф3'!AD12/Исх!$C$19-'2-ф2'!AD7</f>
        <v>26266.96359374999</v>
      </c>
      <c r="AE9" s="132">
        <f>AD9+'1-Ф3'!AE12/Исх!$C$19-'2-ф2'!AE7</f>
        <v>24356.63896874999</v>
      </c>
      <c r="AF9" s="132">
        <f>AE9+'1-Ф3'!AF12/Исх!$C$19-'2-ф2'!AF7</f>
        <v>22446.31434374999</v>
      </c>
      <c r="AG9" s="132">
        <f>AF9+'1-Ф3'!AG12/Исх!$C$19-'2-ф2'!AG7</f>
        <v>21809.539468749994</v>
      </c>
      <c r="AH9" s="132">
        <f>AG9+'1-Ф3'!AH12/Исх!$C$19-'2-ф2'!AH7</f>
        <v>21172.76459375</v>
      </c>
      <c r="AI9" s="132">
        <f>AH9+'1-Ф3'!AI12/Исх!$C$19-'2-ф2'!AI7</f>
        <v>20535.989718750003</v>
      </c>
      <c r="AJ9" s="132">
        <f>AI9+'1-Ф3'!AJ12/Исх!$C$19-'2-ф2'!AJ7</f>
        <v>21172.764593750006</v>
      </c>
      <c r="AK9" s="132">
        <f>AJ9+'1-Ф3'!AK12/Исх!$C$19-'2-ф2'!AK7</f>
        <v>21809.53946875001</v>
      </c>
      <c r="AL9" s="132">
        <f>AK9+'1-Ф3'!AL12/Исх!$C$19-'2-ф2'!AL7</f>
        <v>22446.31434375001</v>
      </c>
      <c r="AM9" s="132">
        <f>AL9+'1-Ф3'!AM12/Исх!$C$19-'2-ф2'!AM7</f>
        <v>24356.638968750012</v>
      </c>
      <c r="AN9" s="132">
        <f>AM9+'1-Ф3'!AN12/Исх!$C$19-'2-ф2'!AN7</f>
        <v>26266.963593750013</v>
      </c>
      <c r="AO9" s="132">
        <f>AN9+'1-Ф3'!AO12/Исх!$C$19-'2-ф2'!AO7</f>
        <v>28177.288218750014</v>
      </c>
      <c r="AP9" s="132">
        <f>AO9</f>
        <v>28177.288218750014</v>
      </c>
      <c r="AQ9" s="132">
        <f>AP9+'1-Ф3'!AQ12/Исх!$C$19-'2-ф2'!AQ7</f>
        <v>28177.288218750007</v>
      </c>
      <c r="AR9" s="132">
        <f>AQ9+'1-Ф3'!AR12/Исх!$C$19-'2-ф2'!AR7</f>
        <v>28177.288218750007</v>
      </c>
      <c r="AS9" s="132">
        <f>AR9+'1-Ф3'!AS12/Исх!$C$19-'2-ф2'!AS7</f>
        <v>28177.288218750036</v>
      </c>
      <c r="AT9" s="132">
        <f>AS9+'1-Ф3'!AT12/Исх!$C$19-'2-ф2'!AT7</f>
        <v>28177.288218750036</v>
      </c>
      <c r="AU9" s="132">
        <f>AT9+'1-Ф3'!AU12/Исх!$C$19-'2-ф2'!AU7</f>
        <v>28177.288218750036</v>
      </c>
    </row>
    <row r="10" spans="1:47" ht="15" customHeight="1">
      <c r="A10" s="131" t="s">
        <v>119</v>
      </c>
      <c r="B10" s="127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>
        <f>O10</f>
        <v>0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>
        <f>AB10</f>
        <v>0</v>
      </c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>
        <f>AO10</f>
        <v>0</v>
      </c>
      <c r="AQ10" s="132"/>
      <c r="AR10" s="132"/>
      <c r="AS10" s="132"/>
      <c r="AT10" s="132"/>
      <c r="AU10" s="132"/>
    </row>
    <row r="11" spans="1:47" ht="15" customHeight="1">
      <c r="A11" s="126" t="s">
        <v>120</v>
      </c>
      <c r="B11" s="127"/>
      <c r="C11" s="128">
        <f aca="true" t="shared" si="7" ref="C11:AT11">SUM(C12:C14)</f>
        <v>0</v>
      </c>
      <c r="D11" s="128">
        <f t="shared" si="7"/>
        <v>0</v>
      </c>
      <c r="E11" s="128">
        <f t="shared" si="7"/>
        <v>0</v>
      </c>
      <c r="F11" s="128">
        <f t="shared" si="7"/>
        <v>0</v>
      </c>
      <c r="G11" s="128">
        <f t="shared" si="7"/>
        <v>0</v>
      </c>
      <c r="H11" s="128">
        <f t="shared" si="7"/>
        <v>0</v>
      </c>
      <c r="I11" s="128">
        <f t="shared" si="7"/>
        <v>0</v>
      </c>
      <c r="J11" s="128">
        <f t="shared" si="7"/>
        <v>0</v>
      </c>
      <c r="K11" s="128">
        <f t="shared" si="7"/>
        <v>0</v>
      </c>
      <c r="L11" s="128">
        <f t="shared" si="7"/>
        <v>0</v>
      </c>
      <c r="M11" s="128">
        <f t="shared" si="7"/>
        <v>3117.0857142857144</v>
      </c>
      <c r="N11" s="128">
        <f t="shared" si="7"/>
        <v>3117.0857142857144</v>
      </c>
      <c r="O11" s="128">
        <f t="shared" si="7"/>
        <v>62231.353729999995</v>
      </c>
      <c r="P11" s="128">
        <f t="shared" si="7"/>
        <v>62231.353729999995</v>
      </c>
      <c r="Q11" s="128">
        <f t="shared" si="7"/>
        <v>61905.75850833333</v>
      </c>
      <c r="R11" s="128">
        <f t="shared" si="7"/>
        <v>61580.16328666666</v>
      </c>
      <c r="S11" s="128">
        <f t="shared" si="7"/>
        <v>61254.568065</v>
      </c>
      <c r="T11" s="128">
        <f t="shared" si="7"/>
        <v>60292.57790833333</v>
      </c>
      <c r="U11" s="128">
        <f t="shared" si="7"/>
        <v>59330.58775166667</v>
      </c>
      <c r="V11" s="128">
        <f t="shared" si="7"/>
        <v>58368.59759500001</v>
      </c>
      <c r="W11" s="128">
        <f t="shared" si="7"/>
        <v>57712.25937833334</v>
      </c>
      <c r="X11" s="128">
        <f t="shared" si="7"/>
        <v>57055.92116166667</v>
      </c>
      <c r="Y11" s="128">
        <f t="shared" si="7"/>
        <v>56399.58294500001</v>
      </c>
      <c r="Z11" s="128">
        <f t="shared" si="7"/>
        <v>55896.070698333344</v>
      </c>
      <c r="AA11" s="128">
        <f t="shared" si="7"/>
        <v>55392.55845166668</v>
      </c>
      <c r="AB11" s="128">
        <f t="shared" si="7"/>
        <v>54889.04620500001</v>
      </c>
      <c r="AC11" s="128">
        <f t="shared" si="7"/>
        <v>54889.04620500001</v>
      </c>
      <c r="AD11" s="128">
        <f aca="true" t="shared" si="8" ref="AD11:AP11">SUM(AD12:AD14)</f>
        <v>53523.18082119049</v>
      </c>
      <c r="AE11" s="128">
        <f t="shared" si="8"/>
        <v>52157.31543738097</v>
      </c>
      <c r="AF11" s="128">
        <f t="shared" si="8"/>
        <v>50791.45005357145</v>
      </c>
      <c r="AG11" s="128">
        <f t="shared" si="8"/>
        <v>49578.410639761925</v>
      </c>
      <c r="AH11" s="128">
        <f t="shared" si="8"/>
        <v>48365.3712259524</v>
      </c>
      <c r="AI11" s="128">
        <f t="shared" si="8"/>
        <v>47152.331812142875</v>
      </c>
      <c r="AJ11" s="128">
        <f t="shared" si="8"/>
        <v>46092.11836833335</v>
      </c>
      <c r="AK11" s="128">
        <f t="shared" si="8"/>
        <v>45279.70238095241</v>
      </c>
      <c r="AL11" s="128">
        <f t="shared" si="8"/>
        <v>44826.90535714289</v>
      </c>
      <c r="AM11" s="128">
        <f t="shared" si="8"/>
        <v>44374.108333333366</v>
      </c>
      <c r="AN11" s="128">
        <f t="shared" si="8"/>
        <v>43921.311309523844</v>
      </c>
      <c r="AO11" s="128">
        <f t="shared" si="8"/>
        <v>43468.51428571432</v>
      </c>
      <c r="AP11" s="128">
        <f t="shared" si="8"/>
        <v>43468.51428571432</v>
      </c>
      <c r="AQ11" s="128">
        <f t="shared" si="7"/>
        <v>38034.95000000003</v>
      </c>
      <c r="AR11" s="128">
        <f t="shared" si="7"/>
        <v>32601.385714285745</v>
      </c>
      <c r="AS11" s="128">
        <f t="shared" si="7"/>
        <v>27167.821428571457</v>
      </c>
      <c r="AT11" s="128">
        <f t="shared" si="7"/>
        <v>21734.25714285717</v>
      </c>
      <c r="AU11" s="128">
        <f>SUM(AU12:AU14)</f>
        <v>16300.692857142882</v>
      </c>
    </row>
    <row r="12" spans="1:47" ht="12.75">
      <c r="A12" s="131" t="s">
        <v>121</v>
      </c>
      <c r="B12" s="133"/>
      <c r="C12" s="132"/>
      <c r="D12" s="132">
        <f>C12+'1-Ф3'!D20/Исх!$C$19-'2-ф2'!D11</f>
        <v>0</v>
      </c>
      <c r="E12" s="132">
        <f>D12+'1-Ф3'!E20/Исх!$C$19-'2-ф2'!E11</f>
        <v>0</v>
      </c>
      <c r="F12" s="132">
        <f>E12+'1-Ф3'!F20/Исх!$C$19-'2-ф2'!F11</f>
        <v>0</v>
      </c>
      <c r="G12" s="132">
        <f>F12+'1-Ф3'!G20/Исх!$C$19-'2-ф2'!G11</f>
        <v>0</v>
      </c>
      <c r="H12" s="132">
        <f>G12+'1-Ф3'!H20/Исх!$C$19-'2-ф2'!H11</f>
        <v>0</v>
      </c>
      <c r="I12" s="132">
        <f>H12+'1-Ф3'!I20/Исх!$C$19-'2-ф2'!I11</f>
        <v>0</v>
      </c>
      <c r="J12" s="132">
        <f>I12+'1-Ф3'!J20/Исх!$C$19-'2-ф2'!J11</f>
        <v>0</v>
      </c>
      <c r="K12" s="132"/>
      <c r="L12" s="132"/>
      <c r="M12" s="132"/>
      <c r="N12" s="132"/>
      <c r="O12" s="132">
        <f>Инв!P28</f>
        <v>54335.642857142855</v>
      </c>
      <c r="P12" s="132">
        <f>O12</f>
        <v>54335.642857142855</v>
      </c>
      <c r="Q12" s="132">
        <f>P12-'2-ф2'!Q11</f>
        <v>53882.84583333333</v>
      </c>
      <c r="R12" s="132">
        <f>Q12-'2-ф2'!R11</f>
        <v>53430.04880952381</v>
      </c>
      <c r="S12" s="132">
        <f>R12-'2-ф2'!S11</f>
        <v>52977.25178571429</v>
      </c>
      <c r="T12" s="132">
        <f>S12-'2-ф2'!T11</f>
        <v>52524.454761904766</v>
      </c>
      <c r="U12" s="132">
        <f>T12-'2-ф2'!U11</f>
        <v>52071.657738095244</v>
      </c>
      <c r="V12" s="132">
        <f>U12-'2-ф2'!V11</f>
        <v>51618.86071428572</v>
      </c>
      <c r="W12" s="132">
        <f>V12-'2-ф2'!W11</f>
        <v>51166.0636904762</v>
      </c>
      <c r="X12" s="132">
        <f>W12-'2-ф2'!X11</f>
        <v>50713.26666666668</v>
      </c>
      <c r="Y12" s="132">
        <f>X12-'2-ф2'!Y11</f>
        <v>50260.469642857155</v>
      </c>
      <c r="Z12" s="132">
        <f>Y12-'2-ф2'!Z11</f>
        <v>49807.67261904763</v>
      </c>
      <c r="AA12" s="132">
        <f>Z12-'2-ф2'!AA11</f>
        <v>49354.87559523811</v>
      </c>
      <c r="AB12" s="132">
        <f>AA12-'2-ф2'!AB11</f>
        <v>48902.07857142859</v>
      </c>
      <c r="AC12" s="132">
        <f>AB12</f>
        <v>48902.07857142859</v>
      </c>
      <c r="AD12" s="132">
        <f>AC12-'2-ф2'!AD11</f>
        <v>48449.281547619066</v>
      </c>
      <c r="AE12" s="132">
        <f>AD12-'2-ф2'!AE11</f>
        <v>47996.484523809544</v>
      </c>
      <c r="AF12" s="132">
        <f>AE12-'2-ф2'!AF11</f>
        <v>47543.68750000002</v>
      </c>
      <c r="AG12" s="132">
        <f>AF12-'2-ф2'!AG11</f>
        <v>47090.8904761905</v>
      </c>
      <c r="AH12" s="132">
        <f>AG12-'2-ф2'!AH11</f>
        <v>46638.09345238098</v>
      </c>
      <c r="AI12" s="132">
        <f>AH12-'2-ф2'!AI11</f>
        <v>46185.296428571455</v>
      </c>
      <c r="AJ12" s="132">
        <f>AI12-'2-ф2'!AJ11</f>
        <v>45732.49940476193</v>
      </c>
      <c r="AK12" s="132">
        <f>AJ12-'2-ф2'!AK11</f>
        <v>45279.70238095241</v>
      </c>
      <c r="AL12" s="132">
        <f>AK12-'2-ф2'!AL11</f>
        <v>44826.90535714289</v>
      </c>
      <c r="AM12" s="132">
        <f>AL12-'2-ф2'!AM11</f>
        <v>44374.108333333366</v>
      </c>
      <c r="AN12" s="132">
        <f>AM12-'2-ф2'!AN11</f>
        <v>43921.311309523844</v>
      </c>
      <c r="AO12" s="132">
        <f>AN12-'2-ф2'!AO11</f>
        <v>43468.51428571432</v>
      </c>
      <c r="AP12" s="132">
        <f>AO12</f>
        <v>43468.51428571432</v>
      </c>
      <c r="AQ12" s="132">
        <f>AP12-'2-ф2'!AQ11</f>
        <v>38034.95000000003</v>
      </c>
      <c r="AR12" s="132">
        <f>AQ12-'2-ф2'!AR11</f>
        <v>32601.385714285745</v>
      </c>
      <c r="AS12" s="132">
        <f>AR12-'2-ф2'!AS11</f>
        <v>27167.821428571457</v>
      </c>
      <c r="AT12" s="132">
        <f>AS12-'2-ф2'!AT11</f>
        <v>21734.25714285717</v>
      </c>
      <c r="AU12" s="132">
        <f>AT12-'2-ф2'!AU11</f>
        <v>16300.692857142882</v>
      </c>
    </row>
    <row r="13" spans="1:47" ht="12.75">
      <c r="A13" s="131" t="s">
        <v>252</v>
      </c>
      <c r="B13" s="133"/>
      <c r="C13" s="132"/>
      <c r="D13" s="132">
        <f aca="true" t="shared" si="9" ref="D13:J13">C13</f>
        <v>0</v>
      </c>
      <c r="E13" s="132">
        <f t="shared" si="9"/>
        <v>0</v>
      </c>
      <c r="F13" s="132">
        <f t="shared" si="9"/>
        <v>0</v>
      </c>
      <c r="G13" s="132">
        <f t="shared" si="9"/>
        <v>0</v>
      </c>
      <c r="H13" s="132">
        <f t="shared" si="9"/>
        <v>0</v>
      </c>
      <c r="I13" s="132">
        <f t="shared" si="9"/>
        <v>0</v>
      </c>
      <c r="J13" s="132">
        <f t="shared" si="9"/>
        <v>0</v>
      </c>
      <c r="K13" s="132">
        <f>Инв!L25/Исх!$C$19</f>
        <v>0</v>
      </c>
      <c r="L13" s="132">
        <f>Инв!M25/Исх!$C$19</f>
        <v>0</v>
      </c>
      <c r="M13" s="132">
        <f>Инв!N25/Исх!$C$19</f>
        <v>0</v>
      </c>
      <c r="N13" s="132">
        <f>Инв!O25/Исх!$C$19</f>
        <v>0</v>
      </c>
      <c r="O13" s="132">
        <f>Инв!P25/Исх!$C$19</f>
        <v>0</v>
      </c>
      <c r="P13" s="132">
        <f>O13</f>
        <v>0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>
        <f>AB13</f>
        <v>0</v>
      </c>
      <c r="AD13" s="132"/>
      <c r="AE13" s="132">
        <f aca="true" t="shared" si="10" ref="AE13:AO13">AD13</f>
        <v>0</v>
      </c>
      <c r="AF13" s="132">
        <f t="shared" si="10"/>
        <v>0</v>
      </c>
      <c r="AG13" s="132">
        <f t="shared" si="10"/>
        <v>0</v>
      </c>
      <c r="AH13" s="132">
        <f t="shared" si="10"/>
        <v>0</v>
      </c>
      <c r="AI13" s="132">
        <f t="shared" si="10"/>
        <v>0</v>
      </c>
      <c r="AJ13" s="132">
        <f t="shared" si="10"/>
        <v>0</v>
      </c>
      <c r="AK13" s="132">
        <f t="shared" si="10"/>
        <v>0</v>
      </c>
      <c r="AL13" s="132">
        <f t="shared" si="10"/>
        <v>0</v>
      </c>
      <c r="AM13" s="132">
        <f t="shared" si="10"/>
        <v>0</v>
      </c>
      <c r="AN13" s="132">
        <f t="shared" si="10"/>
        <v>0</v>
      </c>
      <c r="AO13" s="132">
        <f t="shared" si="10"/>
        <v>0</v>
      </c>
      <c r="AP13" s="132">
        <f>AO13</f>
        <v>0</v>
      </c>
      <c r="AQ13" s="132">
        <f>AP13</f>
        <v>0</v>
      </c>
      <c r="AR13" s="132">
        <f>AQ13</f>
        <v>0</v>
      </c>
      <c r="AS13" s="132">
        <f>AR13</f>
        <v>0</v>
      </c>
      <c r="AT13" s="132">
        <f>AS13</f>
        <v>0</v>
      </c>
      <c r="AU13" s="132">
        <f>AT13</f>
        <v>0</v>
      </c>
    </row>
    <row r="14" spans="1:47" ht="12.75">
      <c r="A14" s="131" t="s">
        <v>122</v>
      </c>
      <c r="B14" s="133"/>
      <c r="C14" s="132"/>
      <c r="D14" s="132">
        <f>IF('2-ф2'!D26&lt;0,-'2-ф2'!D26,0)</f>
        <v>0</v>
      </c>
      <c r="E14" s="132">
        <f>IF('2-ф2'!E26&lt;0,-'2-ф2'!E26,0)</f>
        <v>0</v>
      </c>
      <c r="F14" s="132">
        <f>IF('2-ф2'!F26&lt;0,-'2-ф2'!F26,0)</f>
        <v>0</v>
      </c>
      <c r="G14" s="132">
        <f>IF('2-ф2'!G26&lt;0,-'2-ф2'!G26,0)</f>
        <v>0</v>
      </c>
      <c r="H14" s="132">
        <f>IF('2-ф2'!H26&lt;0,-'2-ф2'!H26,0)</f>
        <v>0</v>
      </c>
      <c r="I14" s="132">
        <f>IF('2-ф2'!I26&lt;0,-'2-ф2'!I26,0)</f>
        <v>0</v>
      </c>
      <c r="J14" s="132">
        <f>IF('2-ф2'!J26&lt;0,-'2-ф2'!J26,0)</f>
        <v>0</v>
      </c>
      <c r="K14" s="132">
        <f>IF('2-ф2'!K26&lt;0,-'2-ф2'!K26,0)</f>
        <v>0</v>
      </c>
      <c r="L14" s="132">
        <f>IF('2-ф2'!L26&lt;0,-'2-ф2'!L26,0)</f>
        <v>0</v>
      </c>
      <c r="M14" s="132">
        <f>IF('2-ф2'!M26&lt;0,-'2-ф2'!M26,0)</f>
        <v>3117.0857142857144</v>
      </c>
      <c r="N14" s="132">
        <f>IF('2-ф2'!N26&lt;0,-'2-ф2'!N26,0)</f>
        <v>3117.0857142857144</v>
      </c>
      <c r="O14" s="132">
        <f>IF('2-ф2'!O26&lt;0,-'2-ф2'!O26,0)</f>
        <v>7895.710872857142</v>
      </c>
      <c r="P14" s="132">
        <f>O14</f>
        <v>7895.710872857142</v>
      </c>
      <c r="Q14" s="132">
        <f>IF('2-ф2'!Q26&lt;0,-'2-ф2'!Q26,0)</f>
        <v>8022.912674999999</v>
      </c>
      <c r="R14" s="132">
        <f>IF('2-ф2'!R26&lt;0,-'2-ф2'!R26,0)</f>
        <v>8150.114477142855</v>
      </c>
      <c r="S14" s="132">
        <f>IF('2-ф2'!S26&lt;0,-'2-ф2'!S26,0)</f>
        <v>8277.316279285713</v>
      </c>
      <c r="T14" s="132">
        <f>IF('2-ф2'!T26&lt;0,-'2-ф2'!T26,0)</f>
        <v>7768.12314642857</v>
      </c>
      <c r="U14" s="132">
        <f>IF('2-ф2'!U26&lt;0,-'2-ф2'!U26,0)</f>
        <v>7258.9300135714275</v>
      </c>
      <c r="V14" s="132">
        <f>IF('2-ф2'!V26&lt;0,-'2-ф2'!V26,0)</f>
        <v>6749.736880714285</v>
      </c>
      <c r="W14" s="132">
        <f>IF('2-ф2'!W26&lt;0,-'2-ф2'!W26,0)</f>
        <v>6546.195687857142</v>
      </c>
      <c r="X14" s="132">
        <f>IF('2-ф2'!X26&lt;0,-'2-ф2'!X26,0)</f>
        <v>6342.654494999999</v>
      </c>
      <c r="Y14" s="132">
        <f>IF('2-ф2'!Y26&lt;0,-'2-ф2'!Y26,0)</f>
        <v>6139.113302142856</v>
      </c>
      <c r="Z14" s="132">
        <f>IF('2-ф2'!Z26&lt;0,-'2-ф2'!Z26,0)</f>
        <v>6088.398079285713</v>
      </c>
      <c r="AA14" s="132">
        <f>IF('2-ф2'!AA26&lt;0,-'2-ф2'!AA26,0)</f>
        <v>6037.68285642857</v>
      </c>
      <c r="AB14" s="132">
        <f>IF('2-ф2'!AB26&lt;0,-'2-ф2'!AB26,0)</f>
        <v>5986.967633571427</v>
      </c>
      <c r="AC14" s="132">
        <f>AB14</f>
        <v>5986.967633571427</v>
      </c>
      <c r="AD14" s="132">
        <f>IF('2-ф2'!AD26&lt;0,-'2-ф2'!AD26,0)</f>
        <v>5073.8992735714255</v>
      </c>
      <c r="AE14" s="132">
        <f>IF('2-ф2'!AE26&lt;0,-'2-ф2'!AE26,0)</f>
        <v>4160.830913571424</v>
      </c>
      <c r="AF14" s="132">
        <f>IF('2-ф2'!AF26&lt;0,-'2-ф2'!AF26,0)</f>
        <v>3247.7625535714233</v>
      </c>
      <c r="AG14" s="132">
        <f>IF('2-ф2'!AG26&lt;0,-'2-ф2'!AG26,0)</f>
        <v>2487.520163571423</v>
      </c>
      <c r="AH14" s="132">
        <f>IF('2-ф2'!AH26&lt;0,-'2-ф2'!AH26,0)</f>
        <v>1727.2777735714226</v>
      </c>
      <c r="AI14" s="132">
        <f>IF('2-ф2'!AI26&lt;0,-'2-ф2'!AI26,0)</f>
        <v>967.0353835714222</v>
      </c>
      <c r="AJ14" s="132">
        <f>IF('2-ф2'!AJ26&lt;0,-'2-ф2'!AJ26,0)</f>
        <v>359.6189635714218</v>
      </c>
      <c r="AK14" s="132">
        <f>IF('2-ф2'!AK26&lt;0,-'2-ф2'!AK26,0)</f>
        <v>0</v>
      </c>
      <c r="AL14" s="132">
        <f>IF('2-ф2'!AL26&lt;0,-'2-ф2'!AL26,0)</f>
        <v>0</v>
      </c>
      <c r="AM14" s="132">
        <f>IF('2-ф2'!AM26&lt;0,-'2-ф2'!AM26,0)</f>
        <v>0</v>
      </c>
      <c r="AN14" s="132">
        <f>IF('2-ф2'!AN26&lt;0,-'2-ф2'!AN26,0)</f>
        <v>0</v>
      </c>
      <c r="AO14" s="132">
        <f>IF('2-ф2'!AO26&lt;0,-'2-ф2'!AO26,0)</f>
        <v>0</v>
      </c>
      <c r="AP14" s="132">
        <f>AO14</f>
        <v>0</v>
      </c>
      <c r="AQ14" s="132">
        <f>IF('2-ф2'!AQ26&lt;0,-'2-ф2'!AQ26,0)</f>
        <v>0</v>
      </c>
      <c r="AR14" s="132">
        <f>IF('2-ф2'!AR26&lt;0,-'2-ф2'!AR26,0)</f>
        <v>0</v>
      </c>
      <c r="AS14" s="132">
        <f>IF('2-ф2'!AS26&lt;0,-'2-ф2'!AS26,0)</f>
        <v>0</v>
      </c>
      <c r="AT14" s="132">
        <f>IF('2-ф2'!AT26&lt;0,-'2-ф2'!AT26,0)</f>
        <v>0</v>
      </c>
      <c r="AU14" s="132">
        <f>IF('2-ф2'!AU26&lt;0,-'2-ф2'!AU26,0)</f>
        <v>0</v>
      </c>
    </row>
    <row r="15" spans="1:196" ht="12.75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</row>
    <row r="16" spans="1:54" s="130" customFormat="1" ht="15" customHeight="1">
      <c r="A16" s="126" t="s">
        <v>123</v>
      </c>
      <c r="B16" s="127"/>
      <c r="C16" s="127">
        <f aca="true" t="shared" si="11" ref="C16:AT16">C21+C24+C17</f>
        <v>0</v>
      </c>
      <c r="D16" s="127">
        <f t="shared" si="11"/>
        <v>0</v>
      </c>
      <c r="E16" s="127">
        <f t="shared" si="11"/>
        <v>0</v>
      </c>
      <c r="F16" s="127">
        <f t="shared" si="11"/>
        <v>0</v>
      </c>
      <c r="G16" s="127">
        <f t="shared" si="11"/>
        <v>0</v>
      </c>
      <c r="H16" s="127">
        <f t="shared" si="11"/>
        <v>0</v>
      </c>
      <c r="I16" s="127">
        <f t="shared" si="11"/>
        <v>0</v>
      </c>
      <c r="J16" s="127">
        <f t="shared" si="11"/>
        <v>0</v>
      </c>
      <c r="K16" s="127">
        <f t="shared" si="11"/>
        <v>0</v>
      </c>
      <c r="L16" s="127">
        <f t="shared" si="11"/>
        <v>0</v>
      </c>
      <c r="M16" s="127">
        <f t="shared" si="11"/>
        <v>29092.800000000003</v>
      </c>
      <c r="N16" s="127">
        <f t="shared" si="11"/>
        <v>60855.920000000006</v>
      </c>
      <c r="O16" s="127">
        <f t="shared" si="11"/>
        <v>73693.30148000001</v>
      </c>
      <c r="P16" s="127">
        <f t="shared" si="11"/>
        <v>73693.30148000001</v>
      </c>
      <c r="Q16" s="127">
        <f t="shared" si="11"/>
        <v>80407.72312208335</v>
      </c>
      <c r="R16" s="127">
        <f t="shared" si="11"/>
        <v>87649.46687416667</v>
      </c>
      <c r="S16" s="127">
        <f t="shared" si="11"/>
        <v>85444.42895441667</v>
      </c>
      <c r="T16" s="127">
        <f t="shared" si="11"/>
        <v>85518.00150341667</v>
      </c>
      <c r="U16" s="127">
        <f t="shared" si="11"/>
        <v>85591.57405241668</v>
      </c>
      <c r="V16" s="127">
        <f t="shared" si="11"/>
        <v>85665.14660141667</v>
      </c>
      <c r="W16" s="127">
        <f t="shared" si="11"/>
        <v>85738.71915041667</v>
      </c>
      <c r="X16" s="127">
        <f t="shared" si="11"/>
        <v>85496.5308164202</v>
      </c>
      <c r="Y16" s="127">
        <f t="shared" si="11"/>
        <v>84909.59908137869</v>
      </c>
      <c r="Z16" s="127">
        <f t="shared" si="11"/>
        <v>84322.66734633717</v>
      </c>
      <c r="AA16" s="127">
        <f t="shared" si="11"/>
        <v>83735.73561129566</v>
      </c>
      <c r="AB16" s="127">
        <f t="shared" si="11"/>
        <v>83148.80387625415</v>
      </c>
      <c r="AC16" s="127">
        <f t="shared" si="11"/>
        <v>83148.80387625415</v>
      </c>
      <c r="AD16" s="127">
        <f aca="true" t="shared" si="12" ref="AD16:AP16">AD21+AD24+AD17</f>
        <v>84852.30977256977</v>
      </c>
      <c r="AE16" s="127">
        <f t="shared" si="12"/>
        <v>86555.8156688854</v>
      </c>
      <c r="AF16" s="127">
        <f t="shared" si="12"/>
        <v>88115.59193484727</v>
      </c>
      <c r="AG16" s="127">
        <f t="shared" si="12"/>
        <v>89340.42266056713</v>
      </c>
      <c r="AH16" s="127">
        <f t="shared" si="12"/>
        <v>90564.44853800423</v>
      </c>
      <c r="AI16" s="127">
        <f t="shared" si="12"/>
        <v>91787.66487221024</v>
      </c>
      <c r="AJ16" s="127">
        <f t="shared" si="12"/>
        <v>93010.06694084965</v>
      </c>
      <c r="AK16" s="127">
        <f t="shared" si="12"/>
        <v>94231.64999403997</v>
      </c>
      <c r="AL16" s="127">
        <f t="shared" si="12"/>
        <v>95452.4092541911</v>
      </c>
      <c r="AM16" s="127">
        <f t="shared" si="12"/>
        <v>96672.33991584365</v>
      </c>
      <c r="AN16" s="127">
        <f t="shared" si="12"/>
        <v>97891.43714550635</v>
      </c>
      <c r="AO16" s="127">
        <f t="shared" si="12"/>
        <v>99109.69608149263</v>
      </c>
      <c r="AP16" s="127">
        <f t="shared" si="12"/>
        <v>99109.69608149263</v>
      </c>
      <c r="AQ16" s="127">
        <f t="shared" si="11"/>
        <v>124311.91189388094</v>
      </c>
      <c r="AR16" s="127">
        <f t="shared" si="11"/>
        <v>152441.8250757433</v>
      </c>
      <c r="AS16" s="127">
        <f t="shared" si="11"/>
        <v>183392.9211303636</v>
      </c>
      <c r="AT16" s="127">
        <f t="shared" si="11"/>
        <v>217053.1499603603</v>
      </c>
      <c r="AU16" s="127">
        <f>AU21+AU24+AU17</f>
        <v>254815.35205981907</v>
      </c>
      <c r="AV16" s="129"/>
      <c r="AW16" s="129"/>
      <c r="AX16" s="129"/>
      <c r="AY16" s="129"/>
      <c r="AZ16" s="129"/>
      <c r="BA16" s="129"/>
      <c r="BB16" s="129"/>
    </row>
    <row r="17" spans="1:47" ht="15" customHeight="1">
      <c r="A17" s="126" t="s">
        <v>124</v>
      </c>
      <c r="B17" s="127"/>
      <c r="C17" s="127">
        <f aca="true" t="shared" si="13" ref="C17:AT17">SUM(C18:C20)</f>
        <v>0</v>
      </c>
      <c r="D17" s="127">
        <f t="shared" si="13"/>
        <v>0</v>
      </c>
      <c r="E17" s="127">
        <f t="shared" si="13"/>
        <v>0</v>
      </c>
      <c r="F17" s="127">
        <f t="shared" si="13"/>
        <v>0</v>
      </c>
      <c r="G17" s="127">
        <f t="shared" si="13"/>
        <v>0</v>
      </c>
      <c r="H17" s="127">
        <f t="shared" si="13"/>
        <v>0</v>
      </c>
      <c r="I17" s="127">
        <f t="shared" si="13"/>
        <v>0</v>
      </c>
      <c r="J17" s="127">
        <f t="shared" si="13"/>
        <v>0</v>
      </c>
      <c r="K17" s="127">
        <f t="shared" si="13"/>
        <v>0</v>
      </c>
      <c r="L17" s="127">
        <f t="shared" si="13"/>
        <v>0</v>
      </c>
      <c r="M17" s="127">
        <f t="shared" si="13"/>
        <v>0</v>
      </c>
      <c r="N17" s="127">
        <f t="shared" si="13"/>
        <v>169.70800000000003</v>
      </c>
      <c r="O17" s="127">
        <f t="shared" si="13"/>
        <v>524.7008666666668</v>
      </c>
      <c r="P17" s="127">
        <f t="shared" si="13"/>
        <v>524.7008666666668</v>
      </c>
      <c r="Q17" s="127">
        <f t="shared" si="13"/>
        <v>370.56973333333343</v>
      </c>
      <c r="R17" s="127">
        <f t="shared" si="13"/>
        <v>0</v>
      </c>
      <c r="S17" s="127">
        <f t="shared" si="13"/>
        <v>0</v>
      </c>
      <c r="T17" s="127">
        <f t="shared" si="13"/>
        <v>0</v>
      </c>
      <c r="U17" s="127">
        <f t="shared" si="13"/>
        <v>0</v>
      </c>
      <c r="V17" s="127">
        <f t="shared" si="13"/>
        <v>0</v>
      </c>
      <c r="W17" s="127">
        <f t="shared" si="13"/>
        <v>0</v>
      </c>
      <c r="X17" s="127">
        <f t="shared" si="13"/>
        <v>0</v>
      </c>
      <c r="Y17" s="127">
        <f t="shared" si="13"/>
        <v>0</v>
      </c>
      <c r="Z17" s="127">
        <f t="shared" si="13"/>
        <v>0</v>
      </c>
      <c r="AA17" s="127">
        <f t="shared" si="13"/>
        <v>0</v>
      </c>
      <c r="AB17" s="127">
        <f t="shared" si="13"/>
        <v>0</v>
      </c>
      <c r="AC17" s="127">
        <f t="shared" si="13"/>
        <v>0</v>
      </c>
      <c r="AD17" s="127">
        <f aca="true" t="shared" si="14" ref="AD17:AP17">SUM(AD18:AD20)</f>
        <v>0</v>
      </c>
      <c r="AE17" s="127">
        <f t="shared" si="14"/>
        <v>0</v>
      </c>
      <c r="AF17" s="127">
        <f t="shared" si="14"/>
        <v>0</v>
      </c>
      <c r="AG17" s="127">
        <f t="shared" si="14"/>
        <v>0</v>
      </c>
      <c r="AH17" s="127">
        <f t="shared" si="14"/>
        <v>0</v>
      </c>
      <c r="AI17" s="127">
        <f t="shared" si="14"/>
        <v>0</v>
      </c>
      <c r="AJ17" s="127">
        <f t="shared" si="14"/>
        <v>0</v>
      </c>
      <c r="AK17" s="127">
        <f t="shared" si="14"/>
        <v>0</v>
      </c>
      <c r="AL17" s="127">
        <f t="shared" si="14"/>
        <v>0</v>
      </c>
      <c r="AM17" s="127">
        <f t="shared" si="14"/>
        <v>0</v>
      </c>
      <c r="AN17" s="127">
        <f t="shared" si="14"/>
        <v>0</v>
      </c>
      <c r="AO17" s="127">
        <f t="shared" si="14"/>
        <v>0</v>
      </c>
      <c r="AP17" s="127">
        <f t="shared" si="14"/>
        <v>0</v>
      </c>
      <c r="AQ17" s="127">
        <f t="shared" si="13"/>
        <v>0</v>
      </c>
      <c r="AR17" s="127">
        <f t="shared" si="13"/>
        <v>0</v>
      </c>
      <c r="AS17" s="127">
        <f t="shared" si="13"/>
        <v>0</v>
      </c>
      <c r="AT17" s="127">
        <f t="shared" si="13"/>
        <v>0</v>
      </c>
      <c r="AU17" s="127">
        <f>SUM(AU18:AU20)</f>
        <v>0</v>
      </c>
    </row>
    <row r="18" spans="1:47" ht="12.75" hidden="1">
      <c r="A18" s="131" t="s">
        <v>125</v>
      </c>
      <c r="B18" s="133"/>
      <c r="C18" s="133"/>
      <c r="D18" s="133">
        <f>C18</f>
        <v>0</v>
      </c>
      <c r="E18" s="133">
        <f>D18</f>
        <v>0</v>
      </c>
      <c r="F18" s="133">
        <f aca="true" t="shared" si="15" ref="F18:O18">E18</f>
        <v>0</v>
      </c>
      <c r="G18" s="133">
        <f t="shared" si="15"/>
        <v>0</v>
      </c>
      <c r="H18" s="133">
        <f t="shared" si="15"/>
        <v>0</v>
      </c>
      <c r="I18" s="133">
        <f t="shared" si="15"/>
        <v>0</v>
      </c>
      <c r="J18" s="133">
        <f t="shared" si="15"/>
        <v>0</v>
      </c>
      <c r="K18" s="133">
        <f t="shared" si="15"/>
        <v>0</v>
      </c>
      <c r="L18" s="133">
        <f t="shared" si="15"/>
        <v>0</v>
      </c>
      <c r="M18" s="133">
        <f t="shared" si="15"/>
        <v>0</v>
      </c>
      <c r="N18" s="133">
        <f t="shared" si="15"/>
        <v>0</v>
      </c>
      <c r="O18" s="133">
        <f t="shared" si="15"/>
        <v>0</v>
      </c>
      <c r="P18" s="133">
        <f>O18</f>
        <v>0</v>
      </c>
      <c r="Q18" s="133">
        <f>P18</f>
        <v>0</v>
      </c>
      <c r="R18" s="133">
        <f>Q18</f>
        <v>0</v>
      </c>
      <c r="S18" s="133">
        <f>R18</f>
        <v>0</v>
      </c>
      <c r="T18" s="133">
        <f>S18</f>
        <v>0</v>
      </c>
      <c r="U18" s="133">
        <f aca="true" t="shared" si="16" ref="U18:AR18">T18</f>
        <v>0</v>
      </c>
      <c r="V18" s="133">
        <f t="shared" si="16"/>
        <v>0</v>
      </c>
      <c r="W18" s="133">
        <f t="shared" si="16"/>
        <v>0</v>
      </c>
      <c r="X18" s="133">
        <f t="shared" si="16"/>
        <v>0</v>
      </c>
      <c r="Y18" s="133">
        <f t="shared" si="16"/>
        <v>0</v>
      </c>
      <c r="Z18" s="133">
        <f t="shared" si="16"/>
        <v>0</v>
      </c>
      <c r="AA18" s="133">
        <f t="shared" si="16"/>
        <v>0</v>
      </c>
      <c r="AB18" s="133">
        <f t="shared" si="16"/>
        <v>0</v>
      </c>
      <c r="AC18" s="133">
        <f t="shared" si="16"/>
        <v>0</v>
      </c>
      <c r="AD18" s="133">
        <f aca="true" t="shared" si="17" ref="AD18:AO18">AC18</f>
        <v>0</v>
      </c>
      <c r="AE18" s="133">
        <f t="shared" si="17"/>
        <v>0</v>
      </c>
      <c r="AF18" s="133">
        <f t="shared" si="17"/>
        <v>0</v>
      </c>
      <c r="AG18" s="133">
        <f t="shared" si="17"/>
        <v>0</v>
      </c>
      <c r="AH18" s="133">
        <f t="shared" si="17"/>
        <v>0</v>
      </c>
      <c r="AI18" s="133">
        <f t="shared" si="17"/>
        <v>0</v>
      </c>
      <c r="AJ18" s="133">
        <f t="shared" si="17"/>
        <v>0</v>
      </c>
      <c r="AK18" s="133">
        <f t="shared" si="17"/>
        <v>0</v>
      </c>
      <c r="AL18" s="133">
        <f t="shared" si="17"/>
        <v>0</v>
      </c>
      <c r="AM18" s="133">
        <f t="shared" si="17"/>
        <v>0</v>
      </c>
      <c r="AN18" s="133">
        <f t="shared" si="17"/>
        <v>0</v>
      </c>
      <c r="AO18" s="133">
        <f t="shared" si="17"/>
        <v>0</v>
      </c>
      <c r="AP18" s="133">
        <f t="shared" si="16"/>
        <v>0</v>
      </c>
      <c r="AQ18" s="133">
        <f t="shared" si="16"/>
        <v>0</v>
      </c>
      <c r="AR18" s="133">
        <f t="shared" si="16"/>
        <v>0</v>
      </c>
      <c r="AS18" s="133">
        <f>AR18</f>
        <v>0</v>
      </c>
      <c r="AT18" s="133">
        <f>AS18</f>
        <v>0</v>
      </c>
      <c r="AU18" s="133">
        <f>AT18</f>
        <v>0</v>
      </c>
    </row>
    <row r="19" spans="1:48" ht="25.5">
      <c r="A19" s="131" t="s">
        <v>126</v>
      </c>
      <c r="B19" s="133"/>
      <c r="C19" s="133"/>
      <c r="D19" s="133">
        <f>C19+'2-ф2'!D12-'1-Ф3'!D14-кр!C23</f>
        <v>0</v>
      </c>
      <c r="E19" s="133">
        <f>D19+'2-ф2'!E12-'1-Ф3'!E14-кр!D23</f>
        <v>0</v>
      </c>
      <c r="F19" s="133">
        <f>E19+'2-ф2'!F12-'1-Ф3'!F14-кр!E23</f>
        <v>0</v>
      </c>
      <c r="G19" s="133">
        <f>F19+'2-ф2'!G12-'1-Ф3'!G14-кр!F23</f>
        <v>0</v>
      </c>
      <c r="H19" s="133">
        <f>G19+'2-ф2'!H12-'1-Ф3'!H14-кр!G23</f>
        <v>0</v>
      </c>
      <c r="I19" s="133">
        <f>H19+'2-ф2'!I12-'1-Ф3'!I14-кр!H23</f>
        <v>0</v>
      </c>
      <c r="J19" s="133">
        <f>I19+'2-ф2'!J12-'1-Ф3'!J14-кр!I23</f>
        <v>0</v>
      </c>
      <c r="K19" s="133">
        <f>J19+'2-ф2'!K12-'1-Ф3'!K14-кр!J23</f>
        <v>0</v>
      </c>
      <c r="L19" s="133">
        <f>K19+'2-ф2'!L12-'1-Ф3'!L14-кр!K23</f>
        <v>0</v>
      </c>
      <c r="M19" s="133">
        <f>L19+'2-ф2'!M12-'1-Ф3'!M14-кр!L23</f>
        <v>0</v>
      </c>
      <c r="N19" s="133">
        <f>M19+'2-ф2'!N12-'1-Ф3'!N14-кр!M23</f>
        <v>169.70800000000003</v>
      </c>
      <c r="O19" s="133">
        <f>N19+'2-ф2'!O12-'1-Ф3'!O14-кр!N23</f>
        <v>524.7008666666668</v>
      </c>
      <c r="P19" s="133">
        <f>O19</f>
        <v>524.7008666666668</v>
      </c>
      <c r="Q19" s="133">
        <f>P19+'2-ф2'!Q12-'1-Ф3'!Q14-кр!P23</f>
        <v>370.56973333333343</v>
      </c>
      <c r="R19" s="133">
        <f>Q19+'2-ф2'!R12-'1-Ф3'!R14-кр!Q23</f>
        <v>0</v>
      </c>
      <c r="S19" s="133">
        <f>R19+'2-ф2'!S12-'1-Ф3'!S14-кр!R23</f>
        <v>0</v>
      </c>
      <c r="T19" s="133">
        <f>S19+'2-ф2'!T12-'1-Ф3'!T14-кр!S23</f>
        <v>0</v>
      </c>
      <c r="U19" s="133">
        <f>T19+'2-ф2'!U12-'1-Ф3'!U14-кр!T23</f>
        <v>0</v>
      </c>
      <c r="V19" s="133">
        <f>U19+'2-ф2'!V12-'1-Ф3'!V14-кр!U23</f>
        <v>0</v>
      </c>
      <c r="W19" s="133">
        <f>V19+'2-ф2'!W12-'1-Ф3'!W14-кр!V23</f>
        <v>0</v>
      </c>
      <c r="X19" s="133">
        <f>W19+'2-ф2'!X12-'1-Ф3'!X14-кр!W23</f>
        <v>0</v>
      </c>
      <c r="Y19" s="133">
        <f>X19+'2-ф2'!Y12-'1-Ф3'!Y14-кр!X23</f>
        <v>0</v>
      </c>
      <c r="Z19" s="133">
        <f>Y19+'2-ф2'!Z12-'1-Ф3'!Z14-кр!Y23</f>
        <v>0</v>
      </c>
      <c r="AA19" s="133">
        <f>Z19+'2-ф2'!AA12-'1-Ф3'!AA14-кр!Z23</f>
        <v>0</v>
      </c>
      <c r="AB19" s="133">
        <f>AA19+'2-ф2'!AB12-'1-Ф3'!AB14-кр!AA23</f>
        <v>0</v>
      </c>
      <c r="AC19" s="133">
        <f>AB19</f>
        <v>0</v>
      </c>
      <c r="AD19" s="133">
        <f>AC19+'2-ф2'!AD12-'1-Ф3'!AD14-кр!AC23</f>
        <v>0</v>
      </c>
      <c r="AE19" s="133">
        <f>AD19+'2-ф2'!AE12-'1-Ф3'!AE14-кр!AD23</f>
        <v>0</v>
      </c>
      <c r="AF19" s="133">
        <f>AE19+'2-ф2'!AF12-'1-Ф3'!AF14-кр!AE23</f>
        <v>0</v>
      </c>
      <c r="AG19" s="133">
        <f>AF19+'2-ф2'!AG12-'1-Ф3'!AG14-кр!AF23</f>
        <v>0</v>
      </c>
      <c r="AH19" s="133">
        <f>AG19+'2-ф2'!AH12-'1-Ф3'!AH14-кр!AG23</f>
        <v>0</v>
      </c>
      <c r="AI19" s="133">
        <f>AH19+'2-ф2'!AI12-'1-Ф3'!AI14-кр!AH23</f>
        <v>0</v>
      </c>
      <c r="AJ19" s="133">
        <f>AI19+'2-ф2'!AJ12-'1-Ф3'!AJ14-кр!AI23</f>
        <v>0</v>
      </c>
      <c r="AK19" s="133">
        <f>AJ19+'2-ф2'!AK12-'1-Ф3'!AK14-кр!AJ23</f>
        <v>0</v>
      </c>
      <c r="AL19" s="133">
        <f>AK19+'2-ф2'!AL12-'1-Ф3'!AL14-кр!AK23</f>
        <v>0</v>
      </c>
      <c r="AM19" s="133">
        <f>AL19+'2-ф2'!AM12-'1-Ф3'!AM14-кр!AL23</f>
        <v>0</v>
      </c>
      <c r="AN19" s="133">
        <f>AM19+'2-ф2'!AN12-'1-Ф3'!AN14-кр!AM23</f>
        <v>0</v>
      </c>
      <c r="AO19" s="133">
        <f>AN19+'2-ф2'!AO12-'1-Ф3'!AO14-кр!AN23</f>
        <v>0</v>
      </c>
      <c r="AP19" s="133">
        <f>AO19</f>
        <v>0</v>
      </c>
      <c r="AQ19" s="133">
        <f>AP19+'2-ф2'!AQ12-'1-Ф3'!AQ14</f>
        <v>0</v>
      </c>
      <c r="AR19" s="133">
        <f>AQ19+'2-ф2'!AR12-'1-Ф3'!AR14</f>
        <v>0</v>
      </c>
      <c r="AS19" s="133">
        <f>AR19+'2-ф2'!AS12-'1-Ф3'!AS14</f>
        <v>0</v>
      </c>
      <c r="AT19" s="133">
        <f>AS19+'2-ф2'!AT12-'1-Ф3'!AT14</f>
        <v>0</v>
      </c>
      <c r="AU19" s="133">
        <f>AT19+'2-ф2'!AU12-'1-Ф3'!AU14</f>
        <v>0</v>
      </c>
      <c r="AV19" s="120"/>
    </row>
    <row r="20" spans="1:47" ht="12.75">
      <c r="A20" s="131" t="s">
        <v>128</v>
      </c>
      <c r="B20" s="133"/>
      <c r="C20" s="133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33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33">
        <f>AB20</f>
        <v>0</v>
      </c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33">
        <f>AO20</f>
        <v>0</v>
      </c>
      <c r="AQ20" s="133"/>
      <c r="AR20" s="133"/>
      <c r="AS20" s="133"/>
      <c r="AT20" s="133"/>
      <c r="AU20" s="133"/>
    </row>
    <row r="21" spans="1:47" ht="15" customHeight="1">
      <c r="A21" s="126" t="s">
        <v>129</v>
      </c>
      <c r="B21" s="127"/>
      <c r="C21" s="127">
        <f aca="true" t="shared" si="18" ref="C21:AT21">SUM(C22:C23)</f>
        <v>0</v>
      </c>
      <c r="D21" s="127">
        <f t="shared" si="18"/>
        <v>0</v>
      </c>
      <c r="E21" s="127">
        <f t="shared" si="18"/>
        <v>0</v>
      </c>
      <c r="F21" s="127">
        <f t="shared" si="18"/>
        <v>0</v>
      </c>
      <c r="G21" s="127">
        <f t="shared" si="18"/>
        <v>0</v>
      </c>
      <c r="H21" s="127">
        <f t="shared" si="18"/>
        <v>0</v>
      </c>
      <c r="I21" s="127">
        <f t="shared" si="18"/>
        <v>0</v>
      </c>
      <c r="J21" s="127">
        <f t="shared" si="18"/>
        <v>0</v>
      </c>
      <c r="K21" s="127">
        <f t="shared" si="18"/>
        <v>0</v>
      </c>
      <c r="L21" s="127">
        <f t="shared" si="18"/>
        <v>0</v>
      </c>
      <c r="M21" s="127">
        <f t="shared" si="18"/>
        <v>29092.800000000003</v>
      </c>
      <c r="N21" s="127">
        <f t="shared" si="18"/>
        <v>60855.920000000006</v>
      </c>
      <c r="O21" s="127">
        <f t="shared" si="18"/>
        <v>60855.920000000006</v>
      </c>
      <c r="P21" s="127">
        <f t="shared" si="18"/>
        <v>60855.920000000006</v>
      </c>
      <c r="Q21" s="127">
        <f t="shared" si="18"/>
        <v>61365.04400000001</v>
      </c>
      <c r="R21" s="127">
        <f t="shared" si="18"/>
        <v>61920.8986</v>
      </c>
      <c r="S21" s="127">
        <f t="shared" si="18"/>
        <v>61920.8986</v>
      </c>
      <c r="T21" s="127">
        <f t="shared" si="18"/>
        <v>61920.8986</v>
      </c>
      <c r="U21" s="127">
        <f t="shared" si="18"/>
        <v>61920.8986</v>
      </c>
      <c r="V21" s="127">
        <f t="shared" si="18"/>
        <v>61920.8986</v>
      </c>
      <c r="W21" s="127">
        <f t="shared" si="18"/>
        <v>61920.8986</v>
      </c>
      <c r="X21" s="127">
        <f t="shared" si="18"/>
        <v>61605.13771700353</v>
      </c>
      <c r="Y21" s="127">
        <f t="shared" si="18"/>
        <v>60942.79149447786</v>
      </c>
      <c r="Z21" s="127">
        <f t="shared" si="18"/>
        <v>60276.58158565413</v>
      </c>
      <c r="AA21" s="127">
        <f t="shared" si="18"/>
        <v>59606.48545236226</v>
      </c>
      <c r="AB21" s="127">
        <f t="shared" si="18"/>
        <v>58932.48042495953</v>
      </c>
      <c r="AC21" s="127">
        <f t="shared" si="18"/>
        <v>58932.48042495953</v>
      </c>
      <c r="AD21" s="127">
        <f aca="true" t="shared" si="19" ref="AD21:AP21">SUM(AD22:AD23)</f>
        <v>58254.54370156361</v>
      </c>
      <c r="AE21" s="127">
        <f t="shared" si="19"/>
        <v>57572.65234728122</v>
      </c>
      <c r="AF21" s="127">
        <f t="shared" si="19"/>
        <v>56886.78329343218</v>
      </c>
      <c r="AG21" s="127">
        <f t="shared" si="19"/>
        <v>56196.91333676901</v>
      </c>
      <c r="AH21" s="127">
        <f t="shared" si="19"/>
        <v>55503.019138691976</v>
      </c>
      <c r="AI21" s="127">
        <f t="shared" si="19"/>
        <v>54805.0772244595</v>
      </c>
      <c r="AJ21" s="127">
        <f t="shared" si="19"/>
        <v>54103.063982394</v>
      </c>
      <c r="AK21" s="127">
        <f t="shared" si="19"/>
        <v>53396.95566308311</v>
      </c>
      <c r="AL21" s="127">
        <f t="shared" si="19"/>
        <v>52686.72837857624</v>
      </c>
      <c r="AM21" s="127">
        <f t="shared" si="19"/>
        <v>51972.35810157642</v>
      </c>
      <c r="AN21" s="127">
        <f t="shared" si="19"/>
        <v>51253.820664627434</v>
      </c>
      <c r="AO21" s="127">
        <f t="shared" si="19"/>
        <v>50531.09175929625</v>
      </c>
      <c r="AP21" s="127">
        <f t="shared" si="19"/>
        <v>50531.09175929625</v>
      </c>
      <c r="AQ21" s="127">
        <f t="shared" si="18"/>
        <v>41522.366027687516</v>
      </c>
      <c r="AR21" s="127">
        <f t="shared" si="18"/>
        <v>31862.39878452913</v>
      </c>
      <c r="AS21" s="127">
        <f t="shared" si="18"/>
        <v>21504.111728294243</v>
      </c>
      <c r="AT21" s="127">
        <f t="shared" si="18"/>
        <v>10397.02326323203</v>
      </c>
      <c r="AU21" s="127">
        <f>SUM(AU22:AU23)</f>
        <v>2.46643594437046E-10</v>
      </c>
    </row>
    <row r="22" spans="1:47" ht="12.75">
      <c r="A22" s="131" t="s">
        <v>127</v>
      </c>
      <c r="B22" s="133"/>
      <c r="C22" s="127"/>
      <c r="D22" s="133">
        <f>кр!C27</f>
        <v>0</v>
      </c>
      <c r="E22" s="133">
        <f>кр!D27</f>
        <v>0</v>
      </c>
      <c r="F22" s="133">
        <f>кр!E27</f>
        <v>0</v>
      </c>
      <c r="G22" s="133">
        <f>кр!F27</f>
        <v>0</v>
      </c>
      <c r="H22" s="133">
        <f>кр!G27</f>
        <v>0</v>
      </c>
      <c r="I22" s="133">
        <f>кр!H27</f>
        <v>0</v>
      </c>
      <c r="J22" s="133">
        <f>кр!I27</f>
        <v>0</v>
      </c>
      <c r="K22" s="133">
        <f>кр!J27</f>
        <v>0</v>
      </c>
      <c r="L22" s="133">
        <f>кр!K27</f>
        <v>0</v>
      </c>
      <c r="M22" s="133">
        <f>кр!L27</f>
        <v>29092.800000000003</v>
      </c>
      <c r="N22" s="133">
        <f>кр!M27</f>
        <v>60855.920000000006</v>
      </c>
      <c r="O22" s="133">
        <f>кр!N27</f>
        <v>60855.920000000006</v>
      </c>
      <c r="P22" s="133">
        <f>кр!O27</f>
        <v>60855.920000000006</v>
      </c>
      <c r="Q22" s="133">
        <f>кр!P27</f>
        <v>61365.04400000001</v>
      </c>
      <c r="R22" s="133">
        <f>кр!Q27</f>
        <v>61920.8986</v>
      </c>
      <c r="S22" s="133">
        <f>кр!R27</f>
        <v>61920.8986</v>
      </c>
      <c r="T22" s="133">
        <f>кр!S27</f>
        <v>61920.8986</v>
      </c>
      <c r="U22" s="133">
        <f>кр!T27</f>
        <v>61920.8986</v>
      </c>
      <c r="V22" s="133">
        <f>кр!U27</f>
        <v>61920.8986</v>
      </c>
      <c r="W22" s="133">
        <f>кр!V27</f>
        <v>61920.8986</v>
      </c>
      <c r="X22" s="133">
        <f>кр!W27</f>
        <v>61605.13771700353</v>
      </c>
      <c r="Y22" s="133">
        <f>кр!X27</f>
        <v>60942.79149447786</v>
      </c>
      <c r="Z22" s="133">
        <f>кр!Y27</f>
        <v>60276.58158565413</v>
      </c>
      <c r="AA22" s="133">
        <f>кр!Z27</f>
        <v>59606.48545236226</v>
      </c>
      <c r="AB22" s="133">
        <f>кр!AA27</f>
        <v>58932.48042495953</v>
      </c>
      <c r="AC22" s="133">
        <f>кр!AB27</f>
        <v>58932.48042495953</v>
      </c>
      <c r="AD22" s="133">
        <f>кр!AC27</f>
        <v>58254.54370156361</v>
      </c>
      <c r="AE22" s="133">
        <f>кр!AD27</f>
        <v>57572.65234728122</v>
      </c>
      <c r="AF22" s="133">
        <f>кр!AE27</f>
        <v>56886.78329343218</v>
      </c>
      <c r="AG22" s="133">
        <f>кр!AF27</f>
        <v>56196.91333676901</v>
      </c>
      <c r="AH22" s="133">
        <f>кр!AG27</f>
        <v>55503.019138691976</v>
      </c>
      <c r="AI22" s="133">
        <f>кр!AH27</f>
        <v>54805.0772244595</v>
      </c>
      <c r="AJ22" s="133">
        <f>кр!AI27</f>
        <v>54103.063982394</v>
      </c>
      <c r="AK22" s="133">
        <f>кр!AJ27</f>
        <v>53396.95566308311</v>
      </c>
      <c r="AL22" s="133">
        <f>кр!AK27</f>
        <v>52686.72837857624</v>
      </c>
      <c r="AM22" s="133">
        <f>кр!AL27</f>
        <v>51972.35810157642</v>
      </c>
      <c r="AN22" s="133">
        <f>кр!AM27</f>
        <v>51253.820664627434</v>
      </c>
      <c r="AO22" s="133">
        <f>кр!AN27</f>
        <v>50531.09175929625</v>
      </c>
      <c r="AP22" s="133">
        <f>кр!AO27</f>
        <v>50531.09175929625</v>
      </c>
      <c r="AQ22" s="133">
        <f>кр!BB27</f>
        <v>41522.366027687516</v>
      </c>
      <c r="AR22" s="133">
        <f>кр!BO27</f>
        <v>31862.39878452913</v>
      </c>
      <c r="AS22" s="133">
        <f>кр!CB27</f>
        <v>21504.111728294243</v>
      </c>
      <c r="AT22" s="133">
        <f>кр!CO27</f>
        <v>10397.02326323203</v>
      </c>
      <c r="AU22" s="133">
        <f>кр!DB27</f>
        <v>2.46643594437046E-10</v>
      </c>
    </row>
    <row r="23" spans="1:47" ht="15" customHeight="1" hidden="1">
      <c r="A23" s="131" t="s">
        <v>130</v>
      </c>
      <c r="B23" s="133"/>
      <c r="C23" s="133"/>
      <c r="D23" s="133">
        <f>C23</f>
        <v>0</v>
      </c>
      <c r="E23" s="133">
        <f>D23</f>
        <v>0</v>
      </c>
      <c r="F23" s="133">
        <f aca="true" t="shared" si="20" ref="F23:AU23">E23</f>
        <v>0</v>
      </c>
      <c r="G23" s="133">
        <f t="shared" si="20"/>
        <v>0</v>
      </c>
      <c r="H23" s="133">
        <f t="shared" si="20"/>
        <v>0</v>
      </c>
      <c r="I23" s="133">
        <f t="shared" si="20"/>
        <v>0</v>
      </c>
      <c r="J23" s="133">
        <f t="shared" si="20"/>
        <v>0</v>
      </c>
      <c r="K23" s="133">
        <f t="shared" si="20"/>
        <v>0</v>
      </c>
      <c r="L23" s="133">
        <f t="shared" si="20"/>
        <v>0</v>
      </c>
      <c r="M23" s="133">
        <f t="shared" si="20"/>
        <v>0</v>
      </c>
      <c r="N23" s="133">
        <f t="shared" si="20"/>
        <v>0</v>
      </c>
      <c r="O23" s="133">
        <f t="shared" si="20"/>
        <v>0</v>
      </c>
      <c r="P23" s="133">
        <f t="shared" si="20"/>
        <v>0</v>
      </c>
      <c r="Q23" s="133">
        <f t="shared" si="20"/>
        <v>0</v>
      </c>
      <c r="R23" s="133">
        <f t="shared" si="20"/>
        <v>0</v>
      </c>
      <c r="S23" s="133">
        <f t="shared" si="20"/>
        <v>0</v>
      </c>
      <c r="T23" s="133">
        <f t="shared" si="20"/>
        <v>0</v>
      </c>
      <c r="U23" s="133">
        <f t="shared" si="20"/>
        <v>0</v>
      </c>
      <c r="V23" s="133">
        <f t="shared" si="20"/>
        <v>0</v>
      </c>
      <c r="W23" s="133">
        <f t="shared" si="20"/>
        <v>0</v>
      </c>
      <c r="X23" s="133">
        <f t="shared" si="20"/>
        <v>0</v>
      </c>
      <c r="Y23" s="133">
        <f t="shared" si="20"/>
        <v>0</v>
      </c>
      <c r="Z23" s="133">
        <f t="shared" si="20"/>
        <v>0</v>
      </c>
      <c r="AA23" s="133">
        <f t="shared" si="20"/>
        <v>0</v>
      </c>
      <c r="AB23" s="133">
        <f t="shared" si="20"/>
        <v>0</v>
      </c>
      <c r="AC23" s="127">
        <f aca="true" t="shared" si="21" ref="AC23:AP23">AB23</f>
        <v>0</v>
      </c>
      <c r="AD23" s="133">
        <f t="shared" si="21"/>
        <v>0</v>
      </c>
      <c r="AE23" s="133">
        <f t="shared" si="21"/>
        <v>0</v>
      </c>
      <c r="AF23" s="133">
        <f t="shared" si="21"/>
        <v>0</v>
      </c>
      <c r="AG23" s="133">
        <f t="shared" si="21"/>
        <v>0</v>
      </c>
      <c r="AH23" s="133">
        <f t="shared" si="21"/>
        <v>0</v>
      </c>
      <c r="AI23" s="133">
        <f t="shared" si="21"/>
        <v>0</v>
      </c>
      <c r="AJ23" s="133">
        <f t="shared" si="21"/>
        <v>0</v>
      </c>
      <c r="AK23" s="133">
        <f t="shared" si="21"/>
        <v>0</v>
      </c>
      <c r="AL23" s="133">
        <f t="shared" si="21"/>
        <v>0</v>
      </c>
      <c r="AM23" s="133">
        <f t="shared" si="21"/>
        <v>0</v>
      </c>
      <c r="AN23" s="133">
        <f t="shared" si="21"/>
        <v>0</v>
      </c>
      <c r="AO23" s="133">
        <f t="shared" si="21"/>
        <v>0</v>
      </c>
      <c r="AP23" s="127">
        <f t="shared" si="21"/>
        <v>0</v>
      </c>
      <c r="AQ23" s="133">
        <f t="shared" si="20"/>
        <v>0</v>
      </c>
      <c r="AR23" s="133">
        <f t="shared" si="20"/>
        <v>0</v>
      </c>
      <c r="AS23" s="133">
        <f t="shared" si="20"/>
        <v>0</v>
      </c>
      <c r="AT23" s="133">
        <f t="shared" si="20"/>
        <v>0</v>
      </c>
      <c r="AU23" s="133">
        <f t="shared" si="20"/>
        <v>0</v>
      </c>
    </row>
    <row r="24" spans="1:47" s="130" customFormat="1" ht="15" customHeight="1">
      <c r="A24" s="126" t="s">
        <v>131</v>
      </c>
      <c r="B24" s="127"/>
      <c r="C24" s="127">
        <f aca="true" t="shared" si="22" ref="C24:AT24">SUM(C25:C26)</f>
        <v>0</v>
      </c>
      <c r="D24" s="127">
        <f t="shared" si="22"/>
        <v>0</v>
      </c>
      <c r="E24" s="127">
        <f t="shared" si="22"/>
        <v>0</v>
      </c>
      <c r="F24" s="127">
        <f t="shared" si="22"/>
        <v>0</v>
      </c>
      <c r="G24" s="127">
        <f t="shared" si="22"/>
        <v>0</v>
      </c>
      <c r="H24" s="127">
        <f t="shared" si="22"/>
        <v>0</v>
      </c>
      <c r="I24" s="127">
        <f t="shared" si="22"/>
        <v>0</v>
      </c>
      <c r="J24" s="127">
        <f t="shared" si="22"/>
        <v>0</v>
      </c>
      <c r="K24" s="127">
        <f t="shared" si="22"/>
        <v>0</v>
      </c>
      <c r="L24" s="127">
        <f t="shared" si="22"/>
        <v>0</v>
      </c>
      <c r="M24" s="127">
        <f t="shared" si="22"/>
        <v>0</v>
      </c>
      <c r="N24" s="127">
        <f t="shared" si="22"/>
        <v>-169.70800000000003</v>
      </c>
      <c r="O24" s="127">
        <f t="shared" si="22"/>
        <v>12312.68061333333</v>
      </c>
      <c r="P24" s="127">
        <f t="shared" si="22"/>
        <v>12312.68061333333</v>
      </c>
      <c r="Q24" s="127">
        <f t="shared" si="22"/>
        <v>18672.109388749996</v>
      </c>
      <c r="R24" s="127">
        <f t="shared" si="22"/>
        <v>25728.568274166664</v>
      </c>
      <c r="S24" s="127">
        <f t="shared" si="22"/>
        <v>23523.530354416667</v>
      </c>
      <c r="T24" s="127">
        <f t="shared" si="22"/>
        <v>23597.102903416668</v>
      </c>
      <c r="U24" s="127">
        <f t="shared" si="22"/>
        <v>23670.67545241667</v>
      </c>
      <c r="V24" s="127">
        <f t="shared" si="22"/>
        <v>23744.248001416672</v>
      </c>
      <c r="W24" s="127">
        <f t="shared" si="22"/>
        <v>23817.820550416676</v>
      </c>
      <c r="X24" s="127">
        <f t="shared" si="22"/>
        <v>23891.393099416677</v>
      </c>
      <c r="Y24" s="127">
        <f t="shared" si="22"/>
        <v>23966.807586900824</v>
      </c>
      <c r="Z24" s="127">
        <f t="shared" si="22"/>
        <v>24046.08576068304</v>
      </c>
      <c r="AA24" s="127">
        <f t="shared" si="22"/>
        <v>24129.250158933395</v>
      </c>
      <c r="AB24" s="127">
        <f t="shared" si="22"/>
        <v>24216.323451294615</v>
      </c>
      <c r="AC24" s="127">
        <f t="shared" si="22"/>
        <v>24216.323451294615</v>
      </c>
      <c r="AD24" s="127">
        <f aca="true" t="shared" si="23" ref="AD24:AP24">SUM(AD25:AD26)</f>
        <v>26597.76607100617</v>
      </c>
      <c r="AE24" s="127">
        <f t="shared" si="23"/>
        <v>28983.163321604192</v>
      </c>
      <c r="AF24" s="127">
        <f t="shared" si="23"/>
        <v>31228.808641415093</v>
      </c>
      <c r="AG24" s="127">
        <f t="shared" si="23"/>
        <v>33143.50932379813</v>
      </c>
      <c r="AH24" s="127">
        <f t="shared" si="23"/>
        <v>35061.429399312256</v>
      </c>
      <c r="AI24" s="127">
        <f t="shared" si="23"/>
        <v>36982.58764775074</v>
      </c>
      <c r="AJ24" s="127">
        <f t="shared" si="23"/>
        <v>38907.00295845565</v>
      </c>
      <c r="AK24" s="127">
        <f t="shared" si="23"/>
        <v>40834.69433095686</v>
      </c>
      <c r="AL24" s="127">
        <f t="shared" si="23"/>
        <v>42765.68087561486</v>
      </c>
      <c r="AM24" s="127">
        <f t="shared" si="23"/>
        <v>44699.98181426722</v>
      </c>
      <c r="AN24" s="127">
        <f t="shared" si="23"/>
        <v>46637.61648087892</v>
      </c>
      <c r="AO24" s="127">
        <f t="shared" si="23"/>
        <v>48578.60432219638</v>
      </c>
      <c r="AP24" s="127">
        <f t="shared" si="23"/>
        <v>48578.60432219638</v>
      </c>
      <c r="AQ24" s="127">
        <f t="shared" si="22"/>
        <v>82789.54586619342</v>
      </c>
      <c r="AR24" s="127">
        <f t="shared" si="22"/>
        <v>120579.42629121419</v>
      </c>
      <c r="AS24" s="127">
        <f t="shared" si="22"/>
        <v>161888.80940206937</v>
      </c>
      <c r="AT24" s="127">
        <f t="shared" si="22"/>
        <v>206656.12669712826</v>
      </c>
      <c r="AU24" s="127">
        <f>SUM(AU25:AU26)</f>
        <v>254815.35205981883</v>
      </c>
    </row>
    <row r="25" spans="1:47" ht="15" customHeight="1">
      <c r="A25" s="131" t="s">
        <v>132</v>
      </c>
      <c r="B25" s="127"/>
      <c r="C25" s="133"/>
      <c r="D25" s="133">
        <f>C25+'1-Ф3'!D27</f>
        <v>0</v>
      </c>
      <c r="E25" s="133">
        <f>D25+'1-Ф3'!E27</f>
        <v>0</v>
      </c>
      <c r="F25" s="133">
        <f>E25+'1-Ф3'!F27</f>
        <v>0</v>
      </c>
      <c r="G25" s="133">
        <f>F25+'1-Ф3'!G27</f>
        <v>0</v>
      </c>
      <c r="H25" s="133">
        <f>G25+'1-Ф3'!H27</f>
        <v>0</v>
      </c>
      <c r="I25" s="133">
        <f>H25+'1-Ф3'!I27</f>
        <v>0</v>
      </c>
      <c r="J25" s="133">
        <f>I25+'1-Ф3'!J27</f>
        <v>0</v>
      </c>
      <c r="K25" s="133">
        <f>J25+'1-Ф3'!K27</f>
        <v>0</v>
      </c>
      <c r="L25" s="133">
        <f>K25+'1-Ф3'!L27</f>
        <v>0</v>
      </c>
      <c r="M25" s="133">
        <f>L25+'1-Ф3'!M27</f>
        <v>0</v>
      </c>
      <c r="N25" s="133">
        <f>M25+'1-Ф3'!N27</f>
        <v>0</v>
      </c>
      <c r="O25" s="133">
        <f>N25+'1-Ф3'!O27</f>
        <v>12837.381479999996</v>
      </c>
      <c r="P25" s="133">
        <f>O25</f>
        <v>12837.381479999996</v>
      </c>
      <c r="Q25" s="133">
        <f>P25+'1-Ф3'!Q27</f>
        <v>21395.635799999996</v>
      </c>
      <c r="R25" s="133">
        <f>Q25+'1-Ф3'!R27</f>
        <v>30653.890119999996</v>
      </c>
      <c r="S25" s="133">
        <f>R25+'1-Ф3'!S27</f>
        <v>30653.890119999996</v>
      </c>
      <c r="T25" s="133">
        <f>S25+'1-Ф3'!T27</f>
        <v>30653.890119999996</v>
      </c>
      <c r="U25" s="133">
        <f>T25+'1-Ф3'!U27</f>
        <v>30653.890119999996</v>
      </c>
      <c r="V25" s="133">
        <f>U25+'1-Ф3'!V27</f>
        <v>30653.890119999996</v>
      </c>
      <c r="W25" s="133">
        <f>V25+'1-Ф3'!W27</f>
        <v>30653.890119999996</v>
      </c>
      <c r="X25" s="133">
        <f>W25+'1-Ф3'!X27</f>
        <v>30653.890119999996</v>
      </c>
      <c r="Y25" s="133">
        <f>X25+'1-Ф3'!Y27</f>
        <v>30653.890119999996</v>
      </c>
      <c r="Z25" s="133">
        <f>Y25+'1-Ф3'!Z27</f>
        <v>30653.890119999996</v>
      </c>
      <c r="AA25" s="133">
        <f>Z25+'1-Ф3'!AA27</f>
        <v>30653.890119999996</v>
      </c>
      <c r="AB25" s="133">
        <f>AA25+'1-Ф3'!AB27</f>
        <v>30653.890119999996</v>
      </c>
      <c r="AC25" s="133">
        <f>AB25</f>
        <v>30653.890119999996</v>
      </c>
      <c r="AD25" s="133">
        <f>AC25+'1-Ф3'!AD27</f>
        <v>30653.890119999996</v>
      </c>
      <c r="AE25" s="133">
        <f>AD25+'1-Ф3'!AE27</f>
        <v>30653.890119999996</v>
      </c>
      <c r="AF25" s="133">
        <f>AE25+'1-Ф3'!AF27</f>
        <v>30653.890119999996</v>
      </c>
      <c r="AG25" s="133">
        <f>AF25+'1-Ф3'!AG27</f>
        <v>30653.890119999996</v>
      </c>
      <c r="AH25" s="133">
        <f>AG25+'1-Ф3'!AH27</f>
        <v>30653.890119999996</v>
      </c>
      <c r="AI25" s="133">
        <f>AH25+'1-Ф3'!AI27</f>
        <v>30653.890119999996</v>
      </c>
      <c r="AJ25" s="133">
        <f>AI25+'1-Ф3'!AJ27</f>
        <v>30653.890119999996</v>
      </c>
      <c r="AK25" s="133">
        <f>AJ25+'1-Ф3'!AK27</f>
        <v>30653.890119999996</v>
      </c>
      <c r="AL25" s="133">
        <f>AK25+'1-Ф3'!AL27</f>
        <v>30653.890119999996</v>
      </c>
      <c r="AM25" s="133">
        <f>AL25+'1-Ф3'!AM27</f>
        <v>30653.890119999996</v>
      </c>
      <c r="AN25" s="133">
        <f>AM25+'1-Ф3'!AN27</f>
        <v>30653.890119999996</v>
      </c>
      <c r="AO25" s="133">
        <f>AN25+'1-Ф3'!AO27</f>
        <v>30653.890119999996</v>
      </c>
      <c r="AP25" s="133">
        <f>AO25</f>
        <v>30653.890119999996</v>
      </c>
      <c r="AQ25" s="133">
        <f>AP25+'1-Ф3'!AQ27</f>
        <v>30653.890119999996</v>
      </c>
      <c r="AR25" s="133">
        <f>AQ25+'1-Ф3'!AR27</f>
        <v>30653.890119999996</v>
      </c>
      <c r="AS25" s="133">
        <f>AR25+'1-Ф3'!AS27</f>
        <v>30653.890119999996</v>
      </c>
      <c r="AT25" s="133">
        <f>AS25+'1-Ф3'!AT27</f>
        <v>30653.890119999996</v>
      </c>
      <c r="AU25" s="133">
        <f>AT25+'1-Ф3'!AU27</f>
        <v>30653.890119999996</v>
      </c>
    </row>
    <row r="26" spans="1:47" ht="15" customHeight="1">
      <c r="A26" s="131" t="s">
        <v>133</v>
      </c>
      <c r="B26" s="127"/>
      <c r="C26" s="133"/>
      <c r="D26" s="133">
        <f>'2-ф2'!D16</f>
        <v>0</v>
      </c>
      <c r="E26" s="133">
        <f>'2-ф2'!E16</f>
        <v>0</v>
      </c>
      <c r="F26" s="133">
        <f>'2-ф2'!F16</f>
        <v>0</v>
      </c>
      <c r="G26" s="133">
        <f>'2-ф2'!G16</f>
        <v>0</v>
      </c>
      <c r="H26" s="133">
        <f>'2-ф2'!H16</f>
        <v>0</v>
      </c>
      <c r="I26" s="133">
        <f>'2-ф2'!I16</f>
        <v>0</v>
      </c>
      <c r="J26" s="133">
        <f>'2-ф2'!J16</f>
        <v>0</v>
      </c>
      <c r="K26" s="133">
        <f>'2-ф2'!K16</f>
        <v>0</v>
      </c>
      <c r="L26" s="133">
        <f>'2-ф2'!L16</f>
        <v>0</v>
      </c>
      <c r="M26" s="133">
        <f>'2-ф2'!M16</f>
        <v>0</v>
      </c>
      <c r="N26" s="133">
        <f>'2-ф2'!N16</f>
        <v>-169.70800000000003</v>
      </c>
      <c r="O26" s="133">
        <f>'2-ф2'!O16</f>
        <v>-524.7008666666668</v>
      </c>
      <c r="P26" s="133">
        <f>'2-ф2'!P16</f>
        <v>-524.7008666666668</v>
      </c>
      <c r="Q26" s="133">
        <f>'2-ф2'!Q16</f>
        <v>-2723.526411249999</v>
      </c>
      <c r="R26" s="133">
        <f>'2-ф2'!R16</f>
        <v>-4925.321845833331</v>
      </c>
      <c r="S26" s="133">
        <f>'2-ф2'!S16</f>
        <v>-7130.35976558333</v>
      </c>
      <c r="T26" s="133">
        <f>'2-ф2'!T16</f>
        <v>-7056.787216583328</v>
      </c>
      <c r="U26" s="133">
        <f>'2-ф2'!U16</f>
        <v>-6983.2146675833255</v>
      </c>
      <c r="V26" s="133">
        <f>'2-ф2'!V16</f>
        <v>-6909.642118583323</v>
      </c>
      <c r="W26" s="133">
        <f>'2-ф2'!W16</f>
        <v>-6836.069569583321</v>
      </c>
      <c r="X26" s="133">
        <f>'2-ф2'!X16</f>
        <v>-6762.497020583319</v>
      </c>
      <c r="Y26" s="133">
        <f>'2-ф2'!Y16</f>
        <v>-6687.08253309917</v>
      </c>
      <c r="Z26" s="133">
        <f>'2-ф2'!Z16</f>
        <v>-6607.804359316955</v>
      </c>
      <c r="AA26" s="133">
        <f>'2-ф2'!AA16</f>
        <v>-6524.639961066602</v>
      </c>
      <c r="AB26" s="133">
        <f>'2-ф2'!AB16</f>
        <v>-6437.56666870538</v>
      </c>
      <c r="AC26" s="133">
        <f>'2-ф2'!AC16</f>
        <v>-6437.56666870538</v>
      </c>
      <c r="AD26" s="133">
        <f>'2-ф2'!AD16</f>
        <v>-4056.12404899383</v>
      </c>
      <c r="AE26" s="133">
        <f>'2-ф2'!AE16</f>
        <v>-1670.7267983958036</v>
      </c>
      <c r="AF26" s="133">
        <f>'2-ф2'!AF16</f>
        <v>574.9185214150957</v>
      </c>
      <c r="AG26" s="133">
        <f>'2-ф2'!AG16</f>
        <v>2489.61920379813</v>
      </c>
      <c r="AH26" s="133">
        <f>'2-ф2'!AH16</f>
        <v>4407.539279312259</v>
      </c>
      <c r="AI26" s="133">
        <f>'2-ф2'!AI16</f>
        <v>6328.697527750748</v>
      </c>
      <c r="AJ26" s="133">
        <f>'2-ф2'!AJ16</f>
        <v>8253.112838455654</v>
      </c>
      <c r="AK26" s="133">
        <f>'2-ф2'!AK16</f>
        <v>10180.804210956867</v>
      </c>
      <c r="AL26" s="133">
        <f>'2-ф2'!AL16</f>
        <v>12111.790755614864</v>
      </c>
      <c r="AM26" s="133">
        <f>'2-ф2'!AM16</f>
        <v>14046.091694267227</v>
      </c>
      <c r="AN26" s="133">
        <f>'2-ф2'!AN16</f>
        <v>15983.726360878922</v>
      </c>
      <c r="AO26" s="133">
        <f>'2-ф2'!AO16</f>
        <v>17924.714202196377</v>
      </c>
      <c r="AP26" s="133">
        <f>'2-ф2'!AP16</f>
        <v>17924.714202196377</v>
      </c>
      <c r="AQ26" s="133">
        <f>'2-ф2'!AQ16</f>
        <v>52135.65574619343</v>
      </c>
      <c r="AR26" s="133">
        <f>'2-ф2'!AR16</f>
        <v>89925.53617121419</v>
      </c>
      <c r="AS26" s="133">
        <f>'2-ф2'!AS16</f>
        <v>131234.91928206937</v>
      </c>
      <c r="AT26" s="133">
        <f>'2-ф2'!AT16</f>
        <v>176002.23657712826</v>
      </c>
      <c r="AU26" s="133">
        <f>'2-ф2'!AU16</f>
        <v>224161.46193981884</v>
      </c>
    </row>
    <row r="28" spans="1:47" ht="12.75">
      <c r="A28" s="136" t="s">
        <v>134</v>
      </c>
      <c r="B28" s="137"/>
      <c r="C28" s="138">
        <f aca="true" t="shared" si="24" ref="C28:AT28">C5-C16</f>
        <v>0</v>
      </c>
      <c r="D28" s="263">
        <f t="shared" si="24"/>
        <v>0</v>
      </c>
      <c r="E28" s="263">
        <f t="shared" si="24"/>
        <v>0</v>
      </c>
      <c r="F28" s="263">
        <f t="shared" si="24"/>
        <v>0</v>
      </c>
      <c r="G28" s="263">
        <f t="shared" si="24"/>
        <v>0</v>
      </c>
      <c r="H28" s="263">
        <f t="shared" si="24"/>
        <v>0</v>
      </c>
      <c r="I28" s="263">
        <f t="shared" si="24"/>
        <v>0</v>
      </c>
      <c r="J28" s="263">
        <f t="shared" si="24"/>
        <v>0</v>
      </c>
      <c r="K28" s="263">
        <f t="shared" si="24"/>
        <v>0</v>
      </c>
      <c r="L28" s="263">
        <f aca="true" t="shared" si="25" ref="L28:Q28">L5-L16</f>
        <v>0</v>
      </c>
      <c r="M28" s="263">
        <f t="shared" si="25"/>
        <v>0</v>
      </c>
      <c r="N28" s="263">
        <f t="shared" si="25"/>
        <v>0</v>
      </c>
      <c r="O28" s="263">
        <f t="shared" si="25"/>
        <v>0</v>
      </c>
      <c r="P28" s="263">
        <f t="shared" si="25"/>
        <v>0</v>
      </c>
      <c r="Q28" s="263">
        <f t="shared" si="25"/>
        <v>0</v>
      </c>
      <c r="R28" s="263">
        <f t="shared" si="24"/>
        <v>0</v>
      </c>
      <c r="S28" s="263">
        <f t="shared" si="24"/>
        <v>0</v>
      </c>
      <c r="T28" s="263">
        <f t="shared" si="24"/>
        <v>0</v>
      </c>
      <c r="U28" s="263">
        <f t="shared" si="24"/>
        <v>0</v>
      </c>
      <c r="V28" s="263">
        <f t="shared" si="24"/>
        <v>0</v>
      </c>
      <c r="W28" s="263">
        <f t="shared" si="24"/>
        <v>0</v>
      </c>
      <c r="X28" s="263">
        <f t="shared" si="24"/>
        <v>0</v>
      </c>
      <c r="Y28" s="263">
        <f t="shared" si="24"/>
        <v>0</v>
      </c>
      <c r="Z28" s="263">
        <f t="shared" si="24"/>
        <v>0</v>
      </c>
      <c r="AA28" s="263">
        <f t="shared" si="24"/>
        <v>0</v>
      </c>
      <c r="AB28" s="263">
        <f t="shared" si="24"/>
        <v>0</v>
      </c>
      <c r="AC28" s="263">
        <f t="shared" si="24"/>
        <v>0</v>
      </c>
      <c r="AD28" s="263">
        <f t="shared" si="24"/>
        <v>0</v>
      </c>
      <c r="AE28" s="263">
        <f t="shared" si="24"/>
        <v>0</v>
      </c>
      <c r="AF28" s="263">
        <f aca="true" t="shared" si="26" ref="AF28:AP28">AF5-AF16</f>
        <v>0</v>
      </c>
      <c r="AG28" s="263">
        <f t="shared" si="26"/>
        <v>0</v>
      </c>
      <c r="AH28" s="263">
        <f t="shared" si="26"/>
        <v>0</v>
      </c>
      <c r="AI28" s="263">
        <f t="shared" si="26"/>
        <v>0</v>
      </c>
      <c r="AJ28" s="263">
        <f t="shared" si="26"/>
        <v>0</v>
      </c>
      <c r="AK28" s="263">
        <f t="shared" si="26"/>
        <v>0</v>
      </c>
      <c r="AL28" s="263">
        <f t="shared" si="26"/>
        <v>0</v>
      </c>
      <c r="AM28" s="263">
        <f t="shared" si="26"/>
        <v>0</v>
      </c>
      <c r="AN28" s="263">
        <f t="shared" si="26"/>
        <v>0</v>
      </c>
      <c r="AO28" s="263">
        <f t="shared" si="26"/>
        <v>0</v>
      </c>
      <c r="AP28" s="263">
        <f t="shared" si="26"/>
        <v>0</v>
      </c>
      <c r="AQ28" s="263">
        <f t="shared" si="24"/>
        <v>0</v>
      </c>
      <c r="AR28" s="263">
        <f t="shared" si="24"/>
        <v>0</v>
      </c>
      <c r="AS28" s="263">
        <f t="shared" si="24"/>
        <v>0</v>
      </c>
      <c r="AT28" s="263">
        <f t="shared" si="24"/>
        <v>0</v>
      </c>
      <c r="AU28" s="263">
        <f>AU5-AU16</f>
        <v>0</v>
      </c>
    </row>
    <row r="29" spans="11:47" ht="12.75" hidden="1"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</row>
    <row r="30" spans="1:47" ht="12.75" hidden="1">
      <c r="A30" s="119" t="s">
        <v>133</v>
      </c>
      <c r="K30" s="303"/>
      <c r="L30" s="303" t="e">
        <f>'[45]ф2'!L32</f>
        <v>#REF!</v>
      </c>
      <c r="M30" s="303" t="e">
        <f>'[45]ф2'!M32</f>
        <v>#REF!</v>
      </c>
      <c r="N30" s="303" t="e">
        <f>'[45]ф2'!N32</f>
        <v>#REF!</v>
      </c>
      <c r="O30" s="303" t="e">
        <f>'[45]ф2'!O32</f>
        <v>#REF!</v>
      </c>
      <c r="P30" s="303" t="e">
        <f>'[45]ф2'!P32</f>
        <v>#REF!</v>
      </c>
      <c r="Q30" s="303">
        <f>'[45]ф2'!Q32</f>
        <v>109.48954266069855</v>
      </c>
      <c r="R30" s="303">
        <f>'[45]ф2'!R32</f>
        <v>109.48954266069855</v>
      </c>
      <c r="S30" s="303">
        <f>'[45]ф2'!S32</f>
        <v>108.45296951069854</v>
      </c>
      <c r="T30" s="303">
        <f>'[45]ф2'!T32</f>
        <v>106.37982321069852</v>
      </c>
      <c r="U30" s="303">
        <f>'[45]ф2'!U32</f>
        <v>103.27010376069849</v>
      </c>
      <c r="V30" s="303">
        <f>'[45]ф2'!V32</f>
        <v>103.27010376069849</v>
      </c>
      <c r="W30" s="303">
        <f>'[45]ф2'!W32</f>
        <v>103.27010376069849</v>
      </c>
      <c r="X30" s="303">
        <f>'[45]ф2'!X32</f>
        <v>99.20125340855881</v>
      </c>
      <c r="Y30" s="303">
        <f>'[45]ф2'!Y32</f>
        <v>99.20125340855881</v>
      </c>
      <c r="Z30" s="303">
        <f>'[45]ф2'!Z32</f>
        <v>99.20125340855881</v>
      </c>
      <c r="AA30" s="303">
        <f>'[45]ф2'!AA32</f>
        <v>99.20125340855881</v>
      </c>
      <c r="AB30" s="303">
        <f>'[45]ф2'!AB32</f>
        <v>82.61608300855879</v>
      </c>
      <c r="AC30" s="303">
        <f>AC26-P26</f>
        <v>-5912.865802038713</v>
      </c>
      <c r="AD30" s="303" t="e">
        <f>'[45]ф2'!AD32</f>
        <v>#REF!</v>
      </c>
      <c r="AE30" s="303" t="e">
        <f>'[45]ф2'!AE32</f>
        <v>#REF!</v>
      </c>
      <c r="AF30" s="303" t="e">
        <f>'[45]ф2'!AF32</f>
        <v>#REF!</v>
      </c>
      <c r="AG30" s="303" t="e">
        <f>'[45]ф2'!AG32</f>
        <v>#REF!</v>
      </c>
      <c r="AH30" s="303" t="e">
        <f>'[45]ф2'!AH32</f>
        <v>#REF!</v>
      </c>
      <c r="AI30" s="303" t="e">
        <f>'[45]ф2'!AI32</f>
        <v>#REF!</v>
      </c>
      <c r="AJ30" s="303" t="e">
        <f>'[45]ф2'!AJ32</f>
        <v>#REF!</v>
      </c>
      <c r="AK30" s="303" t="e">
        <f>'[45]ф2'!AK32</f>
        <v>#REF!</v>
      </c>
      <c r="AL30" s="303" t="e">
        <f>'[45]ф2'!AL32</f>
        <v>#REF!</v>
      </c>
      <c r="AM30" s="303" t="e">
        <f>'[45]ф2'!AM32</f>
        <v>#REF!</v>
      </c>
      <c r="AN30" s="303" t="e">
        <f>'[45]ф2'!AN32</f>
        <v>#REF!</v>
      </c>
      <c r="AO30" s="303" t="e">
        <f>'[45]ф2'!AO32</f>
        <v>#REF!</v>
      </c>
      <c r="AP30" s="303">
        <f>AP26-AC26</f>
        <v>24362.280870901755</v>
      </c>
      <c r="AQ30" s="303">
        <f>AQ26-AP26</f>
        <v>34210.94154399705</v>
      </c>
      <c r="AR30" s="303">
        <f>AR26-AQ26</f>
        <v>37789.88042502076</v>
      </c>
      <c r="AS30" s="303">
        <f>AS26-AR26</f>
        <v>41309.38311085518</v>
      </c>
      <c r="AT30" s="303">
        <f>AT26-AS26</f>
        <v>44767.31729505889</v>
      </c>
      <c r="AU30" s="303">
        <f>AU26-AT26</f>
        <v>48159.22536269057</v>
      </c>
    </row>
    <row r="31" spans="1:47" ht="12.75" hidden="1">
      <c r="A31" s="119" t="s">
        <v>135</v>
      </c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>
        <f>(AC8+AC10+AC13+AC14)-(P8+P10+P13+P14)</f>
        <v>-1908.7432392857154</v>
      </c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>
        <f>(AP8+AP10+AP13+AP14)-(AC8+AC10+AC13+AC14)</f>
        <v>-5986.967633571427</v>
      </c>
      <c r="AQ31" s="303">
        <f>(AQ8+AQ10+AQ13+AQ14)-(AP8+AP10+AP13+AP14)</f>
        <v>0</v>
      </c>
      <c r="AR31" s="303">
        <f>(AR8+AR10+AR13+AR14)-(AQ8+AQ10+AQ13+AQ14)</f>
        <v>0</v>
      </c>
      <c r="AS31" s="303">
        <f>(AS8+AS10+AS13+AS14)-(AR8+AR10+AR13+AR14)</f>
        <v>0</v>
      </c>
      <c r="AT31" s="303">
        <f>(AT8+AT10+AT13+AT14)-(AS8+AS10+AS13+AS14)</f>
        <v>0</v>
      </c>
      <c r="AU31" s="303">
        <f>(AU8+AU10+AU13+AU14)-(AT8+AT10+AT13+AT14)</f>
        <v>0</v>
      </c>
    </row>
    <row r="32" spans="1:47" ht="12.75" hidden="1">
      <c r="A32" s="119" t="s">
        <v>136</v>
      </c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>
        <f>AC9-P9</f>
        <v>16715.340468749997</v>
      </c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>
        <f>AP9-AC9</f>
        <v>0</v>
      </c>
      <c r="AQ32" s="303">
        <f>AQ9-AP9</f>
        <v>0</v>
      </c>
      <c r="AR32" s="303">
        <f>AR9-AQ9</f>
        <v>0</v>
      </c>
      <c r="AS32" s="303">
        <f>AS9-AR9</f>
        <v>2.9103830456733704E-11</v>
      </c>
      <c r="AT32" s="303">
        <f>AT9-AS9</f>
        <v>0</v>
      </c>
      <c r="AU32" s="303">
        <f>AU9-AT9</f>
        <v>0</v>
      </c>
    </row>
    <row r="33" spans="1:47" ht="12.75" hidden="1">
      <c r="A33" s="119" t="s">
        <v>137</v>
      </c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>
        <f>(AC21+AC17)-(P21+P17)</f>
        <v>-2448.140441707139</v>
      </c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>
        <f>(AP21+AP17)-(AC21+AC17)</f>
        <v>-8401.388665663282</v>
      </c>
      <c r="AQ33" s="303">
        <f>(AQ21+AQ17)-(AP21+AP17)</f>
        <v>-9008.725731608734</v>
      </c>
      <c r="AR33" s="303">
        <f>(AR21+AR17)-(AQ21+AQ17)</f>
        <v>-9659.967243158386</v>
      </c>
      <c r="AS33" s="303">
        <f>(AS21+AS17)-(AR21+AR17)</f>
        <v>-10358.287056234887</v>
      </c>
      <c r="AT33" s="303">
        <f>(AT21+AT17)-(AS21+AS17)</f>
        <v>-11107.088465062214</v>
      </c>
      <c r="AU33" s="303">
        <f>(AU21+AU17)-(AT21+AT17)</f>
        <v>-10397.023263231782</v>
      </c>
    </row>
    <row r="34" spans="1:47" ht="12.75" hidden="1">
      <c r="A34" s="119" t="s">
        <v>138</v>
      </c>
      <c r="K34" s="303"/>
      <c r="L34" s="303">
        <f aca="true" t="shared" si="27" ref="L34:Q34">L31+L32+L33</f>
        <v>0</v>
      </c>
      <c r="M34" s="303">
        <f t="shared" si="27"/>
        <v>0</v>
      </c>
      <c r="N34" s="303">
        <f t="shared" si="27"/>
        <v>0</v>
      </c>
      <c r="O34" s="303">
        <f t="shared" si="27"/>
        <v>0</v>
      </c>
      <c r="P34" s="303">
        <f t="shared" si="27"/>
        <v>0</v>
      </c>
      <c r="Q34" s="303">
        <f t="shared" si="27"/>
        <v>0</v>
      </c>
      <c r="R34" s="303">
        <f aca="true" t="shared" si="28" ref="R34:AB34">R31+R32+R33</f>
        <v>0</v>
      </c>
      <c r="S34" s="303">
        <f t="shared" si="28"/>
        <v>0</v>
      </c>
      <c r="T34" s="303">
        <f t="shared" si="28"/>
        <v>0</v>
      </c>
      <c r="U34" s="303">
        <f t="shared" si="28"/>
        <v>0</v>
      </c>
      <c r="V34" s="303">
        <f t="shared" si="28"/>
        <v>0</v>
      </c>
      <c r="W34" s="303">
        <f t="shared" si="28"/>
        <v>0</v>
      </c>
      <c r="X34" s="303">
        <f t="shared" si="28"/>
        <v>0</v>
      </c>
      <c r="Y34" s="303">
        <f t="shared" si="28"/>
        <v>0</v>
      </c>
      <c r="Z34" s="303">
        <f t="shared" si="28"/>
        <v>0</v>
      </c>
      <c r="AA34" s="303">
        <f t="shared" si="28"/>
        <v>0</v>
      </c>
      <c r="AB34" s="303">
        <f t="shared" si="28"/>
        <v>0</v>
      </c>
      <c r="AC34" s="303">
        <f>-AC31+AC32+AC33</f>
        <v>16175.943266328573</v>
      </c>
      <c r="AD34" s="303">
        <f aca="true" t="shared" si="29" ref="AD34:AO34">AD31+AD32+AD33</f>
        <v>0</v>
      </c>
      <c r="AE34" s="303">
        <f t="shared" si="29"/>
        <v>0</v>
      </c>
      <c r="AF34" s="303">
        <f t="shared" si="29"/>
        <v>0</v>
      </c>
      <c r="AG34" s="303">
        <f t="shared" si="29"/>
        <v>0</v>
      </c>
      <c r="AH34" s="303">
        <f t="shared" si="29"/>
        <v>0</v>
      </c>
      <c r="AI34" s="303">
        <f t="shared" si="29"/>
        <v>0</v>
      </c>
      <c r="AJ34" s="303">
        <f t="shared" si="29"/>
        <v>0</v>
      </c>
      <c r="AK34" s="303">
        <f t="shared" si="29"/>
        <v>0</v>
      </c>
      <c r="AL34" s="303">
        <f t="shared" si="29"/>
        <v>0</v>
      </c>
      <c r="AM34" s="303">
        <f t="shared" si="29"/>
        <v>0</v>
      </c>
      <c r="AN34" s="303">
        <f t="shared" si="29"/>
        <v>0</v>
      </c>
      <c r="AO34" s="303">
        <f t="shared" si="29"/>
        <v>0</v>
      </c>
      <c r="AP34" s="303">
        <f aca="true" t="shared" si="30" ref="AP34:AU34">-AP31+AP32+AP33</f>
        <v>-2414.4210320918555</v>
      </c>
      <c r="AQ34" s="303">
        <f t="shared" si="30"/>
        <v>-9008.725731608734</v>
      </c>
      <c r="AR34" s="303">
        <f t="shared" si="30"/>
        <v>-9659.967243158386</v>
      </c>
      <c r="AS34" s="303">
        <f t="shared" si="30"/>
        <v>-10358.287056234858</v>
      </c>
      <c r="AT34" s="303">
        <f t="shared" si="30"/>
        <v>-11107.088465062214</v>
      </c>
      <c r="AU34" s="303">
        <f t="shared" si="30"/>
        <v>-10397.023263231782</v>
      </c>
    </row>
    <row r="35" spans="1:47" ht="12.75" hidden="1">
      <c r="A35" s="119" t="s">
        <v>77</v>
      </c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>
        <f>'2-ф2'!AC11</f>
        <v>5433.5642857142875</v>
      </c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>
        <f>'2-ф2'!AP11</f>
        <v>5433.5642857142875</v>
      </c>
      <c r="AQ35" s="303">
        <f>'2-ф2'!AQ11</f>
        <v>5433.564285714287</v>
      </c>
      <c r="AR35" s="303">
        <f>'2-ф2'!AR11</f>
        <v>5433.564285714287</v>
      </c>
      <c r="AS35" s="303">
        <f>'2-ф2'!AS11</f>
        <v>5433.564285714287</v>
      </c>
      <c r="AT35" s="303">
        <f>'2-ф2'!AT11</f>
        <v>5433.564285714287</v>
      </c>
      <c r="AU35" s="303">
        <f>'2-ф2'!AU11</f>
        <v>5433.564285714287</v>
      </c>
    </row>
    <row r="36" spans="1:47" ht="12.75" hidden="1">
      <c r="A36" s="119" t="s">
        <v>139</v>
      </c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>
        <f>-'1-Ф3'!AC20</f>
        <v>0</v>
      </c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>
        <f>-'1-Ф3'!AP20</f>
        <v>0</v>
      </c>
      <c r="AQ36" s="303">
        <f>-'1-Ф3'!AQ20</f>
        <v>0</v>
      </c>
      <c r="AR36" s="303">
        <f>-'1-Ф3'!AR20</f>
        <v>0</v>
      </c>
      <c r="AS36" s="303">
        <f>-'1-Ф3'!AS20</f>
        <v>0</v>
      </c>
      <c r="AT36" s="303">
        <f>-'1-Ф3'!AT20</f>
        <v>0</v>
      </c>
      <c r="AU36" s="303">
        <f>-'1-Ф3'!AU20</f>
        <v>0</v>
      </c>
    </row>
    <row r="37" spans="1:47" ht="12.75" hidden="1">
      <c r="A37" s="119" t="s">
        <v>140</v>
      </c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>
        <f>AC30+AC34+AC35+AC36</f>
        <v>15696.64175000415</v>
      </c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>
        <f aca="true" t="shared" si="31" ref="AP37:AU37">AP30+AP34+AP35+AP36</f>
        <v>27381.424124524186</v>
      </c>
      <c r="AQ37" s="303">
        <f t="shared" si="31"/>
        <v>30635.7800981026</v>
      </c>
      <c r="AR37" s="303">
        <f t="shared" si="31"/>
        <v>33563.47746757666</v>
      </c>
      <c r="AS37" s="303">
        <f t="shared" si="31"/>
        <v>36384.66034033461</v>
      </c>
      <c r="AT37" s="303">
        <f t="shared" si="31"/>
        <v>39093.79311571096</v>
      </c>
      <c r="AU37" s="303">
        <f t="shared" si="31"/>
        <v>43195.76638517308</v>
      </c>
    </row>
    <row r="38" spans="11:47" ht="12.75" hidden="1"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</row>
    <row r="39" spans="1:47" ht="12.75" hidden="1">
      <c r="A39" s="119" t="s">
        <v>146</v>
      </c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>
        <f>'1-Ф3'!AC33</f>
        <v>82.46945250414865</v>
      </c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>
        <f>'1-Ф3'!AP33</f>
        <v>27381.424124524205</v>
      </c>
      <c r="AQ39" s="303">
        <f>'1-Ф3'!AQ33</f>
        <v>30635.780098102652</v>
      </c>
      <c r="AR39" s="303">
        <f>'1-Ф3'!AR33</f>
        <v>33563.477467576675</v>
      </c>
      <c r="AS39" s="303">
        <f>'1-Ф3'!AS33</f>
        <v>36384.66034033459</v>
      </c>
      <c r="AT39" s="303">
        <f>'1-Ф3'!AT33</f>
        <v>39093.79311571095</v>
      </c>
      <c r="AU39" s="303">
        <f>'1-Ф3'!AU33</f>
        <v>43195.76638517308</v>
      </c>
    </row>
    <row r="40" spans="1:47" ht="12.75" hidden="1">
      <c r="A40" s="136" t="s">
        <v>134</v>
      </c>
      <c r="B40" s="137"/>
      <c r="C40" s="138"/>
      <c r="D40" s="139"/>
      <c r="E40" s="139"/>
      <c r="F40" s="139"/>
      <c r="G40" s="139"/>
      <c r="H40" s="139"/>
      <c r="I40" s="139"/>
      <c r="J40" s="139"/>
      <c r="K40" s="263"/>
      <c r="L40" s="263">
        <f aca="true" t="shared" si="32" ref="L40:Q40">L39-L37</f>
        <v>0</v>
      </c>
      <c r="M40" s="263">
        <f t="shared" si="32"/>
        <v>0</v>
      </c>
      <c r="N40" s="263">
        <f t="shared" si="32"/>
        <v>0</v>
      </c>
      <c r="O40" s="263">
        <f t="shared" si="32"/>
        <v>0</v>
      </c>
      <c r="P40" s="263">
        <f t="shared" si="32"/>
        <v>0</v>
      </c>
      <c r="Q40" s="263">
        <f t="shared" si="32"/>
        <v>0</v>
      </c>
      <c r="R40" s="263">
        <f aca="true" t="shared" si="33" ref="R40:AB40">R39-R37</f>
        <v>0</v>
      </c>
      <c r="S40" s="263">
        <f t="shared" si="33"/>
        <v>0</v>
      </c>
      <c r="T40" s="263">
        <f t="shared" si="33"/>
        <v>0</v>
      </c>
      <c r="U40" s="263">
        <f t="shared" si="33"/>
        <v>0</v>
      </c>
      <c r="V40" s="263">
        <f t="shared" si="33"/>
        <v>0</v>
      </c>
      <c r="W40" s="263">
        <f t="shared" si="33"/>
        <v>0</v>
      </c>
      <c r="X40" s="263">
        <f t="shared" si="33"/>
        <v>0</v>
      </c>
      <c r="Y40" s="263">
        <f t="shared" si="33"/>
        <v>0</v>
      </c>
      <c r="Z40" s="263">
        <f t="shared" si="33"/>
        <v>0</v>
      </c>
      <c r="AA40" s="263">
        <f t="shared" si="33"/>
        <v>0</v>
      </c>
      <c r="AB40" s="263">
        <f t="shared" si="33"/>
        <v>0</v>
      </c>
      <c r="AC40" s="263">
        <f aca="true" t="shared" si="34" ref="AC40:AT40">AC39-AC37</f>
        <v>-15614.172297500001</v>
      </c>
      <c r="AD40" s="263">
        <f t="shared" si="34"/>
        <v>0</v>
      </c>
      <c r="AE40" s="263">
        <f t="shared" si="34"/>
        <v>0</v>
      </c>
      <c r="AF40" s="263">
        <f t="shared" si="34"/>
        <v>0</v>
      </c>
      <c r="AG40" s="263">
        <f t="shared" si="34"/>
        <v>0</v>
      </c>
      <c r="AH40" s="263">
        <f t="shared" si="34"/>
        <v>0</v>
      </c>
      <c r="AI40" s="263">
        <f t="shared" si="34"/>
        <v>0</v>
      </c>
      <c r="AJ40" s="263">
        <f t="shared" si="34"/>
        <v>0</v>
      </c>
      <c r="AK40" s="263">
        <f t="shared" si="34"/>
        <v>0</v>
      </c>
      <c r="AL40" s="263">
        <f t="shared" si="34"/>
        <v>0</v>
      </c>
      <c r="AM40" s="263">
        <f t="shared" si="34"/>
        <v>0</v>
      </c>
      <c r="AN40" s="263">
        <f t="shared" si="34"/>
        <v>0</v>
      </c>
      <c r="AO40" s="263">
        <f t="shared" si="34"/>
        <v>0</v>
      </c>
      <c r="AP40" s="263">
        <f t="shared" si="34"/>
        <v>0</v>
      </c>
      <c r="AQ40" s="263">
        <f t="shared" si="34"/>
        <v>5.093170329928398E-11</v>
      </c>
      <c r="AR40" s="263">
        <f t="shared" si="34"/>
        <v>0</v>
      </c>
      <c r="AS40" s="263">
        <f t="shared" si="34"/>
        <v>0</v>
      </c>
      <c r="AT40" s="263">
        <f t="shared" si="34"/>
        <v>0</v>
      </c>
      <c r="AU40" s="263">
        <f>AU39-AU37</f>
        <v>0</v>
      </c>
    </row>
    <row r="41" spans="11:47" ht="12.75">
      <c r="K41" s="303">
        <f>K28-J28</f>
        <v>0</v>
      </c>
      <c r="L41" s="303">
        <f aca="true" t="shared" si="35" ref="L41:Q41">L28-K28</f>
        <v>0</v>
      </c>
      <c r="M41" s="303">
        <f t="shared" si="35"/>
        <v>0</v>
      </c>
      <c r="N41" s="303">
        <f t="shared" si="35"/>
        <v>0</v>
      </c>
      <c r="O41" s="303">
        <f t="shared" si="35"/>
        <v>0</v>
      </c>
      <c r="P41" s="303">
        <f t="shared" si="35"/>
        <v>0</v>
      </c>
      <c r="Q41" s="303">
        <f t="shared" si="35"/>
        <v>0</v>
      </c>
      <c r="R41" s="303">
        <f>R28-Q28</f>
        <v>0</v>
      </c>
      <c r="S41" s="303">
        <f aca="true" t="shared" si="36" ref="S41:AU41">S28-R28</f>
        <v>0</v>
      </c>
      <c r="T41" s="303">
        <f t="shared" si="36"/>
        <v>0</v>
      </c>
      <c r="U41" s="303">
        <f t="shared" si="36"/>
        <v>0</v>
      </c>
      <c r="V41" s="303">
        <f t="shared" si="36"/>
        <v>0</v>
      </c>
      <c r="W41" s="303">
        <f t="shared" si="36"/>
        <v>0</v>
      </c>
      <c r="X41" s="303">
        <f t="shared" si="36"/>
        <v>0</v>
      </c>
      <c r="Y41" s="303">
        <f t="shared" si="36"/>
        <v>0</v>
      </c>
      <c r="Z41" s="303">
        <f t="shared" si="36"/>
        <v>0</v>
      </c>
      <c r="AA41" s="303">
        <f t="shared" si="36"/>
        <v>0</v>
      </c>
      <c r="AB41" s="303">
        <f t="shared" si="36"/>
        <v>0</v>
      </c>
      <c r="AC41" s="303">
        <f>AC28-AB28</f>
        <v>0</v>
      </c>
      <c r="AD41" s="303">
        <f>AD28-AC28</f>
        <v>0</v>
      </c>
      <c r="AE41" s="303">
        <f>AE28-AD28</f>
        <v>0</v>
      </c>
      <c r="AF41" s="303">
        <f>AF28-AE28</f>
        <v>0</v>
      </c>
      <c r="AG41" s="303">
        <f t="shared" si="36"/>
        <v>0</v>
      </c>
      <c r="AH41" s="303">
        <f t="shared" si="36"/>
        <v>0</v>
      </c>
      <c r="AI41" s="303">
        <f t="shared" si="36"/>
        <v>0</v>
      </c>
      <c r="AJ41" s="303">
        <f t="shared" si="36"/>
        <v>0</v>
      </c>
      <c r="AK41" s="303">
        <f t="shared" si="36"/>
        <v>0</v>
      </c>
      <c r="AL41" s="303">
        <f t="shared" si="36"/>
        <v>0</v>
      </c>
      <c r="AM41" s="303">
        <f t="shared" si="36"/>
        <v>0</v>
      </c>
      <c r="AN41" s="303">
        <f t="shared" si="36"/>
        <v>0</v>
      </c>
      <c r="AO41" s="303">
        <f t="shared" si="36"/>
        <v>0</v>
      </c>
      <c r="AP41" s="303">
        <f t="shared" si="36"/>
        <v>0</v>
      </c>
      <c r="AQ41" s="303">
        <f t="shared" si="36"/>
        <v>0</v>
      </c>
      <c r="AR41" s="303">
        <f t="shared" si="36"/>
        <v>0</v>
      </c>
      <c r="AS41" s="303">
        <f t="shared" si="36"/>
        <v>0</v>
      </c>
      <c r="AT41" s="303">
        <f t="shared" si="36"/>
        <v>0</v>
      </c>
      <c r="AU41" s="303">
        <f t="shared" si="36"/>
        <v>0</v>
      </c>
    </row>
  </sheetData>
  <sheetProtection/>
  <mergeCells count="5">
    <mergeCell ref="A3:A4"/>
    <mergeCell ref="B3:B4"/>
    <mergeCell ref="D3:P3"/>
    <mergeCell ref="Q3:AC3"/>
    <mergeCell ref="AD3:AP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1"/>
  <sheetViews>
    <sheetView showGridLines="0" zoomScalePageLayoutView="0" workbookViewId="0" topLeftCell="A1">
      <pane ySplit="3" topLeftCell="A36" activePane="bottomLeft" state="frozen"/>
      <selection pane="topLeft" activeCell="A34" sqref="A34"/>
      <selection pane="bottomLeft" activeCell="A69" sqref="A69"/>
    </sheetView>
  </sheetViews>
  <sheetFormatPr defaultColWidth="9.00390625" defaultRowHeight="12.75"/>
  <cols>
    <col min="1" max="1" width="31.25390625" style="78" customWidth="1"/>
    <col min="2" max="2" width="16.125" style="78" customWidth="1"/>
    <col min="3" max="3" width="10.75390625" style="78" customWidth="1"/>
    <col min="4" max="4" width="5.375" style="78" customWidth="1"/>
    <col min="5" max="5" width="7.00390625" style="78" bestFit="1" customWidth="1"/>
    <col min="6" max="6" width="5.875" style="78" customWidth="1"/>
    <col min="7" max="8" width="5.75390625" style="78" bestFit="1" customWidth="1"/>
    <col min="9" max="9" width="6.375" style="78" bestFit="1" customWidth="1"/>
    <col min="10" max="10" width="8.75390625" style="78" bestFit="1" customWidth="1"/>
    <col min="11" max="11" width="7.625" style="78" bestFit="1" customWidth="1"/>
    <col min="12" max="12" width="19.00390625" style="78" customWidth="1"/>
    <col min="13" max="13" width="8.00390625" style="78" bestFit="1" customWidth="1"/>
    <col min="14" max="14" width="14.375" style="78" customWidth="1"/>
    <col min="15" max="16384" width="9.125" style="78" customWidth="1"/>
  </cols>
  <sheetData>
    <row r="1" spans="1:3" ht="15.75" customHeight="1">
      <c r="A1" s="344" t="s">
        <v>39</v>
      </c>
      <c r="B1" s="344"/>
      <c r="C1" s="344"/>
    </row>
    <row r="2" spans="1:14" ht="12" customHeight="1">
      <c r="A2" s="62"/>
      <c r="N2" s="248">
        <f>'1-Ф3'!$B$2</f>
        <v>0</v>
      </c>
    </row>
    <row r="3" spans="1:14" ht="12.75">
      <c r="A3" s="79" t="s">
        <v>28</v>
      </c>
      <c r="B3" s="80" t="s">
        <v>40</v>
      </c>
      <c r="C3" s="80" t="s">
        <v>8</v>
      </c>
      <c r="N3" s="248">
        <f>'Осн.пок-ли'!B6</f>
        <v>30653.89011999999</v>
      </c>
    </row>
    <row r="4" ht="12.75">
      <c r="A4" s="62" t="s">
        <v>148</v>
      </c>
    </row>
    <row r="5" spans="1:4" ht="12.75">
      <c r="A5" s="81" t="s">
        <v>102</v>
      </c>
      <c r="B5" s="81"/>
      <c r="C5" s="234">
        <v>152.85</v>
      </c>
      <c r="D5" s="78" t="s">
        <v>299</v>
      </c>
    </row>
    <row r="6" spans="1:4" ht="12.75">
      <c r="A6" s="81" t="s">
        <v>300</v>
      </c>
      <c r="B6" s="81"/>
      <c r="C6" s="234">
        <v>25.01</v>
      </c>
      <c r="D6" s="78" t="s">
        <v>299</v>
      </c>
    </row>
    <row r="7" spans="1:4" ht="12.75">
      <c r="A7" s="81" t="s">
        <v>157</v>
      </c>
      <c r="B7" s="81"/>
      <c r="C7" s="234">
        <v>4.64</v>
      </c>
      <c r="D7" s="78" t="s">
        <v>299</v>
      </c>
    </row>
    <row r="8" spans="1:4" ht="12.75">
      <c r="A8" s="81" t="s">
        <v>73</v>
      </c>
      <c r="B8" s="81"/>
      <c r="C8" s="160">
        <f>20%*C9+C42*(1-C20)*(1-C9)</f>
        <v>0.10423701602583985</v>
      </c>
      <c r="D8" s="78" t="s">
        <v>158</v>
      </c>
    </row>
    <row r="9" spans="1:3" ht="12.75">
      <c r="A9" s="81" t="s">
        <v>207</v>
      </c>
      <c r="B9" s="81"/>
      <c r="C9" s="160">
        <f>'1-Ф3'!B27/'1-Ф3'!B26</f>
        <v>0.334979277957221</v>
      </c>
    </row>
    <row r="10" spans="1:3" ht="12.75">
      <c r="A10" s="81" t="s">
        <v>141</v>
      </c>
      <c r="B10" s="81"/>
      <c r="C10" s="85" t="s">
        <v>59</v>
      </c>
    </row>
    <row r="11" ht="12.75">
      <c r="A11" s="62" t="s">
        <v>142</v>
      </c>
    </row>
    <row r="12" spans="1:4" ht="12.75">
      <c r="A12" s="81" t="s">
        <v>47</v>
      </c>
      <c r="B12" s="83" t="s">
        <v>42</v>
      </c>
      <c r="C12" s="84">
        <v>0.1</v>
      </c>
      <c r="D12" s="78" t="s">
        <v>214</v>
      </c>
    </row>
    <row r="13" spans="1:4" ht="12.75">
      <c r="A13" s="81" t="s">
        <v>52</v>
      </c>
      <c r="B13" s="83" t="s">
        <v>42</v>
      </c>
      <c r="C13" s="84">
        <v>0.05</v>
      </c>
      <c r="D13" s="78" t="s">
        <v>214</v>
      </c>
    </row>
    <row r="14" spans="1:4" ht="12.75">
      <c r="A14" s="81" t="s">
        <v>48</v>
      </c>
      <c r="B14" s="83" t="s">
        <v>42</v>
      </c>
      <c r="C14" s="84">
        <v>0.1</v>
      </c>
      <c r="D14" s="78" t="s">
        <v>214</v>
      </c>
    </row>
    <row r="15" spans="1:4" ht="12.75">
      <c r="A15" s="81" t="s">
        <v>50</v>
      </c>
      <c r="B15" s="83" t="s">
        <v>42</v>
      </c>
      <c r="C15" s="84">
        <v>0.11</v>
      </c>
      <c r="D15" s="78" t="s">
        <v>214</v>
      </c>
    </row>
    <row r="16" spans="1:4" ht="12.75">
      <c r="A16" s="81" t="s">
        <v>112</v>
      </c>
      <c r="B16" s="83" t="s">
        <v>59</v>
      </c>
      <c r="C16" s="86">
        <v>18.66</v>
      </c>
      <c r="D16" s="78" t="s">
        <v>214</v>
      </c>
    </row>
    <row r="17" spans="1:4" ht="12.75">
      <c r="A17" s="81" t="s">
        <v>2</v>
      </c>
      <c r="B17" s="83"/>
      <c r="C17" s="244">
        <v>0.015</v>
      </c>
      <c r="D17" s="78" t="s">
        <v>214</v>
      </c>
    </row>
    <row r="18" spans="1:4" ht="12.75">
      <c r="A18" s="81" t="s">
        <v>41</v>
      </c>
      <c r="B18" s="83" t="s">
        <v>42</v>
      </c>
      <c r="C18" s="84">
        <v>0.12</v>
      </c>
      <c r="D18" s="78" t="s">
        <v>214</v>
      </c>
    </row>
    <row r="19" spans="1:4" ht="12.75">
      <c r="A19" s="81" t="s">
        <v>60</v>
      </c>
      <c r="B19" s="81"/>
      <c r="C19" s="82">
        <v>1.12</v>
      </c>
      <c r="D19" s="78" t="s">
        <v>214</v>
      </c>
    </row>
    <row r="20" spans="1:4" ht="12.75">
      <c r="A20" s="81" t="s">
        <v>209</v>
      </c>
      <c r="B20" s="81"/>
      <c r="C20" s="84">
        <v>0.2</v>
      </c>
      <c r="D20" s="78" t="s">
        <v>214</v>
      </c>
    </row>
    <row r="21" ht="12.75">
      <c r="A21" s="62" t="s">
        <v>196</v>
      </c>
    </row>
    <row r="22" spans="1:4" ht="12.75">
      <c r="A22" s="313" t="s">
        <v>337</v>
      </c>
      <c r="B22" s="83" t="s">
        <v>336</v>
      </c>
      <c r="C22" s="145">
        <f>250/8</f>
        <v>31.25</v>
      </c>
      <c r="D22" s="304" t="s">
        <v>339</v>
      </c>
    </row>
    <row r="23" spans="1:5" ht="12.75">
      <c r="A23" s="81" t="s">
        <v>208</v>
      </c>
      <c r="B23" s="83" t="s">
        <v>201</v>
      </c>
      <c r="C23" s="145">
        <v>22</v>
      </c>
      <c r="D23" s="78" t="s">
        <v>359</v>
      </c>
      <c r="E23" s="248"/>
    </row>
    <row r="24" spans="1:5" ht="12.75">
      <c r="A24" s="81" t="s">
        <v>264</v>
      </c>
      <c r="B24" s="83" t="s">
        <v>265</v>
      </c>
      <c r="C24" s="145">
        <v>1</v>
      </c>
      <c r="E24" s="248"/>
    </row>
    <row r="25" spans="1:5" ht="12.75">
      <c r="A25" s="81" t="s">
        <v>261</v>
      </c>
      <c r="B25" s="83" t="s">
        <v>262</v>
      </c>
      <c r="C25" s="145">
        <v>7</v>
      </c>
      <c r="D25" s="78" t="s">
        <v>358</v>
      </c>
      <c r="E25" s="248"/>
    </row>
    <row r="26" ht="12.75">
      <c r="A26" s="62" t="s">
        <v>210</v>
      </c>
    </row>
    <row r="27" spans="1:4" ht="12.75">
      <c r="A27" s="81" t="str">
        <f>A22</f>
        <v>Ковер</v>
      </c>
      <c r="B27" s="83" t="s">
        <v>338</v>
      </c>
      <c r="C27" s="146">
        <f>C22*C25*C24*C23</f>
        <v>4812.5</v>
      </c>
      <c r="D27" s="278" t="s">
        <v>231</v>
      </c>
    </row>
    <row r="29" spans="1:14" ht="12.75">
      <c r="A29" s="62" t="s">
        <v>211</v>
      </c>
      <c r="N29" s="201"/>
    </row>
    <row r="30" spans="1:14" ht="12.75">
      <c r="A30" s="81" t="str">
        <f>A27</f>
        <v>Ковер</v>
      </c>
      <c r="B30" s="83" t="s">
        <v>340</v>
      </c>
      <c r="C30" s="145">
        <f>3000/1.5*C7*0.9</f>
        <v>8352</v>
      </c>
      <c r="N30" s="201"/>
    </row>
    <row r="31" spans="1:3" ht="12.75">
      <c r="A31" s="295" t="s">
        <v>343</v>
      </c>
      <c r="B31" s="83" t="s">
        <v>344</v>
      </c>
      <c r="C31" s="145">
        <f>180*$C$7*1.2</f>
        <v>1002.2399999999999</v>
      </c>
    </row>
    <row r="32" spans="1:3" ht="12.75">
      <c r="A32" s="295" t="s">
        <v>341</v>
      </c>
      <c r="B32" s="83" t="s">
        <v>345</v>
      </c>
      <c r="C32" s="145">
        <f>140*$C$7*1.2</f>
        <v>779.5199999999999</v>
      </c>
    </row>
    <row r="33" spans="1:3" ht="12.75">
      <c r="A33" s="295" t="s">
        <v>342</v>
      </c>
      <c r="B33" s="83" t="s">
        <v>346</v>
      </c>
      <c r="C33" s="145">
        <f>1400*1.2</f>
        <v>1680</v>
      </c>
    </row>
    <row r="34" spans="1:3" ht="12.75">
      <c r="A34" s="295" t="s">
        <v>266</v>
      </c>
      <c r="B34" s="83" t="s">
        <v>260</v>
      </c>
      <c r="C34" s="234">
        <v>15.16</v>
      </c>
    </row>
    <row r="35" ht="12.75">
      <c r="A35" s="62" t="s">
        <v>302</v>
      </c>
    </row>
    <row r="36" spans="1:3" ht="12.75">
      <c r="A36" s="295" t="s">
        <v>304</v>
      </c>
      <c r="B36" s="83" t="s">
        <v>243</v>
      </c>
      <c r="C36" s="145">
        <v>110</v>
      </c>
    </row>
    <row r="37" spans="1:3" ht="12.75">
      <c r="A37" s="295" t="str">
        <f>A31</f>
        <v>Смешанная пряжа (акрил+шерсть)</v>
      </c>
      <c r="B37" s="83" t="s">
        <v>347</v>
      </c>
      <c r="C37" s="234">
        <f>6/1.5</f>
        <v>4</v>
      </c>
    </row>
    <row r="38" spans="1:3" ht="12.75">
      <c r="A38" s="295" t="str">
        <f>A32</f>
        <v>Латекс</v>
      </c>
      <c r="B38" s="83" t="s">
        <v>348</v>
      </c>
      <c r="C38" s="234">
        <v>1.1</v>
      </c>
    </row>
    <row r="39" spans="1:3" ht="12.75">
      <c r="A39" s="295" t="str">
        <f>A33</f>
        <v>Краска</v>
      </c>
      <c r="B39" s="83" t="s">
        <v>347</v>
      </c>
      <c r="C39" s="234">
        <v>0.6</v>
      </c>
    </row>
    <row r="40" spans="1:4" ht="12.75">
      <c r="A40" s="295" t="s">
        <v>305</v>
      </c>
      <c r="B40" s="83" t="s">
        <v>306</v>
      </c>
      <c r="C40" s="146">
        <f>C24*C25*C23*C36</f>
        <v>16940</v>
      </c>
      <c r="D40" s="78">
        <f>C40/C27</f>
        <v>3.52</v>
      </c>
    </row>
    <row r="41" ht="12.75">
      <c r="A41" s="62" t="s">
        <v>149</v>
      </c>
    </row>
    <row r="42" spans="1:4" ht="12.75">
      <c r="A42" s="81" t="s">
        <v>57</v>
      </c>
      <c r="B42" s="83" t="s">
        <v>42</v>
      </c>
      <c r="C42" s="84">
        <v>0.07</v>
      </c>
      <c r="D42" s="78" t="s">
        <v>307</v>
      </c>
    </row>
    <row r="43" spans="1:3" ht="12.75">
      <c r="A43" s="81" t="s">
        <v>150</v>
      </c>
      <c r="B43" s="83" t="s">
        <v>151</v>
      </c>
      <c r="C43" s="234">
        <v>7</v>
      </c>
    </row>
    <row r="44" spans="1:3" ht="12.75">
      <c r="A44" s="81" t="s">
        <v>152</v>
      </c>
      <c r="B44" s="83" t="s">
        <v>154</v>
      </c>
      <c r="C44" s="145">
        <v>9</v>
      </c>
    </row>
    <row r="45" spans="1:3" ht="12.75">
      <c r="A45" s="81" t="s">
        <v>153</v>
      </c>
      <c r="B45" s="83" t="s">
        <v>154</v>
      </c>
      <c r="C45" s="145">
        <v>3</v>
      </c>
    </row>
    <row r="47" ht="12.75" hidden="1">
      <c r="A47" s="62" t="s">
        <v>244</v>
      </c>
    </row>
    <row r="48" spans="1:14" ht="12.75" hidden="1">
      <c r="A48" s="81" t="s">
        <v>218</v>
      </c>
      <c r="B48" s="83" t="s">
        <v>219</v>
      </c>
      <c r="C48" s="83" t="s">
        <v>220</v>
      </c>
      <c r="D48" s="83" t="s">
        <v>221</v>
      </c>
      <c r="E48" s="83" t="s">
        <v>222</v>
      </c>
      <c r="F48" s="83" t="s">
        <v>223</v>
      </c>
      <c r="G48" s="83" t="s">
        <v>224</v>
      </c>
      <c r="H48" s="83" t="s">
        <v>225</v>
      </c>
      <c r="I48" s="83" t="s">
        <v>226</v>
      </c>
      <c r="J48" s="83" t="s">
        <v>227</v>
      </c>
      <c r="K48" s="83" t="s">
        <v>228</v>
      </c>
      <c r="L48" s="83" t="s">
        <v>229</v>
      </c>
      <c r="M48" s="83" t="s">
        <v>230</v>
      </c>
      <c r="N48" s="275" t="s">
        <v>235</v>
      </c>
    </row>
    <row r="49" spans="1:14" ht="12.75" hidden="1">
      <c r="A49" s="81" t="s">
        <v>292</v>
      </c>
      <c r="B49" s="254">
        <f>1/12</f>
        <v>0.08333333333333333</v>
      </c>
      <c r="C49" s="254">
        <f aca="true" t="shared" si="0" ref="C49:M49">1/12</f>
        <v>0.08333333333333333</v>
      </c>
      <c r="D49" s="254">
        <f t="shared" si="0"/>
        <v>0.08333333333333333</v>
      </c>
      <c r="E49" s="254">
        <f t="shared" si="0"/>
        <v>0.08333333333333333</v>
      </c>
      <c r="F49" s="254">
        <f t="shared" si="0"/>
        <v>0.08333333333333333</v>
      </c>
      <c r="G49" s="254">
        <f t="shared" si="0"/>
        <v>0.08333333333333333</v>
      </c>
      <c r="H49" s="254">
        <f t="shared" si="0"/>
        <v>0.08333333333333333</v>
      </c>
      <c r="I49" s="254">
        <f t="shared" si="0"/>
        <v>0.08333333333333333</v>
      </c>
      <c r="J49" s="254">
        <f t="shared" si="0"/>
        <v>0.08333333333333333</v>
      </c>
      <c r="K49" s="254">
        <f t="shared" si="0"/>
        <v>0.08333333333333333</v>
      </c>
      <c r="L49" s="254">
        <f t="shared" si="0"/>
        <v>0.08333333333333333</v>
      </c>
      <c r="M49" s="254">
        <f t="shared" si="0"/>
        <v>0.08333333333333333</v>
      </c>
      <c r="N49" s="302">
        <f>SUM(B49:M49)</f>
        <v>1</v>
      </c>
    </row>
    <row r="50" spans="1:2" ht="12.75" hidden="1">
      <c r="A50" s="148"/>
      <c r="B50" s="148"/>
    </row>
    <row r="51" spans="1:2" ht="12.75" hidden="1">
      <c r="A51" s="148" t="s">
        <v>293</v>
      </c>
      <c r="B51" s="309">
        <f>1/12</f>
        <v>0.08333333333333333</v>
      </c>
    </row>
  </sheetData>
  <sheetProtection/>
  <mergeCells count="1">
    <mergeCell ref="A1:C1"/>
  </mergeCells>
  <printOptions/>
  <pageMargins left="0.66" right="0.22" top="0.29" bottom="0.2" header="0.23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0" sqref="E30"/>
    </sheetView>
  </sheetViews>
  <sheetFormatPr defaultColWidth="8.875" defaultRowHeight="12.75"/>
  <cols>
    <col min="1" max="1" width="28.125" style="78" customWidth="1"/>
    <col min="2" max="2" width="7.875" style="78" bestFit="1" customWidth="1"/>
    <col min="3" max="3" width="9.125" style="78" bestFit="1" customWidth="1"/>
    <col min="4" max="4" width="19.00390625" style="78" bestFit="1" customWidth="1"/>
    <col min="5" max="5" width="28.875" style="78" bestFit="1" customWidth="1"/>
    <col min="6" max="6" width="19.00390625" style="78" bestFit="1" customWidth="1"/>
    <col min="7" max="7" width="8.75390625" style="78" customWidth="1"/>
    <col min="8" max="8" width="19.00390625" style="78" bestFit="1" customWidth="1"/>
    <col min="9" max="9" width="7.375" style="78" bestFit="1" customWidth="1"/>
    <col min="10" max="16384" width="8.875" style="78" customWidth="1"/>
  </cols>
  <sheetData>
    <row r="1" ht="12.75">
      <c r="A1" s="62" t="s">
        <v>197</v>
      </c>
    </row>
    <row r="2" ht="12.75">
      <c r="A2" s="62"/>
    </row>
    <row r="3" ht="12.75">
      <c r="F3" s="248"/>
    </row>
    <row r="4" spans="1:5" ht="12.75">
      <c r="A4" s="351" t="s">
        <v>185</v>
      </c>
      <c r="B4" s="349" t="s">
        <v>215</v>
      </c>
      <c r="C4" s="354" t="s">
        <v>217</v>
      </c>
      <c r="D4" s="355"/>
      <c r="E4" s="349" t="s">
        <v>206</v>
      </c>
    </row>
    <row r="5" spans="1:5" ht="12.75">
      <c r="A5" s="352"/>
      <c r="B5" s="350"/>
      <c r="C5" s="250" t="s">
        <v>43</v>
      </c>
      <c r="D5" s="250" t="s">
        <v>216</v>
      </c>
      <c r="E5" s="350"/>
    </row>
    <row r="6" spans="1:5" ht="12.75">
      <c r="A6" s="81" t="str">
        <f>Исх!A30</f>
        <v>Ковер</v>
      </c>
      <c r="B6" s="232" t="s">
        <v>349</v>
      </c>
      <c r="C6" s="232">
        <f>D6/Исх!$C$19</f>
        <v>7457.142857142857</v>
      </c>
      <c r="D6" s="232">
        <f>Исх!$C$30</f>
        <v>8352</v>
      </c>
      <c r="E6" s="81" t="s">
        <v>350</v>
      </c>
    </row>
    <row r="10" spans="1:9" ht="12.75" customHeight="1">
      <c r="A10" s="351" t="s">
        <v>185</v>
      </c>
      <c r="B10" s="349" t="s">
        <v>215</v>
      </c>
      <c r="C10" s="250" t="s">
        <v>298</v>
      </c>
      <c r="D10" s="353" t="s">
        <v>294</v>
      </c>
      <c r="E10" s="353"/>
      <c r="F10" s="345" t="s">
        <v>263</v>
      </c>
      <c r="G10" s="346"/>
      <c r="H10" s="347" t="s">
        <v>248</v>
      </c>
      <c r="I10" s="348"/>
    </row>
    <row r="11" spans="1:9" ht="12.75">
      <c r="A11" s="352"/>
      <c r="B11" s="350"/>
      <c r="C11" s="250" t="s">
        <v>43</v>
      </c>
      <c r="D11" s="250" t="s">
        <v>295</v>
      </c>
      <c r="E11" s="250" t="s">
        <v>296</v>
      </c>
      <c r="F11" s="250" t="s">
        <v>295</v>
      </c>
      <c r="G11" s="250" t="s">
        <v>296</v>
      </c>
      <c r="H11" s="250" t="s">
        <v>295</v>
      </c>
      <c r="I11" s="250" t="s">
        <v>297</v>
      </c>
    </row>
    <row r="12" spans="1:9" ht="12.75">
      <c r="A12" s="81" t="str">
        <f>A6</f>
        <v>Ковер</v>
      </c>
      <c r="B12" s="232" t="str">
        <f>B6</f>
        <v>м</v>
      </c>
      <c r="C12" s="232">
        <f>C6</f>
        <v>7457.142857142857</v>
      </c>
      <c r="D12" s="232">
        <f>'Расх перем'!E10</f>
        <v>5292.674285714284</v>
      </c>
      <c r="E12" s="232">
        <f>'Расх перем'!E14</f>
        <v>6584.141168858649</v>
      </c>
      <c r="F12" s="232">
        <f>C12-D12</f>
        <v>2164.4685714285724</v>
      </c>
      <c r="G12" s="232">
        <f>C12-E12</f>
        <v>873.0016882842083</v>
      </c>
      <c r="H12" s="280">
        <f>F12/C12</f>
        <v>0.2902544061302683</v>
      </c>
      <c r="I12" s="280">
        <f>G12/C12</f>
        <v>0.11706919191550687</v>
      </c>
    </row>
    <row r="13" spans="1:9" ht="12.75" hidden="1">
      <c r="A13" s="81"/>
      <c r="B13" s="232"/>
      <c r="C13" s="232"/>
      <c r="D13" s="232"/>
      <c r="E13" s="232"/>
      <c r="F13" s="232"/>
      <c r="G13" s="232"/>
      <c r="H13" s="280"/>
      <c r="I13" s="280"/>
    </row>
  </sheetData>
  <sheetProtection/>
  <mergeCells count="9">
    <mergeCell ref="F10:G10"/>
    <mergeCell ref="H10:I10"/>
    <mergeCell ref="B10:B11"/>
    <mergeCell ref="A10:A11"/>
    <mergeCell ref="D10:E10"/>
    <mergeCell ref="A4:A5"/>
    <mergeCell ref="B4:B5"/>
    <mergeCell ref="C4:D4"/>
    <mergeCell ref="E4:E5"/>
  </mergeCells>
  <printOptions/>
  <pageMargins left="0.1968503937007874" right="0.1968503937007874" top="0.6299212598425197" bottom="2.125984251968504" header="0.196850393700787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outlinePr summaryBelow="0"/>
  </sheetPr>
  <dimension ref="A1:AV15"/>
  <sheetViews>
    <sheetView showGridLines="0" showZeros="0" zoomScalePageLayoutView="0" workbookViewId="0" topLeftCell="A1">
      <pane xSplit="3" ySplit="4" topLeftCell="A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H26" sqref="AH26"/>
    </sheetView>
  </sheetViews>
  <sheetFormatPr defaultColWidth="10.125" defaultRowHeight="12.75" outlineLevelCol="1"/>
  <cols>
    <col min="1" max="1" width="30.125" style="238" customWidth="1"/>
    <col min="2" max="2" width="11.375" style="238" customWidth="1"/>
    <col min="3" max="3" width="10.125" style="238" customWidth="1"/>
    <col min="4" max="15" width="7.00390625" style="238" hidden="1" customWidth="1" outlineLevel="1"/>
    <col min="16" max="16" width="9.125" style="238" customWidth="1" collapsed="1"/>
    <col min="17" max="28" width="8.375" style="238" hidden="1" customWidth="1" outlineLevel="1"/>
    <col min="29" max="29" width="9.125" style="238" customWidth="1" collapsed="1"/>
    <col min="30" max="41" width="8.375" style="238" hidden="1" customWidth="1" outlineLevel="1"/>
    <col min="42" max="42" width="9.125" style="238" customWidth="1" collapsed="1"/>
    <col min="43" max="47" width="9.125" style="238" customWidth="1"/>
    <col min="48" max="48" width="10.125" style="235" customWidth="1"/>
    <col min="49" max="16384" width="10.125" style="238" customWidth="1"/>
  </cols>
  <sheetData>
    <row r="1" spans="1:48" ht="21" customHeight="1">
      <c r="A1" s="241" t="s">
        <v>233</v>
      </c>
      <c r="B1" s="237"/>
      <c r="C1" s="237"/>
      <c r="AV1" s="238"/>
    </row>
    <row r="2" spans="1:48" ht="17.25" customHeight="1">
      <c r="A2" s="241"/>
      <c r="B2" s="242"/>
      <c r="C2" s="239"/>
      <c r="AV2" s="238"/>
    </row>
    <row r="3" spans="1:48" ht="12.75" customHeight="1">
      <c r="A3" s="356" t="s">
        <v>191</v>
      </c>
      <c r="B3" s="339" t="s">
        <v>89</v>
      </c>
      <c r="C3" s="358" t="s">
        <v>40</v>
      </c>
      <c r="D3" s="340">
        <v>2013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>
        <v>2014</v>
      </c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1">
        <v>2015</v>
      </c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3"/>
      <c r="AQ3" s="123"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  <c r="AV3" s="238"/>
    </row>
    <row r="4" spans="1:48" ht="12.75">
      <c r="A4" s="357"/>
      <c r="B4" s="339"/>
      <c r="C4" s="359"/>
      <c r="D4" s="125">
        <f aca="true" t="shared" si="0" ref="D4:L4">C4+1</f>
        <v>1</v>
      </c>
      <c r="E4" s="125">
        <f t="shared" si="0"/>
        <v>2</v>
      </c>
      <c r="F4" s="125">
        <f t="shared" si="0"/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>L4+1</f>
        <v>10</v>
      </c>
      <c r="N4" s="125">
        <f>M4+1</f>
        <v>11</v>
      </c>
      <c r="O4" s="125">
        <f>N4+1</f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111</v>
      </c>
      <c r="AR4" s="121" t="s">
        <v>111</v>
      </c>
      <c r="AS4" s="121" t="s">
        <v>111</v>
      </c>
      <c r="AT4" s="121" t="s">
        <v>111</v>
      </c>
      <c r="AU4" s="121" t="s">
        <v>111</v>
      </c>
      <c r="AV4" s="238"/>
    </row>
    <row r="5" spans="1:48" ht="12.75">
      <c r="A5" s="259" t="s">
        <v>192</v>
      </c>
      <c r="B5" s="127"/>
      <c r="C5" s="12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28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28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238"/>
    </row>
    <row r="6" spans="1:48" ht="15" customHeight="1">
      <c r="A6" s="240" t="s">
        <v>198</v>
      </c>
      <c r="B6" s="127"/>
      <c r="C6" s="128"/>
      <c r="D6" s="132"/>
      <c r="E6" s="132"/>
      <c r="F6" s="132"/>
      <c r="G6" s="132"/>
      <c r="H6" s="132"/>
      <c r="I6" s="246"/>
      <c r="J6" s="246"/>
      <c r="K6" s="246"/>
      <c r="L6" s="246"/>
      <c r="M6" s="246"/>
      <c r="N6" s="246"/>
      <c r="O6" s="246"/>
      <c r="P6" s="246"/>
      <c r="Q6" s="247">
        <v>0.3</v>
      </c>
      <c r="R6" s="246">
        <f>Q6</f>
        <v>0.3</v>
      </c>
      <c r="S6" s="246">
        <f>R6</f>
        <v>0.3</v>
      </c>
      <c r="T6" s="247">
        <v>0.4</v>
      </c>
      <c r="U6" s="246">
        <f>T6</f>
        <v>0.4</v>
      </c>
      <c r="V6" s="246">
        <f>U6</f>
        <v>0.4</v>
      </c>
      <c r="W6" s="247">
        <v>0.5</v>
      </c>
      <c r="X6" s="246">
        <f>W6</f>
        <v>0.5</v>
      </c>
      <c r="Y6" s="246">
        <f>X6</f>
        <v>0.5</v>
      </c>
      <c r="Z6" s="247">
        <v>0.55</v>
      </c>
      <c r="AA6" s="246">
        <f>Z6</f>
        <v>0.55</v>
      </c>
      <c r="AB6" s="246">
        <f>AA6</f>
        <v>0.55</v>
      </c>
      <c r="AC6" s="246">
        <f>AVERAGE(Q6:AB6)</f>
        <v>0.43749999999999994</v>
      </c>
      <c r="AD6" s="247">
        <v>0.6</v>
      </c>
      <c r="AE6" s="246">
        <f>AD6</f>
        <v>0.6</v>
      </c>
      <c r="AF6" s="246">
        <f>AE6</f>
        <v>0.6</v>
      </c>
      <c r="AG6" s="247">
        <v>0.65</v>
      </c>
      <c r="AH6" s="246">
        <f>AG6</f>
        <v>0.65</v>
      </c>
      <c r="AI6" s="246">
        <f>AH6</f>
        <v>0.65</v>
      </c>
      <c r="AJ6" s="247">
        <v>0.7</v>
      </c>
      <c r="AK6" s="246">
        <f>AJ6</f>
        <v>0.7</v>
      </c>
      <c r="AL6" s="246">
        <f>AK6</f>
        <v>0.7</v>
      </c>
      <c r="AM6" s="247">
        <v>0.75</v>
      </c>
      <c r="AN6" s="246">
        <f>AM6</f>
        <v>0.75</v>
      </c>
      <c r="AO6" s="246">
        <f>AN6</f>
        <v>0.75</v>
      </c>
      <c r="AP6" s="246">
        <f>AVERAGE(AD6:AO6)</f>
        <v>0.6749999999999999</v>
      </c>
      <c r="AQ6" s="247">
        <v>0.8</v>
      </c>
      <c r="AR6" s="247">
        <v>0.85</v>
      </c>
      <c r="AS6" s="247">
        <v>0.9</v>
      </c>
      <c r="AT6" s="247">
        <v>0.95</v>
      </c>
      <c r="AU6" s="247">
        <v>1</v>
      </c>
      <c r="AV6" s="238"/>
    </row>
    <row r="7" spans="1:48" ht="15" customHeight="1">
      <c r="A7" s="240" t="str">
        <f>Дох!A12</f>
        <v>Ковер</v>
      </c>
      <c r="B7" s="127">
        <f>P7+AC7+AP7+AQ7+AR7+AS7+AT7+AU7</f>
        <v>324121.875</v>
      </c>
      <c r="C7" s="305" t="s">
        <v>349</v>
      </c>
      <c r="D7" s="132">
        <f>Исх!$C26*Производство!D$6</f>
        <v>0</v>
      </c>
      <c r="E7" s="132">
        <f>Исх!$C26*Производство!E$6</f>
        <v>0</v>
      </c>
      <c r="F7" s="132">
        <f>Исх!$C26*Производство!F$6</f>
        <v>0</v>
      </c>
      <c r="G7" s="132">
        <f>Исх!$C26*Производство!G$6</f>
        <v>0</v>
      </c>
      <c r="H7" s="132">
        <f>Исх!$C26*Производство!H$6</f>
        <v>0</v>
      </c>
      <c r="I7" s="132">
        <f>Исх!$C27*Производство!I$6</f>
        <v>0</v>
      </c>
      <c r="J7" s="132">
        <f>Исх!$C27*Производство!J$6</f>
        <v>0</v>
      </c>
      <c r="K7" s="132">
        <f>Исх!$C27*Производство!K$6</f>
        <v>0</v>
      </c>
      <c r="L7" s="132">
        <f>Исх!$C27*Производство!L$6</f>
        <v>0</v>
      </c>
      <c r="M7" s="132">
        <f>Исх!$C27*Производство!M$6</f>
        <v>0</v>
      </c>
      <c r="N7" s="132">
        <f>Исх!$C27*Производство!N$6</f>
        <v>0</v>
      </c>
      <c r="O7" s="132">
        <f>Исх!$C27*Производство!O$6</f>
        <v>0</v>
      </c>
      <c r="P7" s="128">
        <f>SUM(D7:O7)</f>
        <v>0</v>
      </c>
      <c r="Q7" s="132">
        <f>Исх!$C$27*Производство!Q$6</f>
        <v>1443.75</v>
      </c>
      <c r="R7" s="132">
        <f>Исх!$C$27*Производство!R$6</f>
        <v>1443.75</v>
      </c>
      <c r="S7" s="132">
        <f>Исх!$C$27*Производство!S$6</f>
        <v>1443.75</v>
      </c>
      <c r="T7" s="132">
        <f>Исх!$C$27*Производство!T$6</f>
        <v>1925</v>
      </c>
      <c r="U7" s="132">
        <f>Исх!$C$27*Производство!U$6</f>
        <v>1925</v>
      </c>
      <c r="V7" s="132">
        <f>Исх!$C$27*Производство!V$6</f>
        <v>1925</v>
      </c>
      <c r="W7" s="132">
        <f>Исх!$C$27*Производство!W$6</f>
        <v>2406.25</v>
      </c>
      <c r="X7" s="132">
        <f>Исх!$C$27*Производство!X$6</f>
        <v>2406.25</v>
      </c>
      <c r="Y7" s="132">
        <f>Исх!$C$27*Производство!Y$6</f>
        <v>2406.25</v>
      </c>
      <c r="Z7" s="132">
        <f>Исх!$C$27*Производство!Z$6</f>
        <v>2646.875</v>
      </c>
      <c r="AA7" s="132">
        <f>Исх!$C$27*Производство!AA$6</f>
        <v>2646.875</v>
      </c>
      <c r="AB7" s="132">
        <f>Исх!$C$27*Производство!AB$6</f>
        <v>2646.875</v>
      </c>
      <c r="AC7" s="128">
        <f>SUM(Q7:AB7)</f>
        <v>25265.625</v>
      </c>
      <c r="AD7" s="132">
        <f>Исх!$C$27*Производство!AD$6</f>
        <v>2887.5</v>
      </c>
      <c r="AE7" s="132">
        <f>Исх!$C$27*Производство!AE$6</f>
        <v>2887.5</v>
      </c>
      <c r="AF7" s="132">
        <f>Исх!$C$27*Производство!AF$6</f>
        <v>2887.5</v>
      </c>
      <c r="AG7" s="132">
        <f>Исх!$C$27*Производство!AG$6</f>
        <v>3128.125</v>
      </c>
      <c r="AH7" s="132">
        <f>Исх!$C$27*Производство!AH$6</f>
        <v>3128.125</v>
      </c>
      <c r="AI7" s="132">
        <f>Исх!$C$27*Производство!AI$6</f>
        <v>3128.125</v>
      </c>
      <c r="AJ7" s="132">
        <f>Исх!$C$27*Производство!AJ$6</f>
        <v>3368.75</v>
      </c>
      <c r="AK7" s="132">
        <f>Исх!$C$27*Производство!AK$6</f>
        <v>3368.75</v>
      </c>
      <c r="AL7" s="132">
        <f>Исх!$C$27*Производство!AL$6</f>
        <v>3368.75</v>
      </c>
      <c r="AM7" s="132">
        <f>Исх!$C$27*Производство!AM$6</f>
        <v>3609.375</v>
      </c>
      <c r="AN7" s="132">
        <f>Исх!$C$27*Производство!AN$6</f>
        <v>3609.375</v>
      </c>
      <c r="AO7" s="132">
        <f>Исх!$C$27*Производство!AO$6</f>
        <v>3609.375</v>
      </c>
      <c r="AP7" s="132">
        <f>SUM(AD7:AO7)</f>
        <v>38981.25</v>
      </c>
      <c r="AQ7" s="132">
        <f>Исх!$C$27*Производство!AQ$6*12</f>
        <v>46200</v>
      </c>
      <c r="AR7" s="132">
        <f>Исх!$C$27*Производство!AR$6*12</f>
        <v>49087.5</v>
      </c>
      <c r="AS7" s="132">
        <f>Исх!$C$27*Производство!AS$6*12</f>
        <v>51975</v>
      </c>
      <c r="AT7" s="132">
        <f>Исх!$C$27*Производство!AT$6*12</f>
        <v>54862.5</v>
      </c>
      <c r="AU7" s="132">
        <f>Исх!$C$27*Производство!AU$6*12</f>
        <v>57750</v>
      </c>
      <c r="AV7" s="238"/>
    </row>
    <row r="8" ht="12.75">
      <c r="C8" s="306"/>
    </row>
    <row r="9" spans="1:48" ht="12.75">
      <c r="A9" s="260" t="s">
        <v>234</v>
      </c>
      <c r="B9" s="127"/>
      <c r="C9" s="307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27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27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238"/>
    </row>
    <row r="10" spans="1:48" ht="15" customHeight="1">
      <c r="A10" s="240" t="str">
        <f>A7</f>
        <v>Ковер</v>
      </c>
      <c r="B10" s="127">
        <f>P10+AC10+AP10+AQ10+AR10+AS10+AT10+AU10</f>
        <v>320963.671875</v>
      </c>
      <c r="C10" s="305" t="str">
        <f>C7</f>
        <v>м</v>
      </c>
      <c r="D10" s="132"/>
      <c r="E10" s="132"/>
      <c r="F10" s="132"/>
      <c r="G10" s="132"/>
      <c r="H10" s="132"/>
      <c r="I10" s="132"/>
      <c r="J10" s="132">
        <f>J7*Исх!H$49*0.5</f>
        <v>0</v>
      </c>
      <c r="K10" s="132">
        <f>K7*Исх!I$49</f>
        <v>0</v>
      </c>
      <c r="L10" s="132">
        <f>L7*Исх!J$49</f>
        <v>0</v>
      </c>
      <c r="M10" s="132">
        <f>M7*Исх!K$49</f>
        <v>0</v>
      </c>
      <c r="N10" s="132">
        <f>N7*Исх!L$49</f>
        <v>0</v>
      </c>
      <c r="O10" s="132"/>
      <c r="P10" s="128">
        <f>SUM(D10:O10)</f>
        <v>0</v>
      </c>
      <c r="Q10" s="281">
        <f>$AC$7*Исх!B49*0.5</f>
        <v>1052.734375</v>
      </c>
      <c r="R10" s="281">
        <f>$AC$7*Исх!C49*0.5</f>
        <v>1052.734375</v>
      </c>
      <c r="S10" s="281">
        <f>$AC$7*Исх!D49*0.5</f>
        <v>1052.734375</v>
      </c>
      <c r="T10" s="132">
        <f>$AC$7*Исх!E49</f>
        <v>2105.46875</v>
      </c>
      <c r="U10" s="132">
        <f>$AC$7*Исх!F49</f>
        <v>2105.46875</v>
      </c>
      <c r="V10" s="132">
        <f>$AC$7*Исх!G49</f>
        <v>2105.46875</v>
      </c>
      <c r="W10" s="132">
        <f>$AC$7*Исх!H49</f>
        <v>2105.46875</v>
      </c>
      <c r="X10" s="132">
        <f>$AC$7*Исх!I49</f>
        <v>2105.46875</v>
      </c>
      <c r="Y10" s="132">
        <f>$AC$7*Исх!J49</f>
        <v>2105.46875</v>
      </c>
      <c r="Z10" s="132">
        <f>$AC$7*Исх!K49</f>
        <v>2105.46875</v>
      </c>
      <c r="AA10" s="132">
        <f>$AC$7*Исх!L49</f>
        <v>2105.46875</v>
      </c>
      <c r="AB10" s="132">
        <f>$AC$7*Исх!M49</f>
        <v>2105.46875</v>
      </c>
      <c r="AC10" s="128">
        <f>SUM(Q10:AB10)</f>
        <v>22107.421875</v>
      </c>
      <c r="AD10" s="132">
        <f>$AP$7*Исх!B49</f>
        <v>3248.4375</v>
      </c>
      <c r="AE10" s="132">
        <f>$AP$7*Исх!C49</f>
        <v>3248.4375</v>
      </c>
      <c r="AF10" s="132">
        <f>$AP$7*Исх!D49</f>
        <v>3248.4375</v>
      </c>
      <c r="AG10" s="132">
        <f>$AP$7*Исх!E49</f>
        <v>3248.4375</v>
      </c>
      <c r="AH10" s="132">
        <f>$AP$7*Исх!F49</f>
        <v>3248.4375</v>
      </c>
      <c r="AI10" s="132">
        <f>$AP$7*Исх!G49</f>
        <v>3248.4375</v>
      </c>
      <c r="AJ10" s="132">
        <f>$AP$7*Исх!H49</f>
        <v>3248.4375</v>
      </c>
      <c r="AK10" s="132">
        <f>$AP$7*Исх!I49</f>
        <v>3248.4375</v>
      </c>
      <c r="AL10" s="132">
        <f>$AP$7*Исх!J49</f>
        <v>3248.4375</v>
      </c>
      <c r="AM10" s="132">
        <f>$AP$7*Исх!K49</f>
        <v>3248.4375</v>
      </c>
      <c r="AN10" s="132">
        <f>$AP$7*Исх!L49</f>
        <v>3248.4375</v>
      </c>
      <c r="AO10" s="132">
        <f>$AP$7*Исх!M49</f>
        <v>3248.4375</v>
      </c>
      <c r="AP10" s="128">
        <f>SUM(AD10:AO10)</f>
        <v>38981.25</v>
      </c>
      <c r="AQ10" s="132">
        <f>AQ7</f>
        <v>46200</v>
      </c>
      <c r="AR10" s="132">
        <f>AR7</f>
        <v>49087.5</v>
      </c>
      <c r="AS10" s="132">
        <f>AS7</f>
        <v>51975</v>
      </c>
      <c r="AT10" s="132">
        <f>AT7</f>
        <v>54862.5</v>
      </c>
      <c r="AU10" s="132">
        <f>AU7</f>
        <v>57750</v>
      </c>
      <c r="AV10" s="238"/>
    </row>
    <row r="11" ht="12.75">
      <c r="C11" s="306"/>
    </row>
    <row r="12" spans="1:48" ht="12.75">
      <c r="A12" s="260" t="s">
        <v>319</v>
      </c>
      <c r="B12" s="127"/>
      <c r="C12" s="307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27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27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238"/>
    </row>
    <row r="13" spans="1:48" ht="15" customHeight="1">
      <c r="A13" s="240" t="str">
        <f>A10</f>
        <v>Ковер</v>
      </c>
      <c r="B13" s="127">
        <f>AU13</f>
        <v>3158.203125</v>
      </c>
      <c r="C13" s="305" t="str">
        <f>C10</f>
        <v>м</v>
      </c>
      <c r="D13" s="132"/>
      <c r="E13" s="132">
        <f aca="true" t="shared" si="3" ref="E13:K13">D13+E7-E10</f>
        <v>0</v>
      </c>
      <c r="F13" s="132">
        <f t="shared" si="3"/>
        <v>0</v>
      </c>
      <c r="G13" s="132">
        <f t="shared" si="3"/>
        <v>0</v>
      </c>
      <c r="H13" s="132">
        <f t="shared" si="3"/>
        <v>0</v>
      </c>
      <c r="I13" s="132">
        <f t="shared" si="3"/>
        <v>0</v>
      </c>
      <c r="J13" s="132">
        <f t="shared" si="3"/>
        <v>0</v>
      </c>
      <c r="K13" s="132">
        <f t="shared" si="3"/>
        <v>0</v>
      </c>
      <c r="L13" s="132">
        <f>K13+L7-L10</f>
        <v>0</v>
      </c>
      <c r="M13" s="132">
        <f>L13+M7-M10</f>
        <v>0</v>
      </c>
      <c r="N13" s="132">
        <f>M13+N7-N10</f>
        <v>0</v>
      </c>
      <c r="O13" s="132">
        <f>N13+O7-O10</f>
        <v>0</v>
      </c>
      <c r="P13" s="128">
        <f>O13</f>
        <v>0</v>
      </c>
      <c r="Q13" s="132">
        <f aca="true" t="shared" si="4" ref="Q13:AB13">P13+Q7-Q10</f>
        <v>391.015625</v>
      </c>
      <c r="R13" s="132">
        <f t="shared" si="4"/>
        <v>782.03125</v>
      </c>
      <c r="S13" s="132">
        <f t="shared" si="4"/>
        <v>1173.046875</v>
      </c>
      <c r="T13" s="132">
        <f t="shared" si="4"/>
        <v>992.578125</v>
      </c>
      <c r="U13" s="132">
        <f t="shared" si="4"/>
        <v>812.109375</v>
      </c>
      <c r="V13" s="132">
        <f t="shared" si="4"/>
        <v>631.640625</v>
      </c>
      <c r="W13" s="132">
        <f t="shared" si="4"/>
        <v>932.421875</v>
      </c>
      <c r="X13" s="132">
        <f t="shared" si="4"/>
        <v>1233.203125</v>
      </c>
      <c r="Y13" s="132">
        <f t="shared" si="4"/>
        <v>1533.984375</v>
      </c>
      <c r="Z13" s="132">
        <f t="shared" si="4"/>
        <v>2075.390625</v>
      </c>
      <c r="AA13" s="132">
        <f t="shared" si="4"/>
        <v>2616.796875</v>
      </c>
      <c r="AB13" s="132">
        <f t="shared" si="4"/>
        <v>3158.203125</v>
      </c>
      <c r="AC13" s="128">
        <f>AB13</f>
        <v>3158.203125</v>
      </c>
      <c r="AD13" s="132">
        <f aca="true" t="shared" si="5" ref="AD13:AO13">AC13+AD7-AD10</f>
        <v>2797.265625</v>
      </c>
      <c r="AE13" s="132">
        <f t="shared" si="5"/>
        <v>2436.328125</v>
      </c>
      <c r="AF13" s="132">
        <f t="shared" si="5"/>
        <v>2075.390625</v>
      </c>
      <c r="AG13" s="132">
        <f t="shared" si="5"/>
        <v>1955.078125</v>
      </c>
      <c r="AH13" s="132">
        <f t="shared" si="5"/>
        <v>1834.765625</v>
      </c>
      <c r="AI13" s="132">
        <f t="shared" si="5"/>
        <v>1714.453125</v>
      </c>
      <c r="AJ13" s="132">
        <f t="shared" si="5"/>
        <v>1834.765625</v>
      </c>
      <c r="AK13" s="132">
        <f t="shared" si="5"/>
        <v>1955.078125</v>
      </c>
      <c r="AL13" s="132">
        <f t="shared" si="5"/>
        <v>2075.390625</v>
      </c>
      <c r="AM13" s="132">
        <f t="shared" si="5"/>
        <v>2436.328125</v>
      </c>
      <c r="AN13" s="132">
        <f t="shared" si="5"/>
        <v>2797.265625</v>
      </c>
      <c r="AO13" s="132">
        <f t="shared" si="5"/>
        <v>3158.203125</v>
      </c>
      <c r="AP13" s="132">
        <f>AO13</f>
        <v>3158.203125</v>
      </c>
      <c r="AQ13" s="132">
        <f>AP13+AQ7-AQ10</f>
        <v>3158.203125</v>
      </c>
      <c r="AR13" s="132">
        <f>AQ13+AR7-AR10</f>
        <v>3158.203125</v>
      </c>
      <c r="AS13" s="132">
        <f>AR13+AS7-AS10</f>
        <v>3158.203125</v>
      </c>
      <c r="AT13" s="132">
        <f>AS13+AT7-AT10</f>
        <v>3158.203125</v>
      </c>
      <c r="AU13" s="132">
        <f>AT13+AU7-AU10</f>
        <v>3158.203125</v>
      </c>
      <c r="AV13" s="238"/>
    </row>
    <row r="15" spans="1:13" ht="12.75">
      <c r="A15" s="264" t="s">
        <v>235</v>
      </c>
      <c r="B15" s="261">
        <f>B7-B10-B13</f>
        <v>0</v>
      </c>
      <c r="M15" s="303"/>
    </row>
  </sheetData>
  <sheetProtection/>
  <mergeCells count="6">
    <mergeCell ref="A3:A4"/>
    <mergeCell ref="B3:B4"/>
    <mergeCell ref="D3:P3"/>
    <mergeCell ref="Q3:AC3"/>
    <mergeCell ref="AD3:AP3"/>
    <mergeCell ref="C3:C4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4" sqref="C24"/>
    </sheetView>
  </sheetViews>
  <sheetFormatPr defaultColWidth="8.875" defaultRowHeight="12.75"/>
  <cols>
    <col min="1" max="1" width="50.625" style="78" customWidth="1"/>
    <col min="2" max="2" width="8.125" style="78" customWidth="1"/>
    <col min="3" max="3" width="9.375" style="78" customWidth="1"/>
    <col min="4" max="4" width="16.00390625" style="78" customWidth="1"/>
    <col min="5" max="5" width="14.625" style="78" bestFit="1" customWidth="1"/>
    <col min="6" max="6" width="17.375" style="78" hidden="1" customWidth="1"/>
    <col min="7" max="7" width="18.125" style="78" hidden="1" customWidth="1"/>
    <col min="8" max="8" width="10.75390625" style="78" customWidth="1"/>
    <col min="9" max="9" width="12.625" style="78" customWidth="1"/>
    <col min="10" max="10" width="11.625" style="78" customWidth="1"/>
    <col min="11" max="16384" width="8.875" style="78" customWidth="1"/>
  </cols>
  <sheetData>
    <row r="1" spans="1:6" ht="12.75">
      <c r="A1" s="62" t="s">
        <v>195</v>
      </c>
      <c r="B1" s="62"/>
      <c r="D1" s="62"/>
      <c r="F1" s="62"/>
    </row>
    <row r="2" spans="1:6" ht="12.75">
      <c r="A2" s="62"/>
      <c r="D2" s="62"/>
      <c r="F2" s="62"/>
    </row>
    <row r="3" spans="1:5" ht="12.75">
      <c r="A3" s="314" t="s">
        <v>43</v>
      </c>
      <c r="D3" s="364"/>
      <c r="E3" s="364"/>
    </row>
    <row r="4" spans="1:7" ht="12.75">
      <c r="A4" s="351" t="s">
        <v>203</v>
      </c>
      <c r="B4" s="362" t="s">
        <v>193</v>
      </c>
      <c r="C4" s="362" t="s">
        <v>232</v>
      </c>
      <c r="D4" s="360" t="str">
        <f>Дох!A6</f>
        <v>Ковер</v>
      </c>
      <c r="E4" s="361"/>
      <c r="F4" s="360"/>
      <c r="G4" s="361"/>
    </row>
    <row r="5" spans="1:7" ht="25.5">
      <c r="A5" s="352"/>
      <c r="B5" s="363"/>
      <c r="C5" s="363"/>
      <c r="D5" s="255" t="s">
        <v>353</v>
      </c>
      <c r="E5" s="255" t="s">
        <v>354</v>
      </c>
      <c r="F5" s="255"/>
      <c r="G5" s="255"/>
    </row>
    <row r="6" spans="1:7" ht="12.75">
      <c r="A6" s="81" t="str">
        <f>Исх!A31</f>
        <v>Смешанная пряжа (акрил+шерсть)</v>
      </c>
      <c r="B6" s="236" t="s">
        <v>351</v>
      </c>
      <c r="C6" s="146">
        <f>Исх!C31/Исх!$C$19</f>
        <v>894.8571428571427</v>
      </c>
      <c r="D6" s="258">
        <f>Исх!C37</f>
        <v>4</v>
      </c>
      <c r="E6" s="146">
        <f>D6*$C6</f>
        <v>3579.4285714285706</v>
      </c>
      <c r="F6" s="258"/>
      <c r="G6" s="146"/>
    </row>
    <row r="7" spans="1:7" ht="12.75">
      <c r="A7" s="81" t="str">
        <f>Исх!A32</f>
        <v>Латекс</v>
      </c>
      <c r="B7" s="236" t="s">
        <v>352</v>
      </c>
      <c r="C7" s="146">
        <f>Исх!C32/Исх!$C$19</f>
        <v>695.9999999999998</v>
      </c>
      <c r="D7" s="258">
        <f>Исх!C38</f>
        <v>1.1</v>
      </c>
      <c r="E7" s="146">
        <f>D7*$C7</f>
        <v>765.5999999999998</v>
      </c>
      <c r="F7" s="258"/>
      <c r="G7" s="146"/>
    </row>
    <row r="8" spans="1:7" ht="12.75">
      <c r="A8" s="81" t="str">
        <f>Исх!A33</f>
        <v>Краска</v>
      </c>
      <c r="B8" s="236" t="s">
        <v>351</v>
      </c>
      <c r="C8" s="146">
        <f>Исх!C33/Исх!$C$19</f>
        <v>1499.9999999999998</v>
      </c>
      <c r="D8" s="258">
        <f>Исх!C39</f>
        <v>0.6</v>
      </c>
      <c r="E8" s="146">
        <f>D8*$C8</f>
        <v>899.9999999999999</v>
      </c>
      <c r="F8" s="258"/>
      <c r="G8" s="249"/>
    </row>
    <row r="9" spans="1:7" ht="12.75">
      <c r="A9" s="81" t="s">
        <v>266</v>
      </c>
      <c r="B9" s="236" t="s">
        <v>320</v>
      </c>
      <c r="C9" s="146">
        <f>Исх!C34/Исх!$C$19</f>
        <v>13.535714285714285</v>
      </c>
      <c r="D9" s="258">
        <f>Исх!D40</f>
        <v>3.52</v>
      </c>
      <c r="E9" s="146">
        <f>D9*$C9</f>
        <v>47.645714285714284</v>
      </c>
      <c r="F9" s="258"/>
      <c r="G9" s="249"/>
    </row>
    <row r="10" spans="1:8" ht="12.75">
      <c r="A10" s="156" t="s">
        <v>0</v>
      </c>
      <c r="B10" s="256"/>
      <c r="C10" s="251"/>
      <c r="D10" s="257"/>
      <c r="E10" s="245">
        <f>SUM(E6:E9)</f>
        <v>5292.674285714284</v>
      </c>
      <c r="F10" s="257"/>
      <c r="G10" s="245">
        <f>SUM(G6:G9)</f>
        <v>0</v>
      </c>
      <c r="H10" s="148"/>
    </row>
    <row r="11" spans="1:7" s="148" customFormat="1" ht="12.75">
      <c r="A11" s="148" t="s">
        <v>240</v>
      </c>
      <c r="E11" s="266">
        <f>('2-ф2'!$B$10+'2-ф2'!$B$11+'2-ф2'!$B$12)*'Расх перем'!E12</f>
        <v>414513.95291897684</v>
      </c>
      <c r="G11" s="266"/>
    </row>
    <row r="12" spans="1:7" s="148" customFormat="1" ht="12.75">
      <c r="A12" s="148" t="s">
        <v>237</v>
      </c>
      <c r="E12" s="265">
        <f>'2-ф2'!$B$6/'2-ф2'!$B$5</f>
        <v>1</v>
      </c>
      <c r="F12" s="265"/>
      <c r="G12" s="265"/>
    </row>
    <row r="13" spans="1:7" s="148" customFormat="1" ht="12.75">
      <c r="A13" s="148" t="s">
        <v>239</v>
      </c>
      <c r="E13" s="266">
        <f>E11*1000/Производство!$B$10</f>
        <v>1291.4668831443646</v>
      </c>
      <c r="G13" s="266"/>
    </row>
    <row r="14" spans="1:7" s="148" customFormat="1" ht="12.75">
      <c r="A14" s="267" t="s">
        <v>238</v>
      </c>
      <c r="B14" s="268"/>
      <c r="C14" s="268"/>
      <c r="D14" s="268"/>
      <c r="E14" s="269">
        <f>E10+E13</f>
        <v>6584.141168858649</v>
      </c>
      <c r="F14" s="268"/>
      <c r="G14" s="269"/>
    </row>
    <row r="15" s="148" customFormat="1" ht="12.75"/>
  </sheetData>
  <sheetProtection/>
  <mergeCells count="6">
    <mergeCell ref="D4:E4"/>
    <mergeCell ref="A4:A5"/>
    <mergeCell ref="B4:B5"/>
    <mergeCell ref="C4:C5"/>
    <mergeCell ref="F4:G4"/>
    <mergeCell ref="D3:E3"/>
  </mergeCells>
  <printOptions/>
  <pageMargins left="0.34" right="0.43" top="0.45" bottom="0.38" header="0.2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M33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23" sqref="D23"/>
    </sheetView>
  </sheetViews>
  <sheetFormatPr defaultColWidth="9.00390625" defaultRowHeight="12.75"/>
  <cols>
    <col min="1" max="1" width="5.625" style="78" customWidth="1"/>
    <col min="2" max="2" width="33.375" style="78" customWidth="1"/>
    <col min="3" max="3" width="10.00390625" style="78" customWidth="1"/>
    <col min="4" max="4" width="11.625" style="78" customWidth="1"/>
    <col min="5" max="5" width="12.75390625" style="78" customWidth="1"/>
    <col min="6" max="9" width="11.625" style="78" customWidth="1"/>
    <col min="10" max="10" width="10.125" style="78" customWidth="1"/>
    <col min="11" max="11" width="12.00390625" style="78" customWidth="1"/>
    <col min="12" max="16384" width="9.125" style="78" customWidth="1"/>
  </cols>
  <sheetData>
    <row r="1" ht="5.25" customHeight="1"/>
    <row r="2" spans="1:13" ht="16.5" customHeight="1">
      <c r="A2" s="62" t="s">
        <v>143</v>
      </c>
      <c r="D2" s="166"/>
      <c r="E2" s="166"/>
      <c r="F2" s="166"/>
      <c r="G2" s="166"/>
      <c r="H2" s="166"/>
      <c r="I2" s="166"/>
      <c r="J2" s="166"/>
      <c r="K2" s="147" t="str">
        <f>Исх!C10</f>
        <v>тыс.тг.</v>
      </c>
      <c r="M2" s="248">
        <f>'1-Ф3'!$B$2</f>
        <v>0</v>
      </c>
    </row>
    <row r="3" spans="1:11" ht="8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42" customHeight="1">
      <c r="A4" s="150" t="s">
        <v>36</v>
      </c>
      <c r="B4" s="151" t="s">
        <v>37</v>
      </c>
      <c r="C4" s="219" t="s">
        <v>38</v>
      </c>
      <c r="D4" s="152" t="s">
        <v>96</v>
      </c>
      <c r="E4" s="152" t="s">
        <v>97</v>
      </c>
      <c r="F4" s="152" t="s">
        <v>47</v>
      </c>
      <c r="G4" s="152" t="s">
        <v>48</v>
      </c>
      <c r="H4" s="152" t="s">
        <v>49</v>
      </c>
      <c r="I4" s="152" t="s">
        <v>50</v>
      </c>
      <c r="J4" s="152" t="s">
        <v>51</v>
      </c>
      <c r="K4" s="152" t="s">
        <v>45</v>
      </c>
    </row>
    <row r="5" spans="1:11" s="62" customFormat="1" ht="12.75">
      <c r="A5" s="143"/>
      <c r="B5" s="153" t="s">
        <v>95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2.75">
      <c r="A6" s="81">
        <v>1</v>
      </c>
      <c r="B6" s="81" t="s">
        <v>245</v>
      </c>
      <c r="C6" s="311">
        <v>1</v>
      </c>
      <c r="D6" s="145">
        <v>200</v>
      </c>
      <c r="E6" s="154">
        <f>C6*D6</f>
        <v>200</v>
      </c>
      <c r="F6" s="154">
        <f>E6*$C$27</f>
        <v>20</v>
      </c>
      <c r="G6" s="154">
        <f>(E6-$C$31-F6)*$C$29</f>
        <v>16.134</v>
      </c>
      <c r="H6" s="154">
        <f>(E6-F6)*$C$28</f>
        <v>9</v>
      </c>
      <c r="I6" s="154">
        <f>(E6-F6)*$C$30-H6</f>
        <v>10.8</v>
      </c>
      <c r="J6" s="154">
        <f>E6-F6-G6</f>
        <v>163.86599999999999</v>
      </c>
      <c r="K6" s="155">
        <f>SUM(F6:J6)</f>
        <v>219.79999999999998</v>
      </c>
    </row>
    <row r="7" spans="1:11" ht="12.75">
      <c r="A7" s="81">
        <v>2</v>
      </c>
      <c r="B7" s="81" t="s">
        <v>246</v>
      </c>
      <c r="C7" s="311">
        <v>1</v>
      </c>
      <c r="D7" s="145">
        <v>80</v>
      </c>
      <c r="E7" s="154">
        <f>C7*D7</f>
        <v>80</v>
      </c>
      <c r="F7" s="154">
        <f>E7*$C$27</f>
        <v>8</v>
      </c>
      <c r="G7" s="154">
        <f>(E7-$C$31-F7)*$C$29</f>
        <v>5.3340000000000005</v>
      </c>
      <c r="H7" s="154">
        <f>(E7-F7)*$C$28</f>
        <v>3.6</v>
      </c>
      <c r="I7" s="154">
        <f>(E7-F7)*$C$30-H7</f>
        <v>4.32</v>
      </c>
      <c r="J7" s="154">
        <f>E7-F7-G7</f>
        <v>66.666</v>
      </c>
      <c r="K7" s="155">
        <f>SUM(F7:J7)</f>
        <v>87.92</v>
      </c>
    </row>
    <row r="8" spans="1:11" ht="12.75">
      <c r="A8" s="81">
        <v>3</v>
      </c>
      <c r="B8" s="81" t="s">
        <v>361</v>
      </c>
      <c r="C8" s="311">
        <v>1</v>
      </c>
      <c r="D8" s="145">
        <v>100</v>
      </c>
      <c r="E8" s="154">
        <f>C8*D8</f>
        <v>100</v>
      </c>
      <c r="F8" s="154">
        <f>E8*$C$27</f>
        <v>10</v>
      </c>
      <c r="G8" s="154">
        <f>(E8-$C$31-F8)*$C$29</f>
        <v>7.134</v>
      </c>
      <c r="H8" s="154">
        <f>(E8-F8)*$C$28</f>
        <v>4.5</v>
      </c>
      <c r="I8" s="154">
        <f>(E8-F8)*$C$30-H8</f>
        <v>5.4</v>
      </c>
      <c r="J8" s="154">
        <f>E8-F8-G8</f>
        <v>82.866</v>
      </c>
      <c r="K8" s="155">
        <f>SUM(F8:J8)</f>
        <v>109.9</v>
      </c>
    </row>
    <row r="9" spans="1:11" s="62" customFormat="1" ht="12.75">
      <c r="A9" s="156"/>
      <c r="B9" s="156" t="s">
        <v>0</v>
      </c>
      <c r="C9" s="31">
        <f aca="true" t="shared" si="0" ref="C9:K9">SUM(C6:C8)</f>
        <v>3</v>
      </c>
      <c r="D9" s="31">
        <f t="shared" si="0"/>
        <v>380</v>
      </c>
      <c r="E9" s="31">
        <f t="shared" si="0"/>
        <v>380</v>
      </c>
      <c r="F9" s="31">
        <f t="shared" si="0"/>
        <v>38</v>
      </c>
      <c r="G9" s="31">
        <f t="shared" si="0"/>
        <v>28.602</v>
      </c>
      <c r="H9" s="31">
        <f t="shared" si="0"/>
        <v>17.1</v>
      </c>
      <c r="I9" s="31">
        <f t="shared" si="0"/>
        <v>20.520000000000003</v>
      </c>
      <c r="J9" s="31">
        <f t="shared" si="0"/>
        <v>313.39799999999997</v>
      </c>
      <c r="K9" s="31">
        <f t="shared" si="0"/>
        <v>417.62</v>
      </c>
    </row>
    <row r="10" spans="1:12" s="62" customFormat="1" ht="12.75">
      <c r="A10" s="143"/>
      <c r="B10" s="143" t="s">
        <v>318</v>
      </c>
      <c r="C10" s="143"/>
      <c r="D10" s="144"/>
      <c r="E10" s="144"/>
      <c r="F10" s="144"/>
      <c r="G10" s="144"/>
      <c r="H10" s="144"/>
      <c r="I10" s="144"/>
      <c r="J10" s="144"/>
      <c r="K10" s="144"/>
      <c r="L10" s="78"/>
    </row>
    <row r="11" spans="1:11" ht="12.75">
      <c r="A11" s="81">
        <v>1</v>
      </c>
      <c r="B11" s="81" t="s">
        <v>355</v>
      </c>
      <c r="C11" s="145">
        <v>1</v>
      </c>
      <c r="D11" s="145">
        <v>150</v>
      </c>
      <c r="E11" s="154">
        <f>C11*D11</f>
        <v>150</v>
      </c>
      <c r="F11" s="154">
        <f>E11*$C$27</f>
        <v>15</v>
      </c>
      <c r="G11" s="154">
        <f>(E11-$C$31-F11)*$C$29</f>
        <v>11.634</v>
      </c>
      <c r="H11" s="154">
        <f>(E11-F11)*$C$28</f>
        <v>6.75</v>
      </c>
      <c r="I11" s="154">
        <f>(E11-F11)*$C$30-H11</f>
        <v>8.1</v>
      </c>
      <c r="J11" s="154">
        <f>E11-F11-G11</f>
        <v>123.366</v>
      </c>
      <c r="K11" s="155">
        <f>SUM(F11:J11)</f>
        <v>164.85</v>
      </c>
    </row>
    <row r="12" spans="1:11" ht="12.75">
      <c r="A12" s="81">
        <v>2</v>
      </c>
      <c r="B12" s="81" t="s">
        <v>356</v>
      </c>
      <c r="C12" s="145">
        <v>1</v>
      </c>
      <c r="D12" s="145">
        <v>100</v>
      </c>
      <c r="E12" s="154">
        <f>C12*D12</f>
        <v>100</v>
      </c>
      <c r="F12" s="154">
        <f>E12*$C$27</f>
        <v>10</v>
      </c>
      <c r="G12" s="154">
        <f>(E12-$C$31-F12)*$C$29</f>
        <v>7.134</v>
      </c>
      <c r="H12" s="154">
        <f>(E12-F12)*$C$28</f>
        <v>4.5</v>
      </c>
      <c r="I12" s="154">
        <f>(E12-F12)*$C$30-H12</f>
        <v>5.4</v>
      </c>
      <c r="J12" s="154">
        <f>E12-F12-G12</f>
        <v>82.866</v>
      </c>
      <c r="K12" s="155">
        <f>SUM(F12:J12)</f>
        <v>109.9</v>
      </c>
    </row>
    <row r="13" spans="1:11" ht="12.75">
      <c r="A13" s="81">
        <v>3</v>
      </c>
      <c r="B13" s="81" t="s">
        <v>236</v>
      </c>
      <c r="C13" s="145">
        <v>8</v>
      </c>
      <c r="D13" s="145">
        <v>70</v>
      </c>
      <c r="E13" s="154">
        <f>C13*D13</f>
        <v>560</v>
      </c>
      <c r="F13" s="154">
        <f>E13*$C$27</f>
        <v>56</v>
      </c>
      <c r="G13" s="154">
        <f>(E13-$C$31-F13)*$C$29</f>
        <v>48.534000000000006</v>
      </c>
      <c r="H13" s="154">
        <f>(E13-F13)*$C$28</f>
        <v>25.200000000000003</v>
      </c>
      <c r="I13" s="154">
        <f>(E13-F13)*$C$30-H13</f>
        <v>30.239999999999995</v>
      </c>
      <c r="J13" s="154">
        <f>E13-F13-G13</f>
        <v>455.466</v>
      </c>
      <c r="K13" s="155">
        <f>SUM(F13:J13)</f>
        <v>615.44</v>
      </c>
    </row>
    <row r="14" spans="1:11" ht="12.75">
      <c r="A14" s="81">
        <v>4</v>
      </c>
      <c r="B14" s="81" t="s">
        <v>357</v>
      </c>
      <c r="C14" s="145">
        <v>8</v>
      </c>
      <c r="D14" s="145">
        <v>60</v>
      </c>
      <c r="E14" s="154">
        <f>C14*D14</f>
        <v>480</v>
      </c>
      <c r="F14" s="154">
        <f>E14*$C$27</f>
        <v>48</v>
      </c>
      <c r="G14" s="154">
        <f>(E14-$C$31-F14)*$C$29</f>
        <v>41.334</v>
      </c>
      <c r="H14" s="154">
        <f>(E14-F14)*$C$28</f>
        <v>21.6</v>
      </c>
      <c r="I14" s="154">
        <f>(E14-F14)*$C$30-H14</f>
        <v>25.92</v>
      </c>
      <c r="J14" s="154">
        <f>E14-F14-G14</f>
        <v>390.666</v>
      </c>
      <c r="K14" s="155">
        <f>SUM(F14:J14)</f>
        <v>527.52</v>
      </c>
    </row>
    <row r="15" spans="1:11" s="62" customFormat="1" ht="12.75">
      <c r="A15" s="156"/>
      <c r="B15" s="157" t="s">
        <v>0</v>
      </c>
      <c r="C15" s="276">
        <f>SUM(C11:C14)</f>
        <v>18</v>
      </c>
      <c r="D15" s="276">
        <f aca="true" t="shared" si="1" ref="D15:K15">SUM(D11:D14)</f>
        <v>380</v>
      </c>
      <c r="E15" s="276">
        <f t="shared" si="1"/>
        <v>1290</v>
      </c>
      <c r="F15" s="276">
        <f t="shared" si="1"/>
        <v>129</v>
      </c>
      <c r="G15" s="276">
        <f t="shared" si="1"/>
        <v>108.63600000000001</v>
      </c>
      <c r="H15" s="276">
        <f t="shared" si="1"/>
        <v>58.050000000000004</v>
      </c>
      <c r="I15" s="276">
        <f t="shared" si="1"/>
        <v>69.66</v>
      </c>
      <c r="J15" s="276">
        <f t="shared" si="1"/>
        <v>1052.364</v>
      </c>
      <c r="K15" s="276">
        <f t="shared" si="1"/>
        <v>1417.71</v>
      </c>
    </row>
    <row r="16" spans="1:11" s="62" customFormat="1" ht="12.75">
      <c r="A16" s="143"/>
      <c r="B16" s="143" t="s">
        <v>303</v>
      </c>
      <c r="C16" s="143"/>
      <c r="D16" s="144"/>
      <c r="E16" s="144"/>
      <c r="F16" s="144"/>
      <c r="G16" s="144"/>
      <c r="H16" s="144"/>
      <c r="I16" s="144"/>
      <c r="J16" s="144"/>
      <c r="K16" s="144"/>
    </row>
    <row r="17" spans="1:11" ht="12.75">
      <c r="A17" s="81">
        <v>1</v>
      </c>
      <c r="B17" s="81" t="s">
        <v>321</v>
      </c>
      <c r="C17" s="311">
        <v>1</v>
      </c>
      <c r="D17" s="145">
        <v>70</v>
      </c>
      <c r="E17" s="154">
        <f>C17*D17</f>
        <v>70</v>
      </c>
      <c r="F17" s="154">
        <f>E17*$C$27</f>
        <v>7</v>
      </c>
      <c r="G17" s="154">
        <f>(E17-$C$31-F17)*$C$29</f>
        <v>4.434</v>
      </c>
      <c r="H17" s="154">
        <f>(E17-F17)*$C$28</f>
        <v>3.1500000000000004</v>
      </c>
      <c r="I17" s="154">
        <f>(E17-F17)*$C$30-H17</f>
        <v>3.7799999999999994</v>
      </c>
      <c r="J17" s="154">
        <f>E17-F17-G17</f>
        <v>58.566</v>
      </c>
      <c r="K17" s="155">
        <f>SUM(F17:J17)</f>
        <v>76.93</v>
      </c>
    </row>
    <row r="18" spans="1:11" ht="12.75">
      <c r="A18" s="81">
        <v>2</v>
      </c>
      <c r="B18" s="81" t="s">
        <v>247</v>
      </c>
      <c r="C18" s="311">
        <v>2</v>
      </c>
      <c r="D18" s="145">
        <v>90</v>
      </c>
      <c r="E18" s="154">
        <f>C18*D18</f>
        <v>180</v>
      </c>
      <c r="F18" s="154">
        <f>E18*$C$27</f>
        <v>18</v>
      </c>
      <c r="G18" s="154">
        <f>(E18-$C$31-F18)*$C$29</f>
        <v>14.334000000000001</v>
      </c>
      <c r="H18" s="154">
        <f>(E18-F18)*$C$28</f>
        <v>8.1</v>
      </c>
      <c r="I18" s="154">
        <f>(E18-F18)*$C$30-H18</f>
        <v>9.72</v>
      </c>
      <c r="J18" s="154">
        <f>E18-F18-G18</f>
        <v>147.666</v>
      </c>
      <c r="K18" s="155">
        <f>SUM(F18:J18)</f>
        <v>197.82</v>
      </c>
    </row>
    <row r="19" spans="1:11" s="62" customFormat="1" ht="12.75">
      <c r="A19" s="156"/>
      <c r="B19" s="157" t="s">
        <v>0</v>
      </c>
      <c r="C19" s="156">
        <f aca="true" t="shared" si="2" ref="C19:K19">SUM(C17:C18)</f>
        <v>3</v>
      </c>
      <c r="D19" s="155">
        <f t="shared" si="2"/>
        <v>160</v>
      </c>
      <c r="E19" s="155">
        <f t="shared" si="2"/>
        <v>250</v>
      </c>
      <c r="F19" s="155">
        <f t="shared" si="2"/>
        <v>25</v>
      </c>
      <c r="G19" s="155">
        <f t="shared" si="2"/>
        <v>18.768</v>
      </c>
      <c r="H19" s="155">
        <f t="shared" si="2"/>
        <v>11.25</v>
      </c>
      <c r="I19" s="155">
        <f t="shared" si="2"/>
        <v>13.5</v>
      </c>
      <c r="J19" s="155">
        <f t="shared" si="2"/>
        <v>206.232</v>
      </c>
      <c r="K19" s="155">
        <f t="shared" si="2"/>
        <v>274.75</v>
      </c>
    </row>
    <row r="20" spans="1:11" s="62" customFormat="1" ht="12.75">
      <c r="A20" s="143"/>
      <c r="B20" s="143" t="s">
        <v>107</v>
      </c>
      <c r="C20" s="143"/>
      <c r="D20" s="144"/>
      <c r="E20" s="144"/>
      <c r="F20" s="144"/>
      <c r="G20" s="144"/>
      <c r="H20" s="144"/>
      <c r="I20" s="144"/>
      <c r="J20" s="144"/>
      <c r="K20" s="144"/>
    </row>
    <row r="21" spans="1:13" ht="12.75">
      <c r="A21" s="81">
        <v>1</v>
      </c>
      <c r="B21" s="81" t="s">
        <v>362</v>
      </c>
      <c r="C21" s="311">
        <v>1</v>
      </c>
      <c r="D21" s="145">
        <v>100</v>
      </c>
      <c r="E21" s="154">
        <f>C21*D21</f>
        <v>100</v>
      </c>
      <c r="F21" s="154">
        <f>E21*$C$27</f>
        <v>10</v>
      </c>
      <c r="G21" s="154">
        <f>(E21-$C$31-F21)*$C$29</f>
        <v>7.134</v>
      </c>
      <c r="H21" s="154">
        <f>(E21-F21)*$C$28</f>
        <v>4.5</v>
      </c>
      <c r="I21" s="154">
        <f>(E21-F21)*$C$30-H21</f>
        <v>5.4</v>
      </c>
      <c r="J21" s="154">
        <f>E21-F21-G21</f>
        <v>82.866</v>
      </c>
      <c r="K21" s="155">
        <f>SUM(F21:J21)</f>
        <v>109.9</v>
      </c>
      <c r="M21" s="158"/>
    </row>
    <row r="22" spans="1:11" ht="12.75">
      <c r="A22" s="81">
        <v>2</v>
      </c>
      <c r="B22" s="81" t="s">
        <v>363</v>
      </c>
      <c r="C22" s="311">
        <v>3</v>
      </c>
      <c r="D22" s="145">
        <v>50</v>
      </c>
      <c r="E22" s="154">
        <f>C22*D22</f>
        <v>150</v>
      </c>
      <c r="F22" s="154">
        <f>E22*$C$27</f>
        <v>15</v>
      </c>
      <c r="G22" s="154">
        <f>(E22-$C$31-F22)*$C$29</f>
        <v>11.634</v>
      </c>
      <c r="H22" s="154">
        <f>(E22-F22)*$C$28</f>
        <v>6.75</v>
      </c>
      <c r="I22" s="154">
        <f>(E22-F22)*$C$30-H22</f>
        <v>8.1</v>
      </c>
      <c r="J22" s="154">
        <f>E22-F22-G22</f>
        <v>123.366</v>
      </c>
      <c r="K22" s="155">
        <f>SUM(F22:J22)</f>
        <v>164.85</v>
      </c>
    </row>
    <row r="23" spans="1:11" s="62" customFormat="1" ht="12.75">
      <c r="A23" s="156"/>
      <c r="B23" s="157" t="s">
        <v>0</v>
      </c>
      <c r="C23" s="156">
        <f aca="true" t="shared" si="3" ref="C23:K23">SUM(C21:C22)</f>
        <v>4</v>
      </c>
      <c r="D23" s="155">
        <f t="shared" si="3"/>
        <v>150</v>
      </c>
      <c r="E23" s="155">
        <f t="shared" si="3"/>
        <v>250</v>
      </c>
      <c r="F23" s="155">
        <f t="shared" si="3"/>
        <v>25</v>
      </c>
      <c r="G23" s="155">
        <f t="shared" si="3"/>
        <v>18.768</v>
      </c>
      <c r="H23" s="155">
        <f t="shared" si="3"/>
        <v>11.25</v>
      </c>
      <c r="I23" s="155">
        <f t="shared" si="3"/>
        <v>13.5</v>
      </c>
      <c r="J23" s="155">
        <f t="shared" si="3"/>
        <v>206.232</v>
      </c>
      <c r="K23" s="155">
        <f t="shared" si="3"/>
        <v>274.75</v>
      </c>
    </row>
    <row r="24" spans="1:11" ht="12.75">
      <c r="A24" s="81"/>
      <c r="B24" s="81"/>
      <c r="C24" s="81"/>
      <c r="D24" s="154"/>
      <c r="E24" s="154"/>
      <c r="F24" s="154"/>
      <c r="G24" s="154"/>
      <c r="H24" s="154"/>
      <c r="I24" s="154"/>
      <c r="J24" s="154"/>
      <c r="K24" s="154"/>
    </row>
    <row r="25" spans="1:13" s="62" customFormat="1" ht="12.75">
      <c r="A25" s="156"/>
      <c r="B25" s="156" t="s">
        <v>108</v>
      </c>
      <c r="C25" s="155">
        <f aca="true" t="shared" si="4" ref="C25:K25">C9+C15+C19+C23</f>
        <v>28</v>
      </c>
      <c r="D25" s="155">
        <f t="shared" si="4"/>
        <v>1070</v>
      </c>
      <c r="E25" s="155">
        <f t="shared" si="4"/>
        <v>2170</v>
      </c>
      <c r="F25" s="155">
        <f t="shared" si="4"/>
        <v>217</v>
      </c>
      <c r="G25" s="155">
        <f t="shared" si="4"/>
        <v>174.774</v>
      </c>
      <c r="H25" s="155">
        <f t="shared" si="4"/>
        <v>97.65</v>
      </c>
      <c r="I25" s="155">
        <f t="shared" si="4"/>
        <v>117.18</v>
      </c>
      <c r="J25" s="155">
        <f t="shared" si="4"/>
        <v>1778.2259999999999</v>
      </c>
      <c r="K25" s="159">
        <f t="shared" si="4"/>
        <v>2384.83</v>
      </c>
      <c r="M25" s="248"/>
    </row>
    <row r="27" spans="2:10" ht="12.75" hidden="1">
      <c r="B27" s="81" t="s">
        <v>47</v>
      </c>
      <c r="C27" s="160">
        <f>Исх!C12</f>
        <v>0.1</v>
      </c>
      <c r="D27" s="161"/>
      <c r="E27" s="161"/>
      <c r="F27" s="161"/>
      <c r="G27" s="365"/>
      <c r="H27" s="365"/>
      <c r="I27" s="365"/>
      <c r="J27" s="365"/>
    </row>
    <row r="28" spans="2:10" ht="12.75" hidden="1">
      <c r="B28" s="81" t="s">
        <v>52</v>
      </c>
      <c r="C28" s="160">
        <f>Исх!C13</f>
        <v>0.05</v>
      </c>
      <c r="D28" s="161"/>
      <c r="E28" s="161"/>
      <c r="F28" s="161"/>
      <c r="G28" s="161"/>
      <c r="H28" s="161"/>
      <c r="I28" s="162"/>
      <c r="J28" s="163"/>
    </row>
    <row r="29" spans="2:10" ht="12.75" hidden="1">
      <c r="B29" s="81" t="s">
        <v>48</v>
      </c>
      <c r="C29" s="160">
        <f>Исх!C14</f>
        <v>0.1</v>
      </c>
      <c r="D29" s="161"/>
      <c r="E29" s="161"/>
      <c r="F29" s="161"/>
      <c r="G29" s="161"/>
      <c r="H29" s="161"/>
      <c r="I29" s="162"/>
      <c r="J29" s="163"/>
    </row>
    <row r="30" spans="2:10" ht="12.75" hidden="1">
      <c r="B30" s="81" t="s">
        <v>50</v>
      </c>
      <c r="C30" s="160">
        <f>Исх!C15</f>
        <v>0.11</v>
      </c>
      <c r="D30" s="164"/>
      <c r="E30" s="164"/>
      <c r="F30" s="161"/>
      <c r="G30" s="161"/>
      <c r="H30" s="161"/>
      <c r="I30" s="162"/>
      <c r="J30" s="163"/>
    </row>
    <row r="31" spans="2:3" ht="12.75" hidden="1">
      <c r="B31" s="81" t="s">
        <v>112</v>
      </c>
      <c r="C31" s="165">
        <f>Исх!C16</f>
        <v>18.66</v>
      </c>
    </row>
    <row r="32" spans="7:10" ht="12.75">
      <c r="G32" s="161"/>
      <c r="H32" s="161"/>
      <c r="I32" s="162"/>
      <c r="J32" s="163"/>
    </row>
    <row r="33" ht="12.75">
      <c r="C33" s="201"/>
    </row>
  </sheetData>
  <sheetProtection/>
  <mergeCells count="1">
    <mergeCell ref="G27:J27"/>
  </mergeCells>
  <printOptions/>
  <pageMargins left="0.2755905511811024" right="0.2755905511811024" top="0.5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X50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A3" sqref="A3"/>
    </sheetView>
  </sheetViews>
  <sheetFormatPr defaultColWidth="8.875" defaultRowHeight="12.75" outlineLevelRow="1"/>
  <cols>
    <col min="1" max="1" width="33.625" style="78" customWidth="1"/>
    <col min="2" max="2" width="5.125" style="78" customWidth="1"/>
    <col min="3" max="3" width="9.125" style="78" customWidth="1"/>
    <col min="4" max="9" width="7.625" style="78" bestFit="1" customWidth="1"/>
    <col min="10" max="10" width="7.25390625" style="78" customWidth="1"/>
    <col min="11" max="11" width="34.00390625" style="78" customWidth="1"/>
    <col min="12" max="12" width="8.75390625" style="78" customWidth="1"/>
    <col min="13" max="13" width="36.625" style="78" customWidth="1"/>
    <col min="14" max="14" width="5.25390625" style="78" bestFit="1" customWidth="1"/>
    <col min="15" max="22" width="8.25390625" style="78" customWidth="1"/>
    <col min="23" max="16384" width="8.875" style="78" customWidth="1"/>
  </cols>
  <sheetData>
    <row r="1" spans="1:23" ht="12.75">
      <c r="A1" s="62" t="s">
        <v>147</v>
      </c>
      <c r="M1" s="62" t="s">
        <v>259</v>
      </c>
      <c r="W1" s="62"/>
    </row>
    <row r="2" spans="1:23" ht="12.75">
      <c r="A2" s="62"/>
      <c r="B2" s="62"/>
      <c r="C2" s="78" t="s">
        <v>288</v>
      </c>
      <c r="E2" s="301">
        <v>0.05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0" ht="12.75">
      <c r="A3" s="148" t="s">
        <v>43</v>
      </c>
      <c r="C3" s="140"/>
      <c r="D3" s="140"/>
      <c r="E3" s="140"/>
      <c r="F3" s="140"/>
      <c r="G3" s="140"/>
      <c r="H3" s="140"/>
      <c r="J3" s="147" t="str">
        <f>Исх!C10</f>
        <v>тыс.тг.</v>
      </c>
      <c r="O3" s="140"/>
      <c r="P3" s="140"/>
      <c r="Q3" s="140"/>
      <c r="R3" s="140"/>
      <c r="S3" s="140"/>
      <c r="T3" s="140"/>
    </row>
    <row r="4" spans="1:23" ht="12.75">
      <c r="A4" s="217" t="s">
        <v>44</v>
      </c>
      <c r="B4" s="233"/>
      <c r="C4" s="233" t="s">
        <v>8</v>
      </c>
      <c r="D4" s="233">
        <v>2014</v>
      </c>
      <c r="E4" s="233">
        <f aca="true" t="shared" si="0" ref="E4:J4">D4+1</f>
        <v>2015</v>
      </c>
      <c r="F4" s="233">
        <f t="shared" si="0"/>
        <v>2016</v>
      </c>
      <c r="G4" s="233">
        <f t="shared" si="0"/>
        <v>2017</v>
      </c>
      <c r="H4" s="233">
        <f t="shared" si="0"/>
        <v>2018</v>
      </c>
      <c r="I4" s="233">
        <f t="shared" si="0"/>
        <v>2019</v>
      </c>
      <c r="J4" s="233">
        <f t="shared" si="0"/>
        <v>2020</v>
      </c>
      <c r="K4" s="233" t="s">
        <v>206</v>
      </c>
      <c r="M4" s="217" t="str">
        <f aca="true" t="shared" si="1" ref="M4:M16">A4</f>
        <v>Затраты</v>
      </c>
      <c r="N4" s="233"/>
      <c r="O4" s="233" t="str">
        <f aca="true" t="shared" si="2" ref="O4:V4">C4</f>
        <v>Значение</v>
      </c>
      <c r="P4" s="233">
        <f t="shared" si="2"/>
        <v>2014</v>
      </c>
      <c r="Q4" s="233">
        <f t="shared" si="2"/>
        <v>2015</v>
      </c>
      <c r="R4" s="233">
        <f t="shared" si="2"/>
        <v>2016</v>
      </c>
      <c r="S4" s="233">
        <f t="shared" si="2"/>
        <v>2017</v>
      </c>
      <c r="T4" s="233">
        <f t="shared" si="2"/>
        <v>2018</v>
      </c>
      <c r="U4" s="233">
        <f t="shared" si="2"/>
        <v>2019</v>
      </c>
      <c r="V4" s="233">
        <f t="shared" si="2"/>
        <v>2020</v>
      </c>
      <c r="W4" s="248"/>
    </row>
    <row r="5" spans="1:22" ht="12.75">
      <c r="A5" s="81" t="s">
        <v>45</v>
      </c>
      <c r="B5" s="146"/>
      <c r="C5" s="154">
        <f>ФОТ!$K$25</f>
        <v>2384.83</v>
      </c>
      <c r="D5" s="154">
        <f>ФОТ!$K$25</f>
        <v>2384.83</v>
      </c>
      <c r="E5" s="154">
        <f aca="true" t="shared" si="3" ref="E5:E15">D5+D5*$E$2</f>
        <v>2504.0715</v>
      </c>
      <c r="F5" s="154">
        <f aca="true" t="shared" si="4" ref="F5:J7">E5+E5*$E$2</f>
        <v>2629.275075</v>
      </c>
      <c r="G5" s="154">
        <f t="shared" si="4"/>
        <v>2760.73882875</v>
      </c>
      <c r="H5" s="154">
        <f t="shared" si="4"/>
        <v>2898.7757701875</v>
      </c>
      <c r="I5" s="154">
        <f t="shared" si="4"/>
        <v>3043.714558696875</v>
      </c>
      <c r="J5" s="154">
        <f t="shared" si="4"/>
        <v>3195.9002866317187</v>
      </c>
      <c r="K5" s="154"/>
      <c r="M5" s="81" t="str">
        <f t="shared" si="1"/>
        <v>ФОТ</v>
      </c>
      <c r="N5" s="146"/>
      <c r="O5" s="154">
        <f aca="true" t="shared" si="5" ref="O5:O15">C5*12</f>
        <v>28617.96</v>
      </c>
      <c r="P5" s="154">
        <f aca="true" t="shared" si="6" ref="P5:P15">D5*12</f>
        <v>28617.96</v>
      </c>
      <c r="Q5" s="154">
        <f aca="true" t="shared" si="7" ref="Q5:Q15">E5*12</f>
        <v>30048.858</v>
      </c>
      <c r="R5" s="154">
        <f aca="true" t="shared" si="8" ref="R5:R15">F5*12</f>
        <v>31551.300900000002</v>
      </c>
      <c r="S5" s="154">
        <f aca="true" t="shared" si="9" ref="S5:S15">G5*12</f>
        <v>33128.865945</v>
      </c>
      <c r="T5" s="154">
        <f aca="true" t="shared" si="10" ref="T5:T15">H5*12</f>
        <v>34785.30924225</v>
      </c>
      <c r="U5" s="154">
        <f aca="true" t="shared" si="11" ref="U5:U15">I5*12</f>
        <v>36524.5747043625</v>
      </c>
      <c r="V5" s="154">
        <f aca="true" t="shared" si="12" ref="V5:V15">J5*12</f>
        <v>38350.803439580624</v>
      </c>
    </row>
    <row r="6" spans="1:22" ht="12.75">
      <c r="A6" s="167" t="s">
        <v>322</v>
      </c>
      <c r="B6" s="232"/>
      <c r="C6" s="145">
        <f>600*1.2</f>
        <v>720</v>
      </c>
      <c r="D6" s="154">
        <f>C6</f>
        <v>720</v>
      </c>
      <c r="E6" s="154">
        <f>D6+D6*$E$2</f>
        <v>756</v>
      </c>
      <c r="F6" s="154">
        <f t="shared" si="4"/>
        <v>793.8</v>
      </c>
      <c r="G6" s="154">
        <f t="shared" si="4"/>
        <v>833.49</v>
      </c>
      <c r="H6" s="154">
        <f t="shared" si="4"/>
        <v>875.1645</v>
      </c>
      <c r="I6" s="154">
        <f t="shared" si="4"/>
        <v>918.922725</v>
      </c>
      <c r="J6" s="154">
        <f t="shared" si="4"/>
        <v>964.86886125</v>
      </c>
      <c r="K6" s="292" t="s">
        <v>364</v>
      </c>
      <c r="M6" s="81" t="str">
        <f t="shared" si="1"/>
        <v>Аренда помещения</v>
      </c>
      <c r="N6" s="232"/>
      <c r="O6" s="154">
        <f t="shared" si="5"/>
        <v>8640</v>
      </c>
      <c r="P6" s="154">
        <f t="shared" si="6"/>
        <v>8640</v>
      </c>
      <c r="Q6" s="154">
        <f t="shared" si="7"/>
        <v>9072</v>
      </c>
      <c r="R6" s="154">
        <f t="shared" si="8"/>
        <v>9525.599999999999</v>
      </c>
      <c r="S6" s="154">
        <f t="shared" si="9"/>
        <v>10001.880000000001</v>
      </c>
      <c r="T6" s="154">
        <f t="shared" si="10"/>
        <v>10501.974</v>
      </c>
      <c r="U6" s="154">
        <f t="shared" si="11"/>
        <v>11027.0727</v>
      </c>
      <c r="V6" s="154">
        <f t="shared" si="12"/>
        <v>11578.426335</v>
      </c>
    </row>
    <row r="7" spans="1:22" ht="12.75">
      <c r="A7" s="167" t="s">
        <v>212</v>
      </c>
      <c r="B7" s="232"/>
      <c r="C7" s="145">
        <v>150</v>
      </c>
      <c r="D7" s="154">
        <f aca="true" t="shared" si="13" ref="D7:D15">C7</f>
        <v>150</v>
      </c>
      <c r="E7" s="154">
        <f t="shared" si="3"/>
        <v>157.5</v>
      </c>
      <c r="F7" s="154">
        <f t="shared" si="4"/>
        <v>165.375</v>
      </c>
      <c r="G7" s="154">
        <f t="shared" si="4"/>
        <v>173.64375</v>
      </c>
      <c r="H7" s="154">
        <f t="shared" si="4"/>
        <v>182.3259375</v>
      </c>
      <c r="I7" s="154">
        <f t="shared" si="4"/>
        <v>191.442234375</v>
      </c>
      <c r="J7" s="154">
        <f t="shared" si="4"/>
        <v>201.01434609375</v>
      </c>
      <c r="K7" s="154" t="s">
        <v>323</v>
      </c>
      <c r="M7" s="81" t="str">
        <f t="shared" si="1"/>
        <v>Коммунальные расходы</v>
      </c>
      <c r="N7" s="232"/>
      <c r="O7" s="154">
        <f t="shared" si="5"/>
        <v>1800</v>
      </c>
      <c r="P7" s="154">
        <f t="shared" si="6"/>
        <v>1800</v>
      </c>
      <c r="Q7" s="154">
        <f t="shared" si="7"/>
        <v>1890</v>
      </c>
      <c r="R7" s="154">
        <f t="shared" si="8"/>
        <v>1984.5</v>
      </c>
      <c r="S7" s="154">
        <f t="shared" si="9"/>
        <v>2083.7250000000004</v>
      </c>
      <c r="T7" s="154">
        <f t="shared" si="10"/>
        <v>2187.91125</v>
      </c>
      <c r="U7" s="154">
        <f t="shared" si="11"/>
        <v>2297.3068125</v>
      </c>
      <c r="V7" s="154">
        <f t="shared" si="12"/>
        <v>2412.172153125</v>
      </c>
    </row>
    <row r="8" spans="1:22" ht="12.75">
      <c r="A8" s="293" t="s">
        <v>291</v>
      </c>
      <c r="B8" s="294"/>
      <c r="C8" s="262">
        <v>50</v>
      </c>
      <c r="D8" s="116">
        <f t="shared" si="13"/>
        <v>50</v>
      </c>
      <c r="E8" s="116">
        <f t="shared" si="3"/>
        <v>52.5</v>
      </c>
      <c r="F8" s="116">
        <f aca="true" t="shared" si="14" ref="F8:J12">E8+E8*$E$2</f>
        <v>55.125</v>
      </c>
      <c r="G8" s="116">
        <f t="shared" si="14"/>
        <v>57.88125</v>
      </c>
      <c r="H8" s="116">
        <f t="shared" si="14"/>
        <v>60.7753125</v>
      </c>
      <c r="I8" s="116">
        <f t="shared" si="14"/>
        <v>63.814078124999995</v>
      </c>
      <c r="J8" s="116">
        <f t="shared" si="14"/>
        <v>67.00478203124999</v>
      </c>
      <c r="K8" s="292" t="s">
        <v>324</v>
      </c>
      <c r="M8" s="115" t="str">
        <f t="shared" si="1"/>
        <v>Услуги охранной фирмы</v>
      </c>
      <c r="N8" s="294"/>
      <c r="O8" s="154">
        <f t="shared" si="5"/>
        <v>600</v>
      </c>
      <c r="P8" s="154">
        <f t="shared" si="6"/>
        <v>600</v>
      </c>
      <c r="Q8" s="154">
        <f t="shared" si="7"/>
        <v>630</v>
      </c>
      <c r="R8" s="154">
        <f t="shared" si="8"/>
        <v>661.5</v>
      </c>
      <c r="S8" s="154">
        <f t="shared" si="9"/>
        <v>694.575</v>
      </c>
      <c r="T8" s="154">
        <f t="shared" si="10"/>
        <v>729.30375</v>
      </c>
      <c r="U8" s="154">
        <f t="shared" si="11"/>
        <v>765.7689375</v>
      </c>
      <c r="V8" s="154">
        <f t="shared" si="12"/>
        <v>804.0573843749999</v>
      </c>
    </row>
    <row r="9" spans="1:22" ht="12.75">
      <c r="A9" s="167" t="s">
        <v>249</v>
      </c>
      <c r="B9" s="146"/>
      <c r="C9" s="145">
        <v>50</v>
      </c>
      <c r="D9" s="154">
        <f t="shared" si="13"/>
        <v>50</v>
      </c>
      <c r="E9" s="154">
        <f t="shared" si="3"/>
        <v>52.5</v>
      </c>
      <c r="F9" s="154">
        <f t="shared" si="14"/>
        <v>55.125</v>
      </c>
      <c r="G9" s="154">
        <f t="shared" si="14"/>
        <v>57.88125</v>
      </c>
      <c r="H9" s="154">
        <f t="shared" si="14"/>
        <v>60.7753125</v>
      </c>
      <c r="I9" s="154">
        <f t="shared" si="14"/>
        <v>63.814078124999995</v>
      </c>
      <c r="J9" s="154">
        <f t="shared" si="14"/>
        <v>67.00478203124999</v>
      </c>
      <c r="K9" s="154"/>
      <c r="M9" s="81" t="str">
        <f t="shared" si="1"/>
        <v>Спецодежда, перчатки, хоз.товары</v>
      </c>
      <c r="N9" s="146"/>
      <c r="O9" s="154">
        <f t="shared" si="5"/>
        <v>600</v>
      </c>
      <c r="P9" s="154">
        <f t="shared" si="6"/>
        <v>600</v>
      </c>
      <c r="Q9" s="154">
        <f t="shared" si="7"/>
        <v>630</v>
      </c>
      <c r="R9" s="154">
        <f t="shared" si="8"/>
        <v>661.5</v>
      </c>
      <c r="S9" s="154">
        <f t="shared" si="9"/>
        <v>694.575</v>
      </c>
      <c r="T9" s="154">
        <f t="shared" si="10"/>
        <v>729.30375</v>
      </c>
      <c r="U9" s="154">
        <f t="shared" si="11"/>
        <v>765.7689375</v>
      </c>
      <c r="V9" s="154">
        <f t="shared" si="12"/>
        <v>804.0573843749999</v>
      </c>
    </row>
    <row r="10" spans="1:22" ht="12.75">
      <c r="A10" s="81" t="s">
        <v>100</v>
      </c>
      <c r="B10" s="146"/>
      <c r="C10" s="145">
        <v>20</v>
      </c>
      <c r="D10" s="154">
        <f t="shared" si="13"/>
        <v>20</v>
      </c>
      <c r="E10" s="154">
        <f t="shared" si="3"/>
        <v>21</v>
      </c>
      <c r="F10" s="154">
        <f t="shared" si="14"/>
        <v>22.05</v>
      </c>
      <c r="G10" s="154">
        <f t="shared" si="14"/>
        <v>23.1525</v>
      </c>
      <c r="H10" s="154">
        <f t="shared" si="14"/>
        <v>24.310125</v>
      </c>
      <c r="I10" s="154">
        <f t="shared" si="14"/>
        <v>25.52563125</v>
      </c>
      <c r="J10" s="154">
        <f t="shared" si="14"/>
        <v>26.8019128125</v>
      </c>
      <c r="K10" s="154"/>
      <c r="M10" s="81" t="str">
        <f t="shared" si="1"/>
        <v>Обслуживание и ремонт ОС</v>
      </c>
      <c r="N10" s="146"/>
      <c r="O10" s="154">
        <f t="shared" si="5"/>
        <v>240</v>
      </c>
      <c r="P10" s="154">
        <f t="shared" si="6"/>
        <v>240</v>
      </c>
      <c r="Q10" s="154">
        <f t="shared" si="7"/>
        <v>252</v>
      </c>
      <c r="R10" s="154">
        <f t="shared" si="8"/>
        <v>264.6</v>
      </c>
      <c r="S10" s="154">
        <f t="shared" si="9"/>
        <v>277.83</v>
      </c>
      <c r="T10" s="154">
        <f t="shared" si="10"/>
        <v>291.7215</v>
      </c>
      <c r="U10" s="154">
        <f t="shared" si="11"/>
        <v>306.307575</v>
      </c>
      <c r="V10" s="154">
        <f t="shared" si="12"/>
        <v>321.62295374999997</v>
      </c>
    </row>
    <row r="11" spans="1:22" ht="12.75">
      <c r="A11" s="81" t="s">
        <v>250</v>
      </c>
      <c r="B11" s="146"/>
      <c r="C11" s="145">
        <v>20</v>
      </c>
      <c r="D11" s="154">
        <f t="shared" si="13"/>
        <v>20</v>
      </c>
      <c r="E11" s="154">
        <f t="shared" si="3"/>
        <v>21</v>
      </c>
      <c r="F11" s="154">
        <f t="shared" si="14"/>
        <v>22.05</v>
      </c>
      <c r="G11" s="154">
        <f t="shared" si="14"/>
        <v>23.1525</v>
      </c>
      <c r="H11" s="154">
        <f t="shared" si="14"/>
        <v>24.310125</v>
      </c>
      <c r="I11" s="154">
        <f t="shared" si="14"/>
        <v>25.52563125</v>
      </c>
      <c r="J11" s="154">
        <f t="shared" si="14"/>
        <v>26.8019128125</v>
      </c>
      <c r="K11" s="154" t="s">
        <v>289</v>
      </c>
      <c r="M11" s="81" t="str">
        <f t="shared" si="1"/>
        <v>Услуги банка</v>
      </c>
      <c r="N11" s="146"/>
      <c r="O11" s="154">
        <f t="shared" si="5"/>
        <v>240</v>
      </c>
      <c r="P11" s="154">
        <f t="shared" si="6"/>
        <v>240</v>
      </c>
      <c r="Q11" s="154">
        <f t="shared" si="7"/>
        <v>252</v>
      </c>
      <c r="R11" s="154">
        <f t="shared" si="8"/>
        <v>264.6</v>
      </c>
      <c r="S11" s="154">
        <f t="shared" si="9"/>
        <v>277.83</v>
      </c>
      <c r="T11" s="154">
        <f t="shared" si="10"/>
        <v>291.7215</v>
      </c>
      <c r="U11" s="154">
        <f t="shared" si="11"/>
        <v>306.307575</v>
      </c>
      <c r="V11" s="154">
        <f t="shared" si="12"/>
        <v>321.62295374999997</v>
      </c>
    </row>
    <row r="12" spans="1:22" ht="12.75">
      <c r="A12" s="81" t="s">
        <v>251</v>
      </c>
      <c r="B12" s="146"/>
      <c r="C12" s="145">
        <v>10</v>
      </c>
      <c r="D12" s="154">
        <f t="shared" si="13"/>
        <v>10</v>
      </c>
      <c r="E12" s="154">
        <f t="shared" si="3"/>
        <v>10.5</v>
      </c>
      <c r="F12" s="154">
        <f t="shared" si="14"/>
        <v>11.025</v>
      </c>
      <c r="G12" s="154">
        <f t="shared" si="14"/>
        <v>11.57625</v>
      </c>
      <c r="H12" s="154">
        <f t="shared" si="14"/>
        <v>12.1550625</v>
      </c>
      <c r="I12" s="154">
        <f t="shared" si="14"/>
        <v>12.762815625</v>
      </c>
      <c r="J12" s="154">
        <f t="shared" si="14"/>
        <v>13.40095640625</v>
      </c>
      <c r="K12" s="154"/>
      <c r="M12" s="81" t="str">
        <f t="shared" si="1"/>
        <v>Канц.товары</v>
      </c>
      <c r="N12" s="146"/>
      <c r="O12" s="154">
        <f t="shared" si="5"/>
        <v>120</v>
      </c>
      <c r="P12" s="154">
        <f t="shared" si="6"/>
        <v>120</v>
      </c>
      <c r="Q12" s="154">
        <f t="shared" si="7"/>
        <v>126</v>
      </c>
      <c r="R12" s="154">
        <f t="shared" si="8"/>
        <v>132.3</v>
      </c>
      <c r="S12" s="154">
        <f t="shared" si="9"/>
        <v>138.915</v>
      </c>
      <c r="T12" s="154">
        <f t="shared" si="10"/>
        <v>145.86075</v>
      </c>
      <c r="U12" s="154">
        <f t="shared" si="11"/>
        <v>153.1537875</v>
      </c>
      <c r="V12" s="154">
        <f t="shared" si="12"/>
        <v>160.81147687499998</v>
      </c>
    </row>
    <row r="13" spans="1:22" ht="12.75">
      <c r="A13" s="81" t="s">
        <v>242</v>
      </c>
      <c r="B13" s="146"/>
      <c r="C13" s="145">
        <f>20*25*110/1000/1.12</f>
        <v>49.107142857142854</v>
      </c>
      <c r="D13" s="154">
        <f t="shared" si="13"/>
        <v>49.107142857142854</v>
      </c>
      <c r="E13" s="154">
        <f t="shared" si="3"/>
        <v>51.5625</v>
      </c>
      <c r="F13" s="154">
        <f>E13+E13*$E$2</f>
        <v>54.140625</v>
      </c>
      <c r="G13" s="154">
        <f>F13+F13*$E$2</f>
        <v>56.84765625</v>
      </c>
      <c r="H13" s="154">
        <f>G13+G13*$E$2</f>
        <v>59.6900390625</v>
      </c>
      <c r="I13" s="154">
        <f>H13+H13*$E$2</f>
        <v>62.674541015624996</v>
      </c>
      <c r="J13" s="154">
        <f>I13+I13*$E$2</f>
        <v>65.80826806640624</v>
      </c>
      <c r="K13" s="154" t="s">
        <v>360</v>
      </c>
      <c r="M13" s="81" t="str">
        <f t="shared" si="1"/>
        <v>ГСМ</v>
      </c>
      <c r="N13" s="146"/>
      <c r="O13" s="154">
        <f t="shared" si="5"/>
        <v>589.2857142857142</v>
      </c>
      <c r="P13" s="154">
        <f t="shared" si="6"/>
        <v>589.2857142857142</v>
      </c>
      <c r="Q13" s="154">
        <f t="shared" si="7"/>
        <v>618.75</v>
      </c>
      <c r="R13" s="154">
        <f t="shared" si="8"/>
        <v>649.6875</v>
      </c>
      <c r="S13" s="154">
        <f t="shared" si="9"/>
        <v>682.171875</v>
      </c>
      <c r="T13" s="154">
        <f t="shared" si="10"/>
        <v>716.28046875</v>
      </c>
      <c r="U13" s="154">
        <f t="shared" si="11"/>
        <v>752.0944921875</v>
      </c>
      <c r="V13" s="154">
        <f t="shared" si="12"/>
        <v>789.6992167968749</v>
      </c>
    </row>
    <row r="14" spans="1:22" ht="12.75">
      <c r="A14" s="81" t="s">
        <v>79</v>
      </c>
      <c r="B14" s="146"/>
      <c r="C14" s="145">
        <v>100</v>
      </c>
      <c r="D14" s="154">
        <f t="shared" si="13"/>
        <v>100</v>
      </c>
      <c r="E14" s="154">
        <f t="shared" si="3"/>
        <v>105</v>
      </c>
      <c r="F14" s="154">
        <f aca="true" t="shared" si="15" ref="F14:J15">E14+E14*$E$2</f>
        <v>110.25</v>
      </c>
      <c r="G14" s="154">
        <f t="shared" si="15"/>
        <v>115.7625</v>
      </c>
      <c r="H14" s="154">
        <f t="shared" si="15"/>
        <v>121.550625</v>
      </c>
      <c r="I14" s="154">
        <f t="shared" si="15"/>
        <v>127.62815624999999</v>
      </c>
      <c r="J14" s="154">
        <f t="shared" si="15"/>
        <v>134.00956406249998</v>
      </c>
      <c r="K14" s="154" t="s">
        <v>290</v>
      </c>
      <c r="M14" s="81" t="str">
        <f t="shared" si="1"/>
        <v>Расходы на рекламу</v>
      </c>
      <c r="N14" s="146"/>
      <c r="O14" s="154">
        <f t="shared" si="5"/>
        <v>1200</v>
      </c>
      <c r="P14" s="154">
        <f t="shared" si="6"/>
        <v>1200</v>
      </c>
      <c r="Q14" s="154">
        <f t="shared" si="7"/>
        <v>1260</v>
      </c>
      <c r="R14" s="154">
        <f t="shared" si="8"/>
        <v>1323</v>
      </c>
      <c r="S14" s="154">
        <f t="shared" si="9"/>
        <v>1389.15</v>
      </c>
      <c r="T14" s="154">
        <f t="shared" si="10"/>
        <v>1458.6075</v>
      </c>
      <c r="U14" s="154">
        <f t="shared" si="11"/>
        <v>1531.537875</v>
      </c>
      <c r="V14" s="154">
        <f t="shared" si="12"/>
        <v>1608.1147687499997</v>
      </c>
    </row>
    <row r="15" spans="1:22" ht="12.75">
      <c r="A15" s="81" t="s">
        <v>46</v>
      </c>
      <c r="B15" s="154"/>
      <c r="C15" s="145">
        <v>100</v>
      </c>
      <c r="D15" s="154">
        <f t="shared" si="13"/>
        <v>100</v>
      </c>
      <c r="E15" s="154">
        <f t="shared" si="3"/>
        <v>105</v>
      </c>
      <c r="F15" s="154">
        <f t="shared" si="15"/>
        <v>110.25</v>
      </c>
      <c r="G15" s="154">
        <f t="shared" si="15"/>
        <v>115.7625</v>
      </c>
      <c r="H15" s="154">
        <f t="shared" si="15"/>
        <v>121.550625</v>
      </c>
      <c r="I15" s="154">
        <f t="shared" si="15"/>
        <v>127.62815624999999</v>
      </c>
      <c r="J15" s="154">
        <f t="shared" si="15"/>
        <v>134.00956406249998</v>
      </c>
      <c r="K15" s="154"/>
      <c r="M15" s="81" t="str">
        <f t="shared" si="1"/>
        <v>Прочие непредвиденные расходы</v>
      </c>
      <c r="N15" s="154"/>
      <c r="O15" s="154">
        <f t="shared" si="5"/>
        <v>1200</v>
      </c>
      <c r="P15" s="154">
        <f t="shared" si="6"/>
        <v>1200</v>
      </c>
      <c r="Q15" s="154">
        <f t="shared" si="7"/>
        <v>1260</v>
      </c>
      <c r="R15" s="154">
        <f t="shared" si="8"/>
        <v>1323</v>
      </c>
      <c r="S15" s="154">
        <f t="shared" si="9"/>
        <v>1389.15</v>
      </c>
      <c r="T15" s="154">
        <f t="shared" si="10"/>
        <v>1458.6075</v>
      </c>
      <c r="U15" s="154">
        <f t="shared" si="11"/>
        <v>1531.537875</v>
      </c>
      <c r="V15" s="154">
        <f t="shared" si="12"/>
        <v>1608.1147687499997</v>
      </c>
    </row>
    <row r="16" spans="1:24" ht="12.75">
      <c r="A16" s="217" t="s">
        <v>0</v>
      </c>
      <c r="B16" s="218"/>
      <c r="C16" s="218">
        <f aca="true" t="shared" si="16" ref="C16:J16">SUM(C5:C15)</f>
        <v>3653.9371428571426</v>
      </c>
      <c r="D16" s="218">
        <f t="shared" si="16"/>
        <v>3653.9371428571426</v>
      </c>
      <c r="E16" s="218">
        <f t="shared" si="16"/>
        <v>3836.634</v>
      </c>
      <c r="F16" s="218">
        <f t="shared" si="16"/>
        <v>4028.4657</v>
      </c>
      <c r="G16" s="218">
        <f t="shared" si="16"/>
        <v>4229.888985</v>
      </c>
      <c r="H16" s="218">
        <f t="shared" si="16"/>
        <v>4441.383434249999</v>
      </c>
      <c r="I16" s="218">
        <f t="shared" si="16"/>
        <v>4663.4526059625005</v>
      </c>
      <c r="J16" s="218">
        <f t="shared" si="16"/>
        <v>4896.625236260625</v>
      </c>
      <c r="K16" s="218"/>
      <c r="M16" s="217" t="str">
        <f t="shared" si="1"/>
        <v>Итого</v>
      </c>
      <c r="N16" s="218"/>
      <c r="O16" s="218">
        <f aca="true" t="shared" si="17" ref="O16:V16">SUM(O5:O15)</f>
        <v>43847.24571428572</v>
      </c>
      <c r="P16" s="218">
        <f t="shared" si="17"/>
        <v>43847.24571428572</v>
      </c>
      <c r="Q16" s="218">
        <f t="shared" si="17"/>
        <v>46039.608</v>
      </c>
      <c r="R16" s="218">
        <f t="shared" si="17"/>
        <v>48341.5884</v>
      </c>
      <c r="S16" s="218">
        <f t="shared" si="17"/>
        <v>50758.66782</v>
      </c>
      <c r="T16" s="218">
        <f t="shared" si="17"/>
        <v>53296.601210999994</v>
      </c>
      <c r="U16" s="218">
        <f t="shared" si="17"/>
        <v>55961.43127155</v>
      </c>
      <c r="V16" s="218">
        <f t="shared" si="17"/>
        <v>58759.5028351275</v>
      </c>
      <c r="X16" s="248"/>
    </row>
    <row r="18" spans="1:22" ht="12.75">
      <c r="A18" s="62" t="s">
        <v>80</v>
      </c>
      <c r="C18" s="201">
        <f aca="true" t="shared" si="18" ref="C18:J18">SUM(C19:C19)</f>
        <v>14.30898</v>
      </c>
      <c r="D18" s="201">
        <f t="shared" si="18"/>
        <v>14.30898</v>
      </c>
      <c r="E18" s="201">
        <f t="shared" si="18"/>
        <v>15.024429</v>
      </c>
      <c r="F18" s="201">
        <f t="shared" si="18"/>
        <v>15.77565045</v>
      </c>
      <c r="G18" s="201">
        <f t="shared" si="18"/>
        <v>16.5644329725</v>
      </c>
      <c r="H18" s="201">
        <f t="shared" si="18"/>
        <v>17.392654621125</v>
      </c>
      <c r="I18" s="201">
        <f t="shared" si="18"/>
        <v>18.26228735218125</v>
      </c>
      <c r="J18" s="201">
        <f t="shared" si="18"/>
        <v>19.17540171979031</v>
      </c>
      <c r="M18" s="62" t="str">
        <f>A18</f>
        <v>Страхование</v>
      </c>
      <c r="O18" s="201">
        <f aca="true" t="shared" si="19" ref="O18:V18">SUM(O19:O19)</f>
        <v>171.70776</v>
      </c>
      <c r="P18" s="201">
        <f t="shared" si="19"/>
        <v>171.70776</v>
      </c>
      <c r="Q18" s="201">
        <f t="shared" si="19"/>
        <v>180.293148</v>
      </c>
      <c r="R18" s="201">
        <f t="shared" si="19"/>
        <v>189.3078054</v>
      </c>
      <c r="S18" s="201">
        <f t="shared" si="19"/>
        <v>198.77319567</v>
      </c>
      <c r="T18" s="201">
        <f t="shared" si="19"/>
        <v>208.7118554535</v>
      </c>
      <c r="U18" s="201">
        <f t="shared" si="19"/>
        <v>219.14744822617502</v>
      </c>
      <c r="V18" s="201">
        <f t="shared" si="19"/>
        <v>230.10482063748373</v>
      </c>
    </row>
    <row r="19" spans="1:22" ht="25.5">
      <c r="A19" s="167" t="s">
        <v>81</v>
      </c>
      <c r="B19" s="170">
        <v>0.006</v>
      </c>
      <c r="C19" s="154">
        <f aca="true" t="shared" si="20" ref="C19:J19">C5*$B$19</f>
        <v>14.30898</v>
      </c>
      <c r="D19" s="154">
        <f t="shared" si="20"/>
        <v>14.30898</v>
      </c>
      <c r="E19" s="154">
        <f t="shared" si="20"/>
        <v>15.024429</v>
      </c>
      <c r="F19" s="154">
        <f t="shared" si="20"/>
        <v>15.77565045</v>
      </c>
      <c r="G19" s="154">
        <f t="shared" si="20"/>
        <v>16.5644329725</v>
      </c>
      <c r="H19" s="154">
        <f t="shared" si="20"/>
        <v>17.392654621125</v>
      </c>
      <c r="I19" s="154">
        <f t="shared" si="20"/>
        <v>18.26228735218125</v>
      </c>
      <c r="J19" s="154">
        <f t="shared" si="20"/>
        <v>19.17540171979031</v>
      </c>
      <c r="M19" s="167" t="s">
        <v>81</v>
      </c>
      <c r="N19" s="170">
        <f>B19</f>
        <v>0.006</v>
      </c>
      <c r="O19" s="154">
        <f aca="true" t="shared" si="21" ref="O19:V19">C19*12</f>
        <v>171.70776</v>
      </c>
      <c r="P19" s="154">
        <f t="shared" si="21"/>
        <v>171.70776</v>
      </c>
      <c r="Q19" s="154">
        <f t="shared" si="21"/>
        <v>180.293148</v>
      </c>
      <c r="R19" s="154">
        <f t="shared" si="21"/>
        <v>189.3078054</v>
      </c>
      <c r="S19" s="154">
        <f t="shared" si="21"/>
        <v>198.77319567</v>
      </c>
      <c r="T19" s="154">
        <f t="shared" si="21"/>
        <v>208.7118554535</v>
      </c>
      <c r="U19" s="154">
        <f t="shared" si="21"/>
        <v>219.14744822617502</v>
      </c>
      <c r="V19" s="154">
        <f t="shared" si="21"/>
        <v>230.10482063748373</v>
      </c>
    </row>
    <row r="21" spans="1:22" ht="12.75">
      <c r="A21" s="62" t="s">
        <v>82</v>
      </c>
      <c r="C21" s="201">
        <f>SUM(C22:C23)</f>
        <v>1.3333333333333333</v>
      </c>
      <c r="D21" s="201">
        <f aca="true" t="shared" si="22" ref="D21:I21">SUM(D22:D23)</f>
        <v>1.4</v>
      </c>
      <c r="E21" s="201">
        <f t="shared" si="22"/>
        <v>1.47</v>
      </c>
      <c r="F21" s="201">
        <f t="shared" si="22"/>
        <v>1.5434999999999999</v>
      </c>
      <c r="G21" s="201">
        <f t="shared" si="22"/>
        <v>1.6206749999999999</v>
      </c>
      <c r="H21" s="201">
        <f t="shared" si="22"/>
        <v>1.7017087499999999</v>
      </c>
      <c r="I21" s="201">
        <f t="shared" si="22"/>
        <v>1.7867941875</v>
      </c>
      <c r="J21" s="201">
        <f>SUM(J22:J23)</f>
        <v>1.8761338968749999</v>
      </c>
      <c r="M21" s="62" t="str">
        <f>A21</f>
        <v>Налоги (кроме налогов на ФЗП)</v>
      </c>
      <c r="O21" s="201">
        <f>SUM(O22:O23)</f>
        <v>16</v>
      </c>
      <c r="P21" s="201">
        <f aca="true" t="shared" si="23" ref="P21:U21">SUM(P22:P23)</f>
        <v>16.799999999999997</v>
      </c>
      <c r="Q21" s="201">
        <f t="shared" si="23"/>
        <v>17.64</v>
      </c>
      <c r="R21" s="201">
        <f t="shared" si="23"/>
        <v>18.522</v>
      </c>
      <c r="S21" s="201">
        <f t="shared" si="23"/>
        <v>19.448099999999997</v>
      </c>
      <c r="T21" s="201">
        <f t="shared" si="23"/>
        <v>20.420505</v>
      </c>
      <c r="U21" s="201">
        <f t="shared" si="23"/>
        <v>21.44153025</v>
      </c>
      <c r="V21" s="201">
        <f>SUM(V22:V23)</f>
        <v>22.513606762499997</v>
      </c>
    </row>
    <row r="22" spans="1:22" ht="12.75">
      <c r="A22" s="81" t="s">
        <v>2</v>
      </c>
      <c r="B22" s="172">
        <f>Исх!C17</f>
        <v>0.015</v>
      </c>
      <c r="C22" s="154">
        <f>(C35+C38)/2*$B$22/12</f>
        <v>0</v>
      </c>
      <c r="D22" s="154">
        <f aca="true" t="shared" si="24" ref="D22:I22">(D35+D38)/2*$B$22/12</f>
        <v>0</v>
      </c>
      <c r="E22" s="154">
        <f>(E35+E38)/2*$B$22/12</f>
        <v>0</v>
      </c>
      <c r="F22" s="154">
        <f t="shared" si="24"/>
        <v>0</v>
      </c>
      <c r="G22" s="154">
        <f t="shared" si="24"/>
        <v>0</v>
      </c>
      <c r="H22" s="154">
        <f t="shared" si="24"/>
        <v>0</v>
      </c>
      <c r="I22" s="154">
        <f t="shared" si="24"/>
        <v>0</v>
      </c>
      <c r="J22" s="154">
        <f>(J35+J38)/2*$B$22/12</f>
        <v>0</v>
      </c>
      <c r="M22" s="81" t="s">
        <v>2</v>
      </c>
      <c r="N22" s="172">
        <f>B22</f>
        <v>0.015</v>
      </c>
      <c r="O22" s="154">
        <f aca="true" t="shared" si="25" ref="O22:V23">C22*12</f>
        <v>0</v>
      </c>
      <c r="P22" s="154">
        <f t="shared" si="25"/>
        <v>0</v>
      </c>
      <c r="Q22" s="154">
        <f t="shared" si="25"/>
        <v>0</v>
      </c>
      <c r="R22" s="154">
        <f t="shared" si="25"/>
        <v>0</v>
      </c>
      <c r="S22" s="154">
        <f t="shared" si="25"/>
        <v>0</v>
      </c>
      <c r="T22" s="154">
        <f t="shared" si="25"/>
        <v>0</v>
      </c>
      <c r="U22" s="154">
        <f t="shared" si="25"/>
        <v>0</v>
      </c>
      <c r="V22" s="154">
        <f t="shared" si="25"/>
        <v>0</v>
      </c>
    </row>
    <row r="23" spans="1:22" ht="12.75">
      <c r="A23" s="81" t="s">
        <v>101</v>
      </c>
      <c r="B23" s="81"/>
      <c r="C23" s="145">
        <f>16/12</f>
        <v>1.3333333333333333</v>
      </c>
      <c r="D23" s="154">
        <f aca="true" t="shared" si="26" ref="D23:J23">C23+C23*$E$2</f>
        <v>1.4</v>
      </c>
      <c r="E23" s="154">
        <f t="shared" si="26"/>
        <v>1.47</v>
      </c>
      <c r="F23" s="154">
        <f t="shared" si="26"/>
        <v>1.5434999999999999</v>
      </c>
      <c r="G23" s="154">
        <f t="shared" si="26"/>
        <v>1.6206749999999999</v>
      </c>
      <c r="H23" s="154">
        <f t="shared" si="26"/>
        <v>1.7017087499999999</v>
      </c>
      <c r="I23" s="154">
        <f t="shared" si="26"/>
        <v>1.7867941875</v>
      </c>
      <c r="J23" s="154">
        <f t="shared" si="26"/>
        <v>1.8761338968749999</v>
      </c>
      <c r="M23" s="81" t="s">
        <v>101</v>
      </c>
      <c r="N23" s="81"/>
      <c r="O23" s="154">
        <f t="shared" si="25"/>
        <v>16</v>
      </c>
      <c r="P23" s="154">
        <f t="shared" si="25"/>
        <v>16.799999999999997</v>
      </c>
      <c r="Q23" s="154">
        <f t="shared" si="25"/>
        <v>17.64</v>
      </c>
      <c r="R23" s="154">
        <f t="shared" si="25"/>
        <v>18.522</v>
      </c>
      <c r="S23" s="154">
        <f t="shared" si="25"/>
        <v>19.448099999999997</v>
      </c>
      <c r="T23" s="154">
        <f t="shared" si="25"/>
        <v>20.420505</v>
      </c>
      <c r="U23" s="154">
        <f t="shared" si="25"/>
        <v>21.44153025</v>
      </c>
      <c r="V23" s="154">
        <f t="shared" si="25"/>
        <v>22.513606762499997</v>
      </c>
    </row>
    <row r="25" ht="12.75">
      <c r="C25" s="173"/>
    </row>
    <row r="26" spans="1:10" ht="12.75">
      <c r="A26" s="308" t="s">
        <v>83</v>
      </c>
      <c r="B26" s="308"/>
      <c r="C26" s="308"/>
      <c r="D26" s="308"/>
      <c r="E26" s="308"/>
      <c r="F26" s="308"/>
      <c r="G26" s="161"/>
      <c r="H26" s="161"/>
      <c r="I26" s="161"/>
      <c r="J26" s="161"/>
    </row>
    <row r="27" spans="1:10" ht="12.75">
      <c r="A27" s="141" t="s">
        <v>89</v>
      </c>
      <c r="B27" s="81"/>
      <c r="C27" s="142">
        <v>2013</v>
      </c>
      <c r="D27" s="142">
        <f aca="true" t="shared" si="27" ref="D27:J27">D4</f>
        <v>2014</v>
      </c>
      <c r="E27" s="142">
        <f t="shared" si="27"/>
        <v>2015</v>
      </c>
      <c r="F27" s="142">
        <f t="shared" si="27"/>
        <v>2016</v>
      </c>
      <c r="G27" s="142">
        <f t="shared" si="27"/>
        <v>2017</v>
      </c>
      <c r="H27" s="142">
        <f t="shared" si="27"/>
        <v>2018</v>
      </c>
      <c r="I27" s="142">
        <f t="shared" si="27"/>
        <v>2019</v>
      </c>
      <c r="J27" s="142">
        <f t="shared" si="27"/>
        <v>2020</v>
      </c>
    </row>
    <row r="28" spans="1:10" ht="12.75">
      <c r="A28" s="81" t="s">
        <v>84</v>
      </c>
      <c r="B28" s="174"/>
      <c r="C28" s="81"/>
      <c r="D28" s="81"/>
      <c r="E28" s="81"/>
      <c r="F28" s="81"/>
      <c r="G28" s="81"/>
      <c r="H28" s="81"/>
      <c r="I28" s="81"/>
      <c r="J28" s="81"/>
    </row>
    <row r="29" spans="1:10" ht="12.75">
      <c r="A29" s="81" t="s">
        <v>85</v>
      </c>
      <c r="B29" s="175"/>
      <c r="C29" s="154">
        <f>C35+C41+C47</f>
        <v>0</v>
      </c>
      <c r="D29" s="154">
        <f aca="true" t="shared" si="28" ref="D29:I29">D35+D41+D47</f>
        <v>60569.81428571429</v>
      </c>
      <c r="E29" s="154">
        <f t="shared" si="28"/>
        <v>54097.22142857143</v>
      </c>
      <c r="F29" s="154">
        <f t="shared" si="28"/>
        <v>48663.65714285715</v>
      </c>
      <c r="G29" s="154">
        <f t="shared" si="28"/>
        <v>43230.09285714286</v>
      </c>
      <c r="H29" s="154">
        <f t="shared" si="28"/>
        <v>37796.52857142858</v>
      </c>
      <c r="I29" s="154">
        <f t="shared" si="28"/>
        <v>32362.96428571429</v>
      </c>
      <c r="J29" s="154">
        <f>J35+J41+J47</f>
        <v>26929.400000000005</v>
      </c>
    </row>
    <row r="30" spans="1:10" ht="12.75">
      <c r="A30" s="81" t="s">
        <v>86</v>
      </c>
      <c r="B30" s="175"/>
      <c r="C30" s="154">
        <f>C36+C42+C48</f>
        <v>54335.642857142855</v>
      </c>
      <c r="D30" s="154">
        <f aca="true" t="shared" si="29" ref="D30:I30">D36+D42+D48</f>
        <v>0</v>
      </c>
      <c r="E30" s="154">
        <f t="shared" si="29"/>
        <v>0</v>
      </c>
      <c r="F30" s="154">
        <f t="shared" si="29"/>
        <v>0</v>
      </c>
      <c r="G30" s="154">
        <f t="shared" si="29"/>
        <v>0</v>
      </c>
      <c r="H30" s="154">
        <f t="shared" si="29"/>
        <v>0</v>
      </c>
      <c r="I30" s="154">
        <f t="shared" si="29"/>
        <v>0</v>
      </c>
      <c r="J30" s="154">
        <f>J36+J42+J48</f>
        <v>0</v>
      </c>
    </row>
    <row r="31" spans="1:10" ht="12.75">
      <c r="A31" s="156" t="s">
        <v>87</v>
      </c>
      <c r="B31" s="156"/>
      <c r="C31" s="155">
        <f>C37+C43+C49</f>
        <v>0</v>
      </c>
      <c r="D31" s="155">
        <f aca="true" t="shared" si="30" ref="D31:I31">D37+D43+D49</f>
        <v>5433.564285714287</v>
      </c>
      <c r="E31" s="155">
        <f>E37+E43+E49</f>
        <v>5433.564285714287</v>
      </c>
      <c r="F31" s="155">
        <f t="shared" si="30"/>
        <v>5433.564285714287</v>
      </c>
      <c r="G31" s="155">
        <f t="shared" si="30"/>
        <v>5433.564285714287</v>
      </c>
      <c r="H31" s="155">
        <f t="shared" si="30"/>
        <v>5433.564285714287</v>
      </c>
      <c r="I31" s="155">
        <f t="shared" si="30"/>
        <v>5433.564285714287</v>
      </c>
      <c r="J31" s="155">
        <f>J37+J43+J49</f>
        <v>5433.564285714287</v>
      </c>
    </row>
    <row r="32" spans="1:10" ht="12.75">
      <c r="A32" s="81" t="s">
        <v>88</v>
      </c>
      <c r="B32" s="175"/>
      <c r="C32" s="154">
        <f aca="true" t="shared" si="31" ref="C32:I32">C29+C30-C31</f>
        <v>54335.642857142855</v>
      </c>
      <c r="D32" s="154">
        <f t="shared" si="31"/>
        <v>55136.25</v>
      </c>
      <c r="E32" s="154">
        <f t="shared" si="31"/>
        <v>48663.65714285714</v>
      </c>
      <c r="F32" s="154">
        <f t="shared" si="31"/>
        <v>43230.09285714286</v>
      </c>
      <c r="G32" s="154">
        <f t="shared" si="31"/>
        <v>37796.52857142857</v>
      </c>
      <c r="H32" s="154">
        <f t="shared" si="31"/>
        <v>32362.96428571429</v>
      </c>
      <c r="I32" s="154">
        <f t="shared" si="31"/>
        <v>26929.4</v>
      </c>
      <c r="J32" s="154">
        <f>J29+J30-J31</f>
        <v>21495.83571428572</v>
      </c>
    </row>
    <row r="33" spans="1:10" ht="12.75" hidden="1" outlineLevel="1">
      <c r="A33" s="79" t="s">
        <v>109</v>
      </c>
      <c r="C33" s="142"/>
      <c r="D33" s="142"/>
      <c r="E33" s="142"/>
      <c r="F33" s="142"/>
      <c r="G33" s="142"/>
      <c r="H33" s="142"/>
      <c r="I33" s="142"/>
      <c r="J33" s="142"/>
    </row>
    <row r="34" spans="1:10" ht="12.75" hidden="1" outlineLevel="1">
      <c r="A34" s="81" t="s">
        <v>84</v>
      </c>
      <c r="B34" s="176">
        <f>1/15</f>
        <v>0.06666666666666667</v>
      </c>
      <c r="C34" s="81"/>
      <c r="D34" s="81"/>
      <c r="E34" s="81"/>
      <c r="F34" s="81"/>
      <c r="G34" s="81"/>
      <c r="H34" s="81"/>
      <c r="I34" s="81"/>
      <c r="J34" s="81"/>
    </row>
    <row r="35" spans="1:10" ht="12.75" hidden="1" outlineLevel="1">
      <c r="A35" s="81" t="s">
        <v>85</v>
      </c>
      <c r="B35" s="175"/>
      <c r="C35" s="146"/>
      <c r="D35" s="154">
        <f aca="true" t="shared" si="32" ref="D35:J35">C38</f>
        <v>0</v>
      </c>
      <c r="E35" s="154">
        <f t="shared" si="32"/>
        <v>0</v>
      </c>
      <c r="F35" s="154">
        <f t="shared" si="32"/>
        <v>0</v>
      </c>
      <c r="G35" s="154">
        <f t="shared" si="32"/>
        <v>0</v>
      </c>
      <c r="H35" s="154">
        <f t="shared" si="32"/>
        <v>0</v>
      </c>
      <c r="I35" s="154">
        <f t="shared" si="32"/>
        <v>0</v>
      </c>
      <c r="J35" s="154">
        <f t="shared" si="32"/>
        <v>0</v>
      </c>
    </row>
    <row r="36" spans="1:10" ht="12.75" hidden="1" outlineLevel="1">
      <c r="A36" s="81" t="s">
        <v>86</v>
      </c>
      <c r="B36" s="175"/>
      <c r="C36" s="154">
        <f>Инв!Q5/Исх!$C$19</f>
        <v>0</v>
      </c>
      <c r="D36" s="154"/>
      <c r="E36" s="154"/>
      <c r="F36" s="154"/>
      <c r="G36" s="154"/>
      <c r="H36" s="154"/>
      <c r="I36" s="154"/>
      <c r="J36" s="154"/>
    </row>
    <row r="37" spans="1:10" ht="12.75" hidden="1" outlineLevel="1">
      <c r="A37" s="156" t="s">
        <v>87</v>
      </c>
      <c r="B37" s="156"/>
      <c r="C37" s="155">
        <f>$C36*$B34/12*0</f>
        <v>0</v>
      </c>
      <c r="D37" s="155">
        <f>$C36*$B34</f>
        <v>0</v>
      </c>
      <c r="E37" s="155">
        <f aca="true" t="shared" si="33" ref="E37:J37">$C36*$B34</f>
        <v>0</v>
      </c>
      <c r="F37" s="155">
        <f t="shared" si="33"/>
        <v>0</v>
      </c>
      <c r="G37" s="155">
        <f t="shared" si="33"/>
        <v>0</v>
      </c>
      <c r="H37" s="155">
        <f t="shared" si="33"/>
        <v>0</v>
      </c>
      <c r="I37" s="155">
        <f t="shared" si="33"/>
        <v>0</v>
      </c>
      <c r="J37" s="155">
        <f t="shared" si="33"/>
        <v>0</v>
      </c>
    </row>
    <row r="38" spans="1:10" ht="12.75" hidden="1" outlineLevel="1">
      <c r="A38" s="81" t="s">
        <v>88</v>
      </c>
      <c r="B38" s="175"/>
      <c r="C38" s="154">
        <f aca="true" t="shared" si="34" ref="C38:I38">C35+C36-C37</f>
        <v>0</v>
      </c>
      <c r="D38" s="154">
        <f t="shared" si="34"/>
        <v>0</v>
      </c>
      <c r="E38" s="154">
        <f t="shared" si="34"/>
        <v>0</v>
      </c>
      <c r="F38" s="154">
        <f t="shared" si="34"/>
        <v>0</v>
      </c>
      <c r="G38" s="154">
        <f t="shared" si="34"/>
        <v>0</v>
      </c>
      <c r="H38" s="154">
        <f t="shared" si="34"/>
        <v>0</v>
      </c>
      <c r="I38" s="154">
        <f t="shared" si="34"/>
        <v>0</v>
      </c>
      <c r="J38" s="154">
        <f>J35+J36-J37</f>
        <v>0</v>
      </c>
    </row>
    <row r="39" spans="1:10" ht="12.75" hidden="1" outlineLevel="1">
      <c r="A39" s="79" t="s">
        <v>105</v>
      </c>
      <c r="C39" s="142"/>
      <c r="D39" s="142"/>
      <c r="E39" s="142"/>
      <c r="F39" s="142"/>
      <c r="G39" s="142"/>
      <c r="H39" s="142"/>
      <c r="I39" s="142"/>
      <c r="J39" s="142"/>
    </row>
    <row r="40" spans="1:10" ht="12.75" hidden="1" outlineLevel="1">
      <c r="A40" s="81" t="s">
        <v>84</v>
      </c>
      <c r="B40" s="176">
        <f>1/10</f>
        <v>0.1</v>
      </c>
      <c r="C40" s="81"/>
      <c r="D40" s="81"/>
      <c r="E40" s="81"/>
      <c r="F40" s="81"/>
      <c r="G40" s="81"/>
      <c r="H40" s="81"/>
      <c r="I40" s="81"/>
      <c r="J40" s="81"/>
    </row>
    <row r="41" spans="1:10" ht="12.75" hidden="1" outlineLevel="1">
      <c r="A41" s="81" t="s">
        <v>85</v>
      </c>
      <c r="B41" s="175"/>
      <c r="C41" s="154"/>
      <c r="D41" s="154">
        <f>Инв!B20</f>
        <v>58185.600000000006</v>
      </c>
      <c r="E41" s="154">
        <f>Инв!C20</f>
        <v>51951.42857142857</v>
      </c>
      <c r="F41" s="154">
        <f>E44</f>
        <v>46756.28571428572</v>
      </c>
      <c r="G41" s="154">
        <f>F44</f>
        <v>41561.14285714286</v>
      </c>
      <c r="H41" s="154">
        <f>G44</f>
        <v>36366.00000000001</v>
      </c>
      <c r="I41" s="154">
        <f>H44</f>
        <v>31170.85714285715</v>
      </c>
      <c r="J41" s="154">
        <f>I44</f>
        <v>25975.71428571429</v>
      </c>
    </row>
    <row r="42" spans="1:10" ht="12.75" hidden="1" outlineLevel="1">
      <c r="A42" s="81" t="s">
        <v>86</v>
      </c>
      <c r="B42" s="175"/>
      <c r="C42" s="154">
        <f>Инв!Q8/Исх!$C$19</f>
        <v>51951.42857142857</v>
      </c>
      <c r="D42" s="154"/>
      <c r="E42" s="154"/>
      <c r="F42" s="154"/>
      <c r="G42" s="154"/>
      <c r="H42" s="154"/>
      <c r="I42" s="154"/>
      <c r="J42" s="154"/>
    </row>
    <row r="43" spans="1:10" ht="12.75" hidden="1" outlineLevel="1">
      <c r="A43" s="156" t="s">
        <v>87</v>
      </c>
      <c r="B43" s="156"/>
      <c r="C43" s="155">
        <f>$C42*$B40/12*0</f>
        <v>0</v>
      </c>
      <c r="D43" s="155">
        <f aca="true" t="shared" si="35" ref="D43:J43">$C42*$B40</f>
        <v>5195.142857142858</v>
      </c>
      <c r="E43" s="155">
        <f t="shared" si="35"/>
        <v>5195.142857142858</v>
      </c>
      <c r="F43" s="155">
        <f t="shared" si="35"/>
        <v>5195.142857142858</v>
      </c>
      <c r="G43" s="155">
        <f t="shared" si="35"/>
        <v>5195.142857142858</v>
      </c>
      <c r="H43" s="155">
        <f t="shared" si="35"/>
        <v>5195.142857142858</v>
      </c>
      <c r="I43" s="155">
        <f t="shared" si="35"/>
        <v>5195.142857142858</v>
      </c>
      <c r="J43" s="155">
        <f t="shared" si="35"/>
        <v>5195.142857142858</v>
      </c>
    </row>
    <row r="44" spans="1:10" ht="12.75" hidden="1" outlineLevel="1">
      <c r="A44" s="81" t="s">
        <v>88</v>
      </c>
      <c r="B44" s="175"/>
      <c r="C44" s="154">
        <f aca="true" t="shared" si="36" ref="C44:I44">C41+C42-C43</f>
        <v>51951.42857142857</v>
      </c>
      <c r="D44" s="154">
        <f t="shared" si="36"/>
        <v>52990.45714285715</v>
      </c>
      <c r="E44" s="154">
        <f t="shared" si="36"/>
        <v>46756.28571428572</v>
      </c>
      <c r="F44" s="154">
        <f t="shared" si="36"/>
        <v>41561.14285714286</v>
      </c>
      <c r="G44" s="154">
        <f t="shared" si="36"/>
        <v>36366.00000000001</v>
      </c>
      <c r="H44" s="154">
        <f t="shared" si="36"/>
        <v>31170.85714285715</v>
      </c>
      <c r="I44" s="154">
        <f t="shared" si="36"/>
        <v>25975.71428571429</v>
      </c>
      <c r="J44" s="154">
        <f>J41+J42-J43</f>
        <v>20780.57142857143</v>
      </c>
    </row>
    <row r="45" spans="1:10" ht="12.75" hidden="1" outlineLevel="1">
      <c r="A45" s="79" t="s">
        <v>190</v>
      </c>
      <c r="C45" s="142"/>
      <c r="D45" s="142"/>
      <c r="E45" s="142"/>
      <c r="F45" s="142"/>
      <c r="G45" s="142"/>
      <c r="H45" s="142"/>
      <c r="I45" s="142"/>
      <c r="J45" s="142"/>
    </row>
    <row r="46" spans="1:10" ht="12.75" hidden="1" outlineLevel="1">
      <c r="A46" s="81" t="s">
        <v>84</v>
      </c>
      <c r="B46" s="176">
        <f>1/10</f>
        <v>0.1</v>
      </c>
      <c r="C46" s="81"/>
      <c r="D46" s="81"/>
      <c r="E46" s="81"/>
      <c r="F46" s="81"/>
      <c r="G46" s="81"/>
      <c r="H46" s="81"/>
      <c r="I46" s="81"/>
      <c r="J46" s="81"/>
    </row>
    <row r="47" spans="1:10" ht="12.75" hidden="1" outlineLevel="1">
      <c r="A47" s="81" t="s">
        <v>85</v>
      </c>
      <c r="B47" s="175"/>
      <c r="C47" s="154"/>
      <c r="D47" s="154">
        <f aca="true" t="shared" si="37" ref="D47:J47">C50</f>
        <v>2384.2142857142853</v>
      </c>
      <c r="E47" s="154">
        <f t="shared" si="37"/>
        <v>2145.792857142857</v>
      </c>
      <c r="F47" s="154">
        <f t="shared" si="37"/>
        <v>1907.3714285714284</v>
      </c>
      <c r="G47" s="154">
        <f t="shared" si="37"/>
        <v>1668.9499999999998</v>
      </c>
      <c r="H47" s="154">
        <f t="shared" si="37"/>
        <v>1430.5285714285712</v>
      </c>
      <c r="I47" s="154">
        <f t="shared" si="37"/>
        <v>1192.1071428571427</v>
      </c>
      <c r="J47" s="154">
        <f t="shared" si="37"/>
        <v>953.6857142857141</v>
      </c>
    </row>
    <row r="48" spans="1:10" ht="12.75" hidden="1" outlineLevel="1">
      <c r="A48" s="81" t="s">
        <v>86</v>
      </c>
      <c r="B48" s="175"/>
      <c r="C48" s="154">
        <f>Инв!Q13/Исх!$C$19</f>
        <v>2384.2142857142853</v>
      </c>
      <c r="D48" s="154"/>
      <c r="E48" s="154"/>
      <c r="F48" s="154"/>
      <c r="G48" s="154"/>
      <c r="H48" s="154"/>
      <c r="I48" s="154"/>
      <c r="J48" s="154"/>
    </row>
    <row r="49" spans="1:10" ht="12.75" hidden="1" outlineLevel="1">
      <c r="A49" s="156" t="s">
        <v>87</v>
      </c>
      <c r="B49" s="156"/>
      <c r="C49" s="155">
        <f>$C48*$B46/12*0</f>
        <v>0</v>
      </c>
      <c r="D49" s="155">
        <f aca="true" t="shared" si="38" ref="D49:J49">$C48*$B46</f>
        <v>238.42142857142855</v>
      </c>
      <c r="E49" s="155">
        <f t="shared" si="38"/>
        <v>238.42142857142855</v>
      </c>
      <c r="F49" s="155">
        <f t="shared" si="38"/>
        <v>238.42142857142855</v>
      </c>
      <c r="G49" s="155">
        <f t="shared" si="38"/>
        <v>238.42142857142855</v>
      </c>
      <c r="H49" s="155">
        <f t="shared" si="38"/>
        <v>238.42142857142855</v>
      </c>
      <c r="I49" s="155">
        <f t="shared" si="38"/>
        <v>238.42142857142855</v>
      </c>
      <c r="J49" s="155">
        <f t="shared" si="38"/>
        <v>238.42142857142855</v>
      </c>
    </row>
    <row r="50" spans="1:10" ht="12.75" hidden="1" outlineLevel="1">
      <c r="A50" s="81" t="s">
        <v>88</v>
      </c>
      <c r="B50" s="175"/>
      <c r="C50" s="154">
        <f aca="true" t="shared" si="39" ref="C50:I50">C47+C48-C49</f>
        <v>2384.2142857142853</v>
      </c>
      <c r="D50" s="154">
        <f t="shared" si="39"/>
        <v>2145.792857142857</v>
      </c>
      <c r="E50" s="154">
        <f t="shared" si="39"/>
        <v>1907.3714285714284</v>
      </c>
      <c r="F50" s="154">
        <f t="shared" si="39"/>
        <v>1668.9499999999998</v>
      </c>
      <c r="G50" s="154">
        <f t="shared" si="39"/>
        <v>1430.5285714285712</v>
      </c>
      <c r="H50" s="154">
        <f t="shared" si="39"/>
        <v>1192.1071428571427</v>
      </c>
      <c r="I50" s="154">
        <f t="shared" si="39"/>
        <v>953.6857142857141</v>
      </c>
      <c r="J50" s="154">
        <f>J47+J48-J49</f>
        <v>715.2642857142855</v>
      </c>
    </row>
    <row r="51" ht="12.75" collapsed="1"/>
  </sheetData>
  <sheetProtection/>
  <printOptions/>
  <pageMargins left="0.44" right="0.4" top="0.51" bottom="0.3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2013-09-17T12:24:36Z</cp:lastPrinted>
  <dcterms:created xsi:type="dcterms:W3CDTF">2006-03-01T15:11:19Z</dcterms:created>
  <dcterms:modified xsi:type="dcterms:W3CDTF">2013-09-24T08:00:51Z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